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2017 Data\CoS Models 2016 models, to be updated to 2017\"/>
    </mc:Choice>
  </mc:AlternateContent>
  <bookViews>
    <workbookView xWindow="0" yWindow="0" windowWidth="28800" windowHeight="1302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4" l="1"/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18" i="4" l="1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4" i="5"/>
  <c r="I16" i="5" s="1"/>
  <c r="I10" i="5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<sst xmlns="http://schemas.openxmlformats.org/spreadsheetml/2006/main" count="520" uniqueCount="278">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</sst>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Normal="100" workbookViewId="0">
      <selection activeCell="H22" sqref="H2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2" t="s">
        <v>191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5" ht="19.5" customHeight="1" x14ac:dyDescent="0.25">
      <c r="C3" s="223" t="str">
        <f>IF(F5="Click to Choose an LDC","",F5)</f>
        <v>Atikokan Hydro Inc.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25">
      <c r="B5" s="145" t="s">
        <v>189</v>
      </c>
      <c r="E5" s="78"/>
      <c r="F5" s="146" t="s">
        <v>206</v>
      </c>
      <c r="G5" s="14" t="s">
        <v>175</v>
      </c>
      <c r="H5" s="14" t="s">
        <v>176</v>
      </c>
      <c r="I5" s="14" t="s">
        <v>174</v>
      </c>
      <c r="J5" s="224" t="s">
        <v>177</v>
      </c>
      <c r="K5" s="224"/>
      <c r="L5" s="224"/>
      <c r="M5" s="224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5"/>
      <c r="I8" s="225"/>
      <c r="J8" s="225"/>
      <c r="K8" s="225"/>
      <c r="L8" s="225"/>
      <c r="M8" s="225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268667</v>
      </c>
      <c r="H9" s="125">
        <v>306600</v>
      </c>
      <c r="I9" s="125">
        <v>635740</v>
      </c>
      <c r="J9" s="125"/>
      <c r="K9" s="125"/>
      <c r="L9" s="125"/>
      <c r="M9" s="125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1653</v>
      </c>
      <c r="H13" s="125">
        <v>1646</v>
      </c>
      <c r="I13" s="125">
        <v>1636</v>
      </c>
      <c r="J13" s="125"/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31906696</v>
      </c>
      <c r="H14" s="125">
        <v>27232313</v>
      </c>
      <c r="I14" s="125">
        <v>27331580</v>
      </c>
      <c r="J14" s="125"/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5905</v>
      </c>
      <c r="H15" s="125">
        <v>5905</v>
      </c>
      <c r="I15" s="125">
        <v>5905</v>
      </c>
      <c r="J15" s="125"/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192</v>
      </c>
      <c r="F16" s="26"/>
      <c r="G16" s="86">
        <f>'Benchmarking Calculations'!G99</f>
        <v>92</v>
      </c>
      <c r="H16" s="125">
        <v>92</v>
      </c>
      <c r="I16" s="125">
        <v>92</v>
      </c>
      <c r="J16" s="125"/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77" t="s">
        <v>121</v>
      </c>
      <c r="F17" s="78"/>
      <c r="G17" s="90">
        <f>'Benchmarking Calculations'!G145</f>
        <v>-6.3456090651558078E-2</v>
      </c>
      <c r="H17" s="119">
        <v>-6.3500000000000001E-2</v>
      </c>
      <c r="I17" s="119">
        <v>-6.3500000000000001E-2</v>
      </c>
      <c r="J17" s="119"/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5"/>
      <c r="I19" s="225"/>
      <c r="J19" s="225"/>
      <c r="K19" s="225"/>
      <c r="L19" s="225"/>
      <c r="M19" s="225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/>
      <c r="K20" s="124"/>
      <c r="L20" s="124"/>
      <c r="M20" s="124"/>
      <c r="N20" s="78" t="s">
        <v>188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/>
      <c r="K21" s="124"/>
      <c r="L21" s="124"/>
      <c r="M21" s="124"/>
      <c r="N21" s="78" t="s">
        <v>188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2.5100000000000001E-2</v>
      </c>
      <c r="I22" s="124">
        <v>3.3099999999999997E-2</v>
      </c>
      <c r="J22" s="124"/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198</v>
      </c>
      <c r="G27" s="51">
        <f>G35-G36+G37</f>
        <v>1025877.1</v>
      </c>
      <c r="H27" s="51">
        <f t="shared" ref="H27:M27" si="0">H35-H36+H37</f>
        <v>1115213</v>
      </c>
      <c r="I27" s="51">
        <f t="shared" si="0"/>
        <v>1097396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3.5" thickBot="1" x14ac:dyDescent="0.25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202</v>
      </c>
      <c r="G29" s="51">
        <f t="shared" ref="G29:M29" si="1">G115-G121+G122</f>
        <v>1025877.1</v>
      </c>
      <c r="H29" s="51">
        <f t="shared" si="1"/>
        <v>1109213</v>
      </c>
      <c r="I29" s="51">
        <f t="shared" si="1"/>
        <v>1091396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1025877.1</v>
      </c>
      <c r="H31" s="51">
        <f t="shared" si="2"/>
        <v>1115213</v>
      </c>
      <c r="I31" s="51">
        <f t="shared" si="2"/>
        <v>1097396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1" t="s">
        <v>183</v>
      </c>
      <c r="I34" s="221"/>
      <c r="J34" s="221"/>
      <c r="K34" s="221"/>
      <c r="L34" s="221"/>
      <c r="M34" s="221"/>
      <c r="N34" s="155"/>
    </row>
    <row r="35" spans="2:14" x14ac:dyDescent="0.2">
      <c r="C35" s="154"/>
      <c r="D35" s="171" t="s">
        <v>195</v>
      </c>
      <c r="E35" s="26" t="s">
        <v>203</v>
      </c>
      <c r="F35" s="26"/>
      <c r="G35" s="85">
        <f>G115</f>
        <v>1025877.1</v>
      </c>
      <c r="H35" s="125">
        <v>1115213</v>
      </c>
      <c r="I35" s="125">
        <v>1097396</v>
      </c>
      <c r="J35" s="120"/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197</v>
      </c>
      <c r="E37" s="26" t="s">
        <v>83</v>
      </c>
      <c r="F37" s="26"/>
      <c r="G37" s="51">
        <f>G122</f>
        <v>0</v>
      </c>
      <c r="H37" s="125"/>
      <c r="I37" s="125"/>
      <c r="J37" s="120"/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0</v>
      </c>
      <c r="H44" s="142"/>
      <c r="I44" s="142"/>
      <c r="J44" s="143"/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0</v>
      </c>
      <c r="H45" s="142"/>
      <c r="I45" s="142"/>
      <c r="J45" s="143"/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0</v>
      </c>
      <c r="H46" s="142"/>
      <c r="I46" s="142"/>
      <c r="J46" s="143"/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16315.94</v>
      </c>
      <c r="H49" s="142"/>
      <c r="I49" s="142"/>
      <c r="J49" s="143"/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13.07</v>
      </c>
      <c r="H50" s="142"/>
      <c r="I50" s="142"/>
      <c r="J50" s="143"/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237816.35</v>
      </c>
      <c r="H51" s="142">
        <v>305092</v>
      </c>
      <c r="I51" s="142">
        <v>324558</v>
      </c>
      <c r="J51" s="143"/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42046.85</v>
      </c>
      <c r="H52" s="142">
        <v>41285</v>
      </c>
      <c r="I52" s="142">
        <v>42089</v>
      </c>
      <c r="J52" s="143"/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0</v>
      </c>
      <c r="H54" s="142"/>
      <c r="I54" s="142"/>
      <c r="J54" s="143"/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/>
      <c r="I55" s="142"/>
      <c r="J55" s="143"/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0</v>
      </c>
      <c r="H56" s="142"/>
      <c r="I56" s="142"/>
      <c r="J56" s="143"/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11121.92</v>
      </c>
      <c r="H57" s="142">
        <v>10230</v>
      </c>
      <c r="I57" s="142">
        <v>10230</v>
      </c>
      <c r="J57" s="143"/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14931.93</v>
      </c>
      <c r="H60" s="142"/>
      <c r="I60" s="142"/>
      <c r="J60" s="143"/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ht="25.5" x14ac:dyDescent="0.2">
      <c r="C62" s="159"/>
      <c r="D62" s="26"/>
      <c r="E62" s="78">
        <v>5095</v>
      </c>
      <c r="F62" s="151" t="s">
        <v>26</v>
      </c>
      <c r="G62" s="58">
        <f>'Benchmarking Calculations'!G28</f>
        <v>700.61</v>
      </c>
      <c r="H62" s="142"/>
      <c r="I62" s="142"/>
      <c r="J62" s="143"/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322946.67</v>
      </c>
      <c r="H64" s="81">
        <f>SUM(H44:H63)</f>
        <v>356607</v>
      </c>
      <c r="I64" s="81">
        <f t="shared" ref="I64:M64" si="3">SUM(I44:I63)</f>
        <v>376877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0</v>
      </c>
      <c r="H65" s="142"/>
      <c r="I65" s="142"/>
      <c r="J65" s="143"/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0</v>
      </c>
      <c r="H66" s="142"/>
      <c r="I66" s="142"/>
      <c r="J66" s="143"/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6769.92</v>
      </c>
      <c r="H68" s="142">
        <v>13800</v>
      </c>
      <c r="I68" s="142">
        <v>13800</v>
      </c>
      <c r="J68" s="143"/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0</v>
      </c>
      <c r="H69" s="142"/>
      <c r="I69" s="142"/>
      <c r="J69" s="143"/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480</v>
      </c>
      <c r="H70" s="142"/>
      <c r="I70" s="142"/>
      <c r="J70" s="143"/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179.74</v>
      </c>
      <c r="H71" s="142">
        <v>1000</v>
      </c>
      <c r="I71" s="142">
        <v>1000</v>
      </c>
      <c r="J71" s="143"/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62820.160000000003</v>
      </c>
      <c r="H72" s="142">
        <v>72000</v>
      </c>
      <c r="I72" s="142">
        <v>72000</v>
      </c>
      <c r="J72" s="143"/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0</v>
      </c>
      <c r="H73" s="142"/>
      <c r="I73" s="142"/>
      <c r="J73" s="143"/>
      <c r="K73" s="143"/>
      <c r="L73" s="143"/>
      <c r="M73" s="143"/>
      <c r="N73" s="155" t="s">
        <v>172</v>
      </c>
    </row>
    <row r="74" spans="3:14" ht="25.5" x14ac:dyDescent="0.2">
      <c r="C74" s="159"/>
      <c r="D74" s="26"/>
      <c r="E74" s="78">
        <v>5150</v>
      </c>
      <c r="F74" s="151" t="s">
        <v>39</v>
      </c>
      <c r="G74" s="58">
        <f>'Benchmarking Calculations'!G40</f>
        <v>0</v>
      </c>
      <c r="H74" s="142"/>
      <c r="I74" s="142"/>
      <c r="J74" s="143"/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0</v>
      </c>
      <c r="H75" s="142"/>
      <c r="I75" s="142"/>
      <c r="J75" s="143"/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0</v>
      </c>
      <c r="H76" s="142"/>
      <c r="I76" s="142"/>
      <c r="J76" s="143"/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41439.26</v>
      </c>
      <c r="H77" s="142">
        <v>32278</v>
      </c>
      <c r="I77" s="142">
        <v>33941</v>
      </c>
      <c r="J77" s="143"/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111689.08000000002</v>
      </c>
      <c r="H78" s="81">
        <f>SUM(H65:H77)</f>
        <v>119078</v>
      </c>
      <c r="I78" s="81">
        <f t="shared" ref="I78:M78" si="4">SUM(I65:I77)</f>
        <v>120741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2421</v>
      </c>
      <c r="H79" s="142">
        <v>3045</v>
      </c>
      <c r="I79" s="142">
        <v>3045</v>
      </c>
      <c r="J79" s="143"/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39511.699999999997</v>
      </c>
      <c r="H80" s="142">
        <v>31286</v>
      </c>
      <c r="I80" s="142">
        <v>32165</v>
      </c>
      <c r="J80" s="143"/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127999</v>
      </c>
      <c r="H81" s="142">
        <v>138152</v>
      </c>
      <c r="I81" s="142">
        <v>143126</v>
      </c>
      <c r="J81" s="143"/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0</v>
      </c>
      <c r="H82" s="142"/>
      <c r="I82" s="142"/>
      <c r="J82" s="143"/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-36.9</v>
      </c>
      <c r="H83" s="142"/>
      <c r="I83" s="142"/>
      <c r="J83" s="143"/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106.94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/>
      <c r="I85" s="142"/>
      <c r="J85" s="143"/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170001.74000000002</v>
      </c>
      <c r="H86" s="81">
        <f>SUM(H79:H85)</f>
        <v>172483</v>
      </c>
      <c r="I86" s="81">
        <f t="shared" ref="I86:M86" si="5">SUM(I79:I85)</f>
        <v>178336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3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0</v>
      </c>
      <c r="H88" s="142"/>
      <c r="I88" s="142"/>
      <c r="J88" s="143"/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0</v>
      </c>
      <c r="H89" s="142"/>
      <c r="I89" s="142"/>
      <c r="J89" s="143"/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0</v>
      </c>
      <c r="H91" s="81">
        <f>SUM(H87:H90)</f>
        <v>0</v>
      </c>
      <c r="I91" s="81">
        <f t="shared" ref="I91:M91" si="6">SUM(I87:I90)</f>
        <v>0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6078</v>
      </c>
      <c r="H92" s="142">
        <v>8380</v>
      </c>
      <c r="I92" s="142">
        <v>8380</v>
      </c>
      <c r="J92" s="143"/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124772.29</v>
      </c>
      <c r="H93" s="142">
        <f>103278+982</f>
        <v>104260</v>
      </c>
      <c r="I93" s="142">
        <v>107272</v>
      </c>
      <c r="J93" s="143"/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88830.03</v>
      </c>
      <c r="H94" s="142">
        <v>93926</v>
      </c>
      <c r="I94" s="142">
        <v>90602</v>
      </c>
      <c r="J94" s="143"/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3914.76</v>
      </c>
      <c r="H95" s="142">
        <v>4500</v>
      </c>
      <c r="I95" s="142">
        <v>4500</v>
      </c>
      <c r="J95" s="143"/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43526.09</v>
      </c>
      <c r="H97" s="142">
        <v>63675</v>
      </c>
      <c r="I97" s="142">
        <v>57150</v>
      </c>
      <c r="J97" s="143"/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61991.74</v>
      </c>
      <c r="H99" s="142">
        <v>61904</v>
      </c>
      <c r="I99" s="142">
        <v>62630</v>
      </c>
      <c r="J99" s="143"/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13555.07</v>
      </c>
      <c r="H103" s="142">
        <v>64978</v>
      </c>
      <c r="I103" s="142">
        <v>25103</v>
      </c>
      <c r="J103" s="143"/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29363.65</v>
      </c>
      <c r="H104" s="142">
        <v>20485</v>
      </c>
      <c r="I104" s="142">
        <v>20485</v>
      </c>
      <c r="J104" s="143"/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3"/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40927.129999999997</v>
      </c>
      <c r="H107" s="142">
        <v>28565</v>
      </c>
      <c r="I107" s="142">
        <v>28948</v>
      </c>
      <c r="J107" s="143"/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0</v>
      </c>
      <c r="H108" s="142"/>
      <c r="I108" s="142"/>
      <c r="J108" s="143"/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412958.76000000007</v>
      </c>
      <c r="H109" s="81">
        <f>SUM(H92:H108)</f>
        <v>450673</v>
      </c>
      <c r="I109" s="81">
        <f t="shared" ref="I109:M109" si="7">SUM(I92:I108)</f>
        <v>405070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8280.85</v>
      </c>
      <c r="H110" s="142">
        <v>8572</v>
      </c>
      <c r="I110" s="142">
        <v>8572</v>
      </c>
      <c r="J110" s="143"/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8280.85</v>
      </c>
      <c r="H112" s="81">
        <f>H110+H111</f>
        <v>8572</v>
      </c>
      <c r="I112" s="81">
        <f t="shared" ref="I112:M112" si="8">I110+I111</f>
        <v>8572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>
        <v>1800</v>
      </c>
      <c r="I113" s="142">
        <v>1800</v>
      </c>
      <c r="J113" s="143"/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1800</v>
      </c>
      <c r="I114" s="81">
        <f t="shared" ref="I114:M114" si="9">I113</f>
        <v>1800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2">
      <c r="C115" s="159"/>
      <c r="D115" s="77"/>
      <c r="E115" s="173" t="s">
        <v>199</v>
      </c>
      <c r="F115" s="80" t="s">
        <v>80</v>
      </c>
      <c r="G115" s="58">
        <f>'Benchmarking Calculations'!G81</f>
        <v>1025877.1</v>
      </c>
      <c r="H115" s="81">
        <f>H114+H112+H109+H91+H86+H78+H64</f>
        <v>1109213</v>
      </c>
      <c r="I115" s="81">
        <f t="shared" ref="I115:M115" si="10">I114+I112+I109+I91+I86+I78+I64</f>
        <v>1091396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0</v>
      </c>
      <c r="H118" s="58">
        <f t="shared" ref="H118:L118" si="11">H47</f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ref="M118" si="12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0</v>
      </c>
      <c r="H119" s="58">
        <f t="shared" ref="H119:L119" si="13">H48</f>
        <v>0</v>
      </c>
      <c r="I119" s="58">
        <f t="shared" si="13"/>
        <v>0</v>
      </c>
      <c r="J119" s="58">
        <f t="shared" si="13"/>
        <v>0</v>
      </c>
      <c r="K119" s="58">
        <f t="shared" si="13"/>
        <v>0</v>
      </c>
      <c r="L119" s="58">
        <f t="shared" si="13"/>
        <v>0</v>
      </c>
      <c r="M119" s="58">
        <f t="shared" ref="M119" si="14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5">H67</f>
        <v>0</v>
      </c>
      <c r="I120" s="58">
        <f t="shared" si="15"/>
        <v>0</v>
      </c>
      <c r="J120" s="58">
        <f t="shared" si="15"/>
        <v>0</v>
      </c>
      <c r="K120" s="58">
        <f t="shared" si="15"/>
        <v>0</v>
      </c>
      <c r="L120" s="58">
        <f t="shared" si="15"/>
        <v>0</v>
      </c>
      <c r="M120" s="58">
        <f t="shared" ref="M120" si="16">M67</f>
        <v>0</v>
      </c>
      <c r="N120" s="160" t="s">
        <v>29</v>
      </c>
    </row>
    <row r="121" spans="3:14" x14ac:dyDescent="0.2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7">I47+I48+I67</f>
        <v>0</v>
      </c>
      <c r="J121" s="110">
        <f t="shared" si="17"/>
        <v>0</v>
      </c>
      <c r="K121" s="110">
        <f t="shared" si="17"/>
        <v>0</v>
      </c>
      <c r="L121" s="110">
        <f t="shared" si="17"/>
        <v>0</v>
      </c>
      <c r="M121" s="110">
        <f t="shared" ref="M121" si="18">M47+M48+M67</f>
        <v>0</v>
      </c>
      <c r="N121" s="174" t="s">
        <v>29</v>
      </c>
    </row>
    <row r="122" spans="3:14" x14ac:dyDescent="0.2">
      <c r="C122" s="159"/>
      <c r="D122" s="77"/>
      <c r="E122" s="175" t="s">
        <v>201</v>
      </c>
      <c r="F122" s="80" t="s">
        <v>83</v>
      </c>
      <c r="G122" s="110">
        <f>'Benchmarking Calculations'!G88</f>
        <v>0</v>
      </c>
      <c r="H122" s="176"/>
      <c r="I122" s="176"/>
      <c r="J122" s="176"/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123" activePane="bottomLeft" state="frozen"/>
      <selection activeCell="G33" sqref="G33"/>
      <selection pane="bottomLeft" activeCell="I146" sqref="I146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4" thickBot="1" x14ac:dyDescent="0.4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27" t="s">
        <v>1</v>
      </c>
      <c r="C3" s="227"/>
      <c r="D3" s="101"/>
      <c r="E3" s="102" t="str">
        <f>'Model Inputs'!F5</f>
        <v>Atikokan Hydro Inc.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9.5" x14ac:dyDescent="0.35">
      <c r="E4" s="5"/>
      <c r="F4" s="228"/>
      <c r="G4" s="229"/>
      <c r="H4" s="230" t="s">
        <v>2</v>
      </c>
      <c r="I4" s="231"/>
      <c r="J4" s="231"/>
      <c r="K4" s="231"/>
      <c r="L4" s="231"/>
      <c r="M4" s="231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26" t="s">
        <v>6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16315.94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13.07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237816.35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42046.85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0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11121.92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14931.93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700.61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322946.67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0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0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6769.92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0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480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179.74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62820.160000000003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0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0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0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0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41439.26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111689.08000000002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2421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39511.699999999997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127999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0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-36.9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106.94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170001.74000000002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0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0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6078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124772.29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88830.03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3914.76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43526.09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61991.74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13555.07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29363.65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40927.129999999997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412958.76000000007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8280.85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8280.85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1025877.1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1025877.1</v>
      </c>
      <c r="H89" s="186">
        <f>'Model Inputs'!H31</f>
        <v>1115213</v>
      </c>
      <c r="I89" s="187">
        <f>'Model Inputs'!I31</f>
        <v>1097396</v>
      </c>
      <c r="J89" s="187">
        <f>'Model Inputs'!J31</f>
        <v>0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268667</v>
      </c>
      <c r="H92" s="186">
        <f>'Model Inputs'!H9</f>
        <v>306600</v>
      </c>
      <c r="I92" s="187">
        <f>'Model Inputs'!I9</f>
        <v>635740</v>
      </c>
      <c r="J92" s="187">
        <f>'Model Inputs'!J9</f>
        <v>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1653</v>
      </c>
      <c r="H96" s="186">
        <f>'Model Inputs'!H13</f>
        <v>1646</v>
      </c>
      <c r="I96" s="187">
        <f>'Model Inputs'!I13</f>
        <v>1636</v>
      </c>
      <c r="J96" s="187">
        <f>'Model Inputs'!J13</f>
        <v>0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31906696</v>
      </c>
      <c r="H97" s="186">
        <f>'Model Inputs'!H14</f>
        <v>27232313</v>
      </c>
      <c r="I97" s="187">
        <f>'Model Inputs'!I14</f>
        <v>27331580</v>
      </c>
      <c r="J97" s="187">
        <f>'Model Inputs'!J14</f>
        <v>0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5905</v>
      </c>
      <c r="H98" s="186">
        <f>'Model Inputs'!H15</f>
        <v>5905</v>
      </c>
      <c r="I98" s="187">
        <f>'Model Inputs'!I15</f>
        <v>5905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92</v>
      </c>
      <c r="H99" s="186">
        <f>'Model Inputs'!H16</f>
        <v>92</v>
      </c>
      <c r="I99" s="187">
        <f>'Model Inputs'!I16</f>
        <v>92</v>
      </c>
      <c r="J99" s="187">
        <f>'Model Inputs'!J16</f>
        <v>0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6" t="s">
        <v>93</v>
      </c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1025877.1</v>
      </c>
      <c r="H107" s="29">
        <f t="shared" ref="H107:K107" si="4">H89</f>
        <v>1115213</v>
      </c>
      <c r="I107" s="29">
        <f t="shared" si="4"/>
        <v>1097396</v>
      </c>
      <c r="J107" s="29">
        <f t="shared" si="4"/>
        <v>0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1">
        <f>'Model Inputs'!H22</f>
        <v>2.5100000000000001E-2</v>
      </c>
      <c r="I110" s="202">
        <f>'Model Inputs'!I22</f>
        <v>3.3099999999999997E-2</v>
      </c>
      <c r="J110" s="202">
        <f>'Model Inputs'!J22</f>
        <v>0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168.33656781093197</v>
      </c>
      <c r="K112" s="205">
        <f>J112*EXP('Model Inputs'!K21)</f>
        <v>168.33656781093197</v>
      </c>
      <c r="L112" s="205">
        <f>K112*EXP('Model Inputs'!L21)</f>
        <v>168.33656781093197</v>
      </c>
      <c r="M112" s="206">
        <f>L112*EXP('Model Inputs'!M21)</f>
        <v>168.33656781093197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11.700214386284856</v>
      </c>
      <c r="I113" s="29">
        <f t="shared" si="7"/>
        <v>13.211546177869222</v>
      </c>
      <c r="J113" s="29">
        <f t="shared" si="7"/>
        <v>7.7266484625217782</v>
      </c>
      <c r="K113" s="29">
        <f t="shared" si="7"/>
        <v>7.7266484625217782</v>
      </c>
      <c r="L113" s="29">
        <f t="shared" si="7"/>
        <v>7.7266484625217782</v>
      </c>
      <c r="M113" s="29">
        <f t="shared" si="7"/>
        <v>7.7266484625217782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268667</v>
      </c>
      <c r="H114" s="207">
        <f>H92</f>
        <v>306600</v>
      </c>
      <c r="I114" s="208">
        <f t="shared" ref="I114:L114" si="8">I92</f>
        <v>635740</v>
      </c>
      <c r="J114" s="208">
        <f t="shared" si="8"/>
        <v>0</v>
      </c>
      <c r="K114" s="208">
        <f t="shared" si="8"/>
        <v>0</v>
      </c>
      <c r="L114" s="208">
        <f t="shared" si="8"/>
        <v>0</v>
      </c>
      <c r="M114" s="209">
        <f t="shared" ref="M114" si="9">M92</f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1647.0687049000098</v>
      </c>
      <c r="H116" s="8">
        <f t="shared" ref="H116:K116" si="12">(H114-H115)/H112</f>
        <v>1850.2551053237171</v>
      </c>
      <c r="I116" s="8">
        <f t="shared" si="12"/>
        <v>3776.6007010077242</v>
      </c>
      <c r="J116" s="8">
        <f t="shared" si="12"/>
        <v>0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1317.8304072349324</v>
      </c>
      <c r="H117" s="25">
        <f t="shared" ref="H117:M117" si="14">H111*G118</f>
        <v>1332.9424450977597</v>
      </c>
      <c r="I117" s="25">
        <f t="shared" si="14"/>
        <v>1356.6870962021312</v>
      </c>
      <c r="J117" s="25">
        <f t="shared" si="14"/>
        <v>1467.761130662708</v>
      </c>
      <c r="K117" s="25">
        <f t="shared" si="14"/>
        <v>1400.3908947652897</v>
      </c>
      <c r="L117" s="25">
        <f t="shared" si="14"/>
        <v>1336.1129526955631</v>
      </c>
      <c r="M117" s="25">
        <f t="shared" si="14"/>
        <v>1274.7853681668366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29040.140416073195</v>
      </c>
      <c r="H118" s="25">
        <f t="shared" ref="H118:M118" si="15">G118+H116-H117</f>
        <v>29557.453076299153</v>
      </c>
      <c r="I118" s="25">
        <f t="shared" si="15"/>
        <v>31977.366681104748</v>
      </c>
      <c r="J118" s="25">
        <f t="shared" si="15"/>
        <v>30509.60555044204</v>
      </c>
      <c r="K118" s="25">
        <f t="shared" si="15"/>
        <v>29109.214655676751</v>
      </c>
      <c r="L118" s="25">
        <f t="shared" si="15"/>
        <v>27773.101702981188</v>
      </c>
      <c r="M118" s="25">
        <f t="shared" si="15"/>
        <v>26498.31633481435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520642.04382694914</v>
      </c>
      <c r="H119" s="25">
        <f t="shared" ref="H119:K119" si="16">H113*H118</f>
        <v>345828.53770525492</v>
      </c>
      <c r="I119" s="25">
        <f t="shared" si="16"/>
        <v>422470.45655407204</v>
      </c>
      <c r="J119" s="25">
        <f t="shared" si="16"/>
        <v>235736.99681846891</v>
      </c>
      <c r="K119" s="25">
        <f t="shared" si="16"/>
        <v>224916.66866450119</v>
      </c>
      <c r="L119" s="25">
        <f t="shared" ref="L119:M119" si="17">L113*L118</f>
        <v>214592.99357280057</v>
      </c>
      <c r="M119" s="25">
        <f t="shared" si="17"/>
        <v>204743.17516780901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1546519.1438269492</v>
      </c>
      <c r="H121" s="25">
        <f t="shared" ref="H121:K121" si="18">H107+H119</f>
        <v>1461041.537705255</v>
      </c>
      <c r="I121" s="25">
        <f t="shared" si="18"/>
        <v>1519866.456554072</v>
      </c>
      <c r="J121" s="25">
        <f t="shared" si="18"/>
        <v>235736.99681846891</v>
      </c>
      <c r="K121" s="25">
        <f t="shared" si="18"/>
        <v>224916.66866450119</v>
      </c>
      <c r="L121" s="25">
        <f t="shared" ref="L121:M121" si="19">L107+L119</f>
        <v>214592.99357280057</v>
      </c>
      <c r="M121" s="25">
        <f t="shared" si="19"/>
        <v>204743.17516780901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6" t="s">
        <v>108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1653</v>
      </c>
      <c r="H128" s="8">
        <f t="shared" ref="H128:K130" si="20">H96</f>
        <v>1646</v>
      </c>
      <c r="I128" s="8">
        <f t="shared" si="20"/>
        <v>1636</v>
      </c>
      <c r="J128" s="8">
        <f t="shared" si="20"/>
        <v>0</v>
      </c>
      <c r="K128" s="8">
        <f t="shared" si="20"/>
        <v>0</v>
      </c>
      <c r="L128" s="8">
        <f t="shared" ref="L128:M128" si="21">L96</f>
        <v>0</v>
      </c>
      <c r="M128" s="8">
        <f t="shared" si="21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31906696</v>
      </c>
      <c r="H129" s="39">
        <f t="shared" si="20"/>
        <v>27232313</v>
      </c>
      <c r="I129" s="39">
        <f t="shared" si="20"/>
        <v>27331580</v>
      </c>
      <c r="J129" s="39">
        <f t="shared" si="20"/>
        <v>0</v>
      </c>
      <c r="K129" s="39">
        <f t="shared" si="20"/>
        <v>0</v>
      </c>
      <c r="L129" s="39">
        <f t="shared" ref="L129:M129" si="22">L97</f>
        <v>0</v>
      </c>
      <c r="M129" s="39">
        <f t="shared" si="22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5905</v>
      </c>
      <c r="H130" s="8">
        <f t="shared" si="20"/>
        <v>5905</v>
      </c>
      <c r="I130" s="8">
        <f t="shared" si="20"/>
        <v>5905</v>
      </c>
      <c r="J130" s="8">
        <f t="shared" si="20"/>
        <v>0</v>
      </c>
      <c r="K130" s="8">
        <f t="shared" si="20"/>
        <v>0</v>
      </c>
      <c r="L130" s="8">
        <f t="shared" ref="L130:M130" si="23">L98</f>
        <v>0</v>
      </c>
      <c r="M130" s="8">
        <f t="shared" si="2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8722</v>
      </c>
      <c r="H131" s="8">
        <f t="shared" ref="H131:M131" si="24">MAX(G131,H130)</f>
        <v>8722</v>
      </c>
      <c r="I131" s="8">
        <f t="shared" si="24"/>
        <v>8722</v>
      </c>
      <c r="J131" s="8">
        <f t="shared" si="24"/>
        <v>8722</v>
      </c>
      <c r="K131" s="8">
        <f t="shared" si="24"/>
        <v>8722</v>
      </c>
      <c r="L131" s="8">
        <f t="shared" si="24"/>
        <v>8722</v>
      </c>
      <c r="M131" s="8">
        <f t="shared" si="24"/>
        <v>8722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118.91114870827467</v>
      </c>
      <c r="K134" s="214">
        <f>J134*EXP('Model Inputs'!K21)</f>
        <v>118.91114870827467</v>
      </c>
      <c r="L134" s="214">
        <f>K134*EXP('Model Inputs'!L21)</f>
        <v>118.91114870827467</v>
      </c>
      <c r="M134" s="215">
        <f>L134*EXP('Model Inputs'!M21)</f>
        <v>118.91114870827467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1013.3851655047079</v>
      </c>
      <c r="K135" s="217">
        <f>J135*EXP('Model Inputs'!K20)</f>
        <v>1013.3851655047079</v>
      </c>
      <c r="L135" s="217">
        <f>K135*EXP('Model Inputs'!L20)</f>
        <v>1013.3851655047079</v>
      </c>
      <c r="M135" s="218">
        <f>L135*EXP('Model Inputs'!M20)</f>
        <v>1013.3851655047079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2.2671003495575846E-2</v>
      </c>
      <c r="I136" s="40">
        <f t="shared" ref="I136:M136" si="25">LN(I134/H134)*0.3+LN(I135/H135)*0.7</f>
        <v>2.2671003495575846E-2</v>
      </c>
      <c r="J136" s="40">
        <f t="shared" si="25"/>
        <v>0</v>
      </c>
      <c r="K136" s="40">
        <f t="shared" si="25"/>
        <v>0</v>
      </c>
      <c r="L136" s="40">
        <f t="shared" si="25"/>
        <v>0</v>
      </c>
      <c r="M136" s="40">
        <f t="shared" si="2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118.56183642569529</v>
      </c>
      <c r="H137" s="29">
        <f t="shared" ref="H137:M137" si="26">G137*EXP(H136)</f>
        <v>121.28045267236115</v>
      </c>
      <c r="I137" s="29">
        <f t="shared" si="26"/>
        <v>124.06140663679059</v>
      </c>
      <c r="J137" s="29">
        <f t="shared" si="26"/>
        <v>124.06140663679059</v>
      </c>
      <c r="K137" s="29">
        <f t="shared" si="26"/>
        <v>124.06140663679059</v>
      </c>
      <c r="L137" s="29">
        <f t="shared" si="26"/>
        <v>124.06140663679059</v>
      </c>
      <c r="M137" s="29">
        <f t="shared" si="26"/>
        <v>124.06140663679059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7">H113</f>
        <v>11.700214386284856</v>
      </c>
      <c r="I139" s="29">
        <f t="shared" si="27"/>
        <v>13.211546177869222</v>
      </c>
      <c r="J139" s="29">
        <f t="shared" si="27"/>
        <v>7.7266484625217782</v>
      </c>
      <c r="K139" s="29">
        <f t="shared" si="27"/>
        <v>7.7266484625217782</v>
      </c>
      <c r="L139" s="29">
        <f t="shared" ref="L139:M139" si="28">L113</f>
        <v>7.7266484625217782</v>
      </c>
      <c r="M139" s="29">
        <f t="shared" si="28"/>
        <v>7.7266484625217782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92</v>
      </c>
      <c r="H142" s="42">
        <f>'Model Inputs'!H16</f>
        <v>92</v>
      </c>
      <c r="I142" s="42">
        <f>'Model Inputs'!I16</f>
        <v>92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92.107142857142861</v>
      </c>
      <c r="H143" s="41">
        <f>(G143*14+H142)/15</f>
        <v>92.1</v>
      </c>
      <c r="I143" s="41">
        <f>(H143*15+I142)/16</f>
        <v>92.09375</v>
      </c>
      <c r="J143" s="41">
        <f>(I143*16+J142)/17</f>
        <v>86.67647058823529</v>
      </c>
      <c r="K143" s="41">
        <f>(J143*17+K142)/18</f>
        <v>81.861111111111114</v>
      </c>
      <c r="L143" s="41">
        <f>(K143*17+L142)/18</f>
        <v>77.313271604938279</v>
      </c>
      <c r="M143" s="41">
        <f>(L143*17+M142)/18</f>
        <v>73.018089849108378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1765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-6.3456090651558078E-2</v>
      </c>
      <c r="H145" s="30">
        <v>-4.24E-2</v>
      </c>
      <c r="I145" s="30">
        <v>-6.08E-2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29">HLOOKUP($E$3,$P$3:$CI$269,O151,FALSE)</f>
        <v>1</v>
      </c>
      <c r="H151" s="32">
        <f t="shared" ref="H151:M151" si="30">G151</f>
        <v>1</v>
      </c>
      <c r="I151" s="32">
        <f t="shared" si="30"/>
        <v>1</v>
      </c>
      <c r="J151" s="32">
        <f t="shared" si="30"/>
        <v>1</v>
      </c>
      <c r="K151" s="32">
        <f t="shared" si="30"/>
        <v>1</v>
      </c>
      <c r="L151" s="32">
        <f t="shared" si="30"/>
        <v>1</v>
      </c>
      <c r="M151" s="32">
        <f t="shared" si="30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29"/>
        <v>0.15121525515716414</v>
      </c>
      <c r="H152" s="44">
        <f t="shared" ref="H152:K152" si="31">H113/H137</f>
        <v>9.6472383871232373E-2</v>
      </c>
      <c r="I152" s="44">
        <f t="shared" si="31"/>
        <v>0.10649199082957454</v>
      </c>
      <c r="J152" s="44">
        <f t="shared" si="31"/>
        <v>6.2280838755462163E-2</v>
      </c>
      <c r="K152" s="44">
        <f t="shared" si="31"/>
        <v>6.2280838755462163E-2</v>
      </c>
      <c r="L152" s="44">
        <f t="shared" ref="L152:M152" si="32">L113/L137</f>
        <v>6.2280838755462163E-2</v>
      </c>
      <c r="M152" s="44">
        <f t="shared" si="32"/>
        <v>6.2280838755462163E-2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29"/>
        <v>1653</v>
      </c>
      <c r="H153" s="25">
        <f t="shared" ref="H153:K153" si="33">H96</f>
        <v>1646</v>
      </c>
      <c r="I153" s="25">
        <f t="shared" si="33"/>
        <v>1636</v>
      </c>
      <c r="J153" s="25">
        <f t="shared" si="33"/>
        <v>0</v>
      </c>
      <c r="K153" s="25">
        <f t="shared" si="33"/>
        <v>0</v>
      </c>
      <c r="L153" s="25">
        <f t="shared" ref="L153:M153" si="34">L96</f>
        <v>0</v>
      </c>
      <c r="M153" s="25">
        <f t="shared" si="34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29"/>
        <v>8722</v>
      </c>
      <c r="H154" s="25">
        <f t="shared" ref="H154:K154" si="35">H131</f>
        <v>8722</v>
      </c>
      <c r="I154" s="25">
        <f t="shared" si="35"/>
        <v>8722</v>
      </c>
      <c r="J154" s="25">
        <f t="shared" si="35"/>
        <v>8722</v>
      </c>
      <c r="K154" s="25">
        <f t="shared" si="35"/>
        <v>8722</v>
      </c>
      <c r="L154" s="25">
        <f t="shared" ref="L154:M154" si="36">L131</f>
        <v>8722</v>
      </c>
      <c r="M154" s="25">
        <f t="shared" si="36"/>
        <v>8722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29"/>
        <v>31906696</v>
      </c>
      <c r="H155" s="39">
        <f t="shared" ref="H155:K155" si="37">H97</f>
        <v>27232313</v>
      </c>
      <c r="I155" s="39">
        <f t="shared" si="37"/>
        <v>27331580</v>
      </c>
      <c r="J155" s="39">
        <f t="shared" si="37"/>
        <v>0</v>
      </c>
      <c r="K155" s="39">
        <f t="shared" si="37"/>
        <v>0</v>
      </c>
      <c r="L155" s="39">
        <f t="shared" ref="L155:M155" si="38">L97</f>
        <v>0</v>
      </c>
      <c r="M155" s="39">
        <f t="shared" si="38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29"/>
        <v>92.107142857142861</v>
      </c>
      <c r="H156" s="45">
        <f t="shared" ref="H156:K156" si="39">H143</f>
        <v>92.1</v>
      </c>
      <c r="I156" s="45">
        <f t="shared" si="39"/>
        <v>92.09375</v>
      </c>
      <c r="J156" s="45">
        <f t="shared" si="39"/>
        <v>86.67647058823529</v>
      </c>
      <c r="K156" s="45">
        <f t="shared" si="39"/>
        <v>81.861111111111114</v>
      </c>
      <c r="L156" s="45">
        <f t="shared" ref="L156:M156" si="40">L143</f>
        <v>77.313271604938279</v>
      </c>
      <c r="M156" s="45">
        <f t="shared" si="40"/>
        <v>73.018089849108378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29"/>
        <v>-6.3456090651558078E-2</v>
      </c>
      <c r="H157" s="31">
        <f t="shared" ref="H157:L157" si="41">H145</f>
        <v>-4.24E-2</v>
      </c>
      <c r="I157" s="31">
        <f t="shared" si="41"/>
        <v>-6.08E-2</v>
      </c>
      <c r="J157" s="31">
        <f t="shared" si="41"/>
        <v>0</v>
      </c>
      <c r="K157" s="31">
        <f t="shared" si="41"/>
        <v>0</v>
      </c>
      <c r="L157" s="31">
        <f t="shared" si="41"/>
        <v>0</v>
      </c>
      <c r="M157" s="31">
        <f t="shared" ref="M157" si="42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29"/>
        <v>9</v>
      </c>
      <c r="H158" s="3">
        <f t="shared" ref="H158:K158" si="43">H5-2006</f>
        <v>10</v>
      </c>
      <c r="I158" s="3">
        <f t="shared" si="43"/>
        <v>11</v>
      </c>
      <c r="J158" s="3">
        <f t="shared" si="43"/>
        <v>12</v>
      </c>
      <c r="K158" s="3">
        <f t="shared" si="43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4">HLOOKUP($E$3,$P$3:$CI$269,O162,FALSE)</f>
        <v>12.815667288766317</v>
      </c>
      <c r="H162" s="49">
        <f t="shared" ref="H162:M179" si="45">G162</f>
        <v>12.815667288766317</v>
      </c>
      <c r="I162" s="49">
        <f t="shared" si="45"/>
        <v>12.815667288766317</v>
      </c>
      <c r="J162" s="49">
        <f t="shared" si="45"/>
        <v>12.815667288766317</v>
      </c>
      <c r="K162" s="49">
        <f t="shared" si="45"/>
        <v>12.815667288766317</v>
      </c>
      <c r="L162" s="49">
        <f t="shared" si="45"/>
        <v>12.815667288766317</v>
      </c>
      <c r="M162" s="49">
        <f t="shared" si="45"/>
        <v>12.815667288766317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4"/>
        <v>0.62653853064688692</v>
      </c>
      <c r="H163" s="49">
        <f t="shared" si="45"/>
        <v>0.62653853064688692</v>
      </c>
      <c r="I163" s="49">
        <f t="shared" si="45"/>
        <v>0.62653853064688692</v>
      </c>
      <c r="J163" s="49">
        <f t="shared" si="45"/>
        <v>0.62653853064688692</v>
      </c>
      <c r="K163" s="49">
        <f t="shared" si="45"/>
        <v>0.62653853064688692</v>
      </c>
      <c r="L163" s="49">
        <f t="shared" si="45"/>
        <v>0.62653853064688692</v>
      </c>
      <c r="M163" s="49">
        <f t="shared" si="45"/>
        <v>0.62653853064688692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4"/>
        <v>0.4439023607460244</v>
      </c>
      <c r="H164" s="49">
        <f t="shared" si="45"/>
        <v>0.4439023607460244</v>
      </c>
      <c r="I164" s="49">
        <f t="shared" si="45"/>
        <v>0.4439023607460244</v>
      </c>
      <c r="J164" s="49">
        <f t="shared" si="45"/>
        <v>0.4439023607460244</v>
      </c>
      <c r="K164" s="49">
        <f t="shared" si="45"/>
        <v>0.4439023607460244</v>
      </c>
      <c r="L164" s="49">
        <f t="shared" si="45"/>
        <v>0.4439023607460244</v>
      </c>
      <c r="M164" s="49">
        <f t="shared" si="45"/>
        <v>0.4439023607460244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4"/>
        <v>0.1617444919555816</v>
      </c>
      <c r="H165" s="49">
        <f t="shared" si="45"/>
        <v>0.1617444919555816</v>
      </c>
      <c r="I165" s="49">
        <f t="shared" si="45"/>
        <v>0.1617444919555816</v>
      </c>
      <c r="J165" s="49">
        <f t="shared" si="45"/>
        <v>0.1617444919555816</v>
      </c>
      <c r="K165" s="49">
        <f t="shared" si="45"/>
        <v>0.1617444919555816</v>
      </c>
      <c r="L165" s="49">
        <f t="shared" si="45"/>
        <v>0.1617444919555816</v>
      </c>
      <c r="M165" s="49">
        <f t="shared" si="45"/>
        <v>0.1617444919555816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4"/>
        <v>9.9479524361308885E-2</v>
      </c>
      <c r="H166" s="49">
        <f t="shared" si="45"/>
        <v>9.9479524361308885E-2</v>
      </c>
      <c r="I166" s="49">
        <f t="shared" si="45"/>
        <v>9.9479524361308885E-2</v>
      </c>
      <c r="J166" s="49">
        <f t="shared" si="45"/>
        <v>9.9479524361308885E-2</v>
      </c>
      <c r="K166" s="49">
        <f t="shared" si="45"/>
        <v>9.9479524361308885E-2</v>
      </c>
      <c r="L166" s="49">
        <f t="shared" si="45"/>
        <v>9.9479524361308885E-2</v>
      </c>
      <c r="M166" s="49">
        <f t="shared" si="45"/>
        <v>9.9479524361308885E-2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4"/>
        <v>0.12324787238901624</v>
      </c>
      <c r="H167" s="49">
        <f t="shared" si="45"/>
        <v>0.12324787238901624</v>
      </c>
      <c r="I167" s="49">
        <f t="shared" si="45"/>
        <v>0.12324787238901624</v>
      </c>
      <c r="J167" s="49">
        <f t="shared" si="45"/>
        <v>0.12324787238901624</v>
      </c>
      <c r="K167" s="49">
        <f t="shared" si="45"/>
        <v>0.12324787238901624</v>
      </c>
      <c r="L167" s="49">
        <f t="shared" si="45"/>
        <v>0.12324787238901624</v>
      </c>
      <c r="M167" s="49">
        <f t="shared" si="45"/>
        <v>0.12324787238901624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4"/>
        <v>-0.35409746395880048</v>
      </c>
      <c r="H168" s="49">
        <f t="shared" si="45"/>
        <v>-0.35409746395880048</v>
      </c>
      <c r="I168" s="49">
        <f t="shared" si="45"/>
        <v>-0.35409746395880048</v>
      </c>
      <c r="J168" s="49">
        <f t="shared" si="45"/>
        <v>-0.35409746395880048</v>
      </c>
      <c r="K168" s="49">
        <f t="shared" si="45"/>
        <v>-0.35409746395880048</v>
      </c>
      <c r="L168" s="49">
        <f t="shared" si="45"/>
        <v>-0.35409746395880048</v>
      </c>
      <c r="M168" s="49">
        <f t="shared" si="45"/>
        <v>-0.35409746395880048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4"/>
        <v>0.21300959127088095</v>
      </c>
      <c r="H169" s="49">
        <f t="shared" si="45"/>
        <v>0.21300959127088095</v>
      </c>
      <c r="I169" s="49">
        <f t="shared" si="45"/>
        <v>0.21300959127088095</v>
      </c>
      <c r="J169" s="49">
        <f t="shared" si="45"/>
        <v>0.21300959127088095</v>
      </c>
      <c r="K169" s="49">
        <f t="shared" si="45"/>
        <v>0.21300959127088095</v>
      </c>
      <c r="L169" s="49">
        <f t="shared" si="45"/>
        <v>0.21300959127088095</v>
      </c>
      <c r="M169" s="49">
        <f t="shared" si="45"/>
        <v>0.21300959127088095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4"/>
        <v>0.15483886501318267</v>
      </c>
      <c r="H170" s="49">
        <f t="shared" si="45"/>
        <v>0.15483886501318267</v>
      </c>
      <c r="I170" s="49">
        <f t="shared" si="45"/>
        <v>0.15483886501318267</v>
      </c>
      <c r="J170" s="49">
        <f t="shared" si="45"/>
        <v>0.15483886501318267</v>
      </c>
      <c r="K170" s="49">
        <f t="shared" si="45"/>
        <v>0.15483886501318267</v>
      </c>
      <c r="L170" s="49">
        <f t="shared" si="45"/>
        <v>0.15483886501318267</v>
      </c>
      <c r="M170" s="49">
        <f t="shared" si="45"/>
        <v>0.15483886501318267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4"/>
        <v>5.3284587002275452E-2</v>
      </c>
      <c r="H171" s="49">
        <f t="shared" si="45"/>
        <v>5.3284587002275452E-2</v>
      </c>
      <c r="I171" s="49">
        <f t="shared" si="45"/>
        <v>5.3284587002275452E-2</v>
      </c>
      <c r="J171" s="49">
        <f t="shared" si="45"/>
        <v>5.3284587002275452E-2</v>
      </c>
      <c r="K171" s="49">
        <f t="shared" si="45"/>
        <v>5.3284587002275452E-2</v>
      </c>
      <c r="L171" s="49">
        <f t="shared" si="45"/>
        <v>5.3284587002275452E-2</v>
      </c>
      <c r="M171" s="49">
        <f t="shared" si="45"/>
        <v>5.3284587002275452E-2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4"/>
        <v>9.7871670027535052E-3</v>
      </c>
      <c r="H172" s="49">
        <f t="shared" si="45"/>
        <v>9.7871670027535052E-3</v>
      </c>
      <c r="I172" s="49">
        <f t="shared" si="45"/>
        <v>9.7871670027535052E-3</v>
      </c>
      <c r="J172" s="49">
        <f t="shared" si="45"/>
        <v>9.7871670027535052E-3</v>
      </c>
      <c r="K172" s="49">
        <f t="shared" si="45"/>
        <v>9.7871670027535052E-3</v>
      </c>
      <c r="L172" s="49">
        <f t="shared" si="45"/>
        <v>9.7871670027535052E-3</v>
      </c>
      <c r="M172" s="49">
        <f t="shared" si="45"/>
        <v>9.7871670027535052E-3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4"/>
        <v>-6.5025914175914634E-4</v>
      </c>
      <c r="H173" s="49">
        <f t="shared" si="45"/>
        <v>-6.5025914175914634E-4</v>
      </c>
      <c r="I173" s="49">
        <f t="shared" si="45"/>
        <v>-6.5025914175914634E-4</v>
      </c>
      <c r="J173" s="49">
        <f t="shared" si="45"/>
        <v>-6.5025914175914634E-4</v>
      </c>
      <c r="K173" s="49">
        <f t="shared" si="45"/>
        <v>-6.5025914175914634E-4</v>
      </c>
      <c r="L173" s="49">
        <f t="shared" si="45"/>
        <v>-6.5025914175914634E-4</v>
      </c>
      <c r="M173" s="49">
        <f t="shared" si="45"/>
        <v>-6.5025914175914634E-4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4"/>
        <v>0.11557135318483555</v>
      </c>
      <c r="H174" s="49">
        <f t="shared" si="45"/>
        <v>0.11557135318483555</v>
      </c>
      <c r="I174" s="49">
        <f t="shared" si="45"/>
        <v>0.11557135318483555</v>
      </c>
      <c r="J174" s="49">
        <f t="shared" si="45"/>
        <v>0.11557135318483555</v>
      </c>
      <c r="K174" s="49">
        <f t="shared" si="45"/>
        <v>0.11557135318483555</v>
      </c>
      <c r="L174" s="49">
        <f t="shared" si="45"/>
        <v>0.11557135318483555</v>
      </c>
      <c r="M174" s="49">
        <f t="shared" si="45"/>
        <v>0.11557135318483555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4"/>
        <v>7.0267007453026831E-2</v>
      </c>
      <c r="H175" s="49">
        <f t="shared" si="45"/>
        <v>7.0267007453026831E-2</v>
      </c>
      <c r="I175" s="49">
        <f t="shared" si="45"/>
        <v>7.0267007453026831E-2</v>
      </c>
      <c r="J175" s="49">
        <f t="shared" si="45"/>
        <v>7.0267007453026831E-2</v>
      </c>
      <c r="K175" s="49">
        <f t="shared" si="45"/>
        <v>7.0267007453026831E-2</v>
      </c>
      <c r="L175" s="49">
        <f t="shared" si="45"/>
        <v>7.0267007453026831E-2</v>
      </c>
      <c r="M175" s="49">
        <f t="shared" si="45"/>
        <v>7.0267007453026831E-2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4"/>
        <v>-0.19377556722487993</v>
      </c>
      <c r="H176" s="49">
        <f t="shared" si="45"/>
        <v>-0.19377556722487993</v>
      </c>
      <c r="I176" s="49">
        <f t="shared" si="45"/>
        <v>-0.19377556722487993</v>
      </c>
      <c r="J176" s="49">
        <f t="shared" si="45"/>
        <v>-0.19377556722487993</v>
      </c>
      <c r="K176" s="49">
        <f t="shared" si="45"/>
        <v>-0.19377556722487993</v>
      </c>
      <c r="L176" s="49">
        <f t="shared" si="45"/>
        <v>-0.19377556722487993</v>
      </c>
      <c r="M176" s="49">
        <f t="shared" si="45"/>
        <v>-0.19377556722487993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4"/>
        <v>0.2899842608063613</v>
      </c>
      <c r="H177" s="49">
        <f t="shared" si="45"/>
        <v>0.2899842608063613</v>
      </c>
      <c r="I177" s="49">
        <f t="shared" si="45"/>
        <v>0.2899842608063613</v>
      </c>
      <c r="J177" s="49">
        <f t="shared" si="45"/>
        <v>0.2899842608063613</v>
      </c>
      <c r="K177" s="49">
        <f t="shared" si="45"/>
        <v>0.2899842608063613</v>
      </c>
      <c r="L177" s="49">
        <f t="shared" si="45"/>
        <v>0.2899842608063613</v>
      </c>
      <c r="M177" s="49">
        <f t="shared" si="45"/>
        <v>0.2899842608063613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4"/>
        <v>1.6884808980926914E-2</v>
      </c>
      <c r="H178" s="49">
        <f t="shared" si="45"/>
        <v>1.6884808980926914E-2</v>
      </c>
      <c r="I178" s="49">
        <f t="shared" si="45"/>
        <v>1.6884808980926914E-2</v>
      </c>
      <c r="J178" s="49">
        <f t="shared" si="45"/>
        <v>1.6884808980926914E-2</v>
      </c>
      <c r="K178" s="49">
        <f t="shared" si="45"/>
        <v>1.6884808980926914E-2</v>
      </c>
      <c r="L178" s="49">
        <f t="shared" si="45"/>
        <v>1.6884808980926914E-2</v>
      </c>
      <c r="M178" s="49">
        <f t="shared" si="45"/>
        <v>1.6884808980926914E-2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4"/>
        <v>1.7009932059591473E-2</v>
      </c>
      <c r="H179" s="49">
        <f t="shared" si="45"/>
        <v>1.7009932059591473E-2</v>
      </c>
      <c r="I179" s="49">
        <f t="shared" si="45"/>
        <v>1.7009932059591473E-2</v>
      </c>
      <c r="J179" s="49">
        <f t="shared" si="45"/>
        <v>1.7009932059591473E-2</v>
      </c>
      <c r="K179" s="49">
        <f t="shared" si="45"/>
        <v>1.7009932059591473E-2</v>
      </c>
      <c r="L179" s="49">
        <f t="shared" si="45"/>
        <v>1.7009932059591473E-2</v>
      </c>
      <c r="M179" s="49">
        <f t="shared" si="45"/>
        <v>1.7009932059591473E-2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6">HLOOKUP($E$3,$P$3:$CI$269,O183,FALSE)</f>
        <v>1</v>
      </c>
      <c r="H183" s="49">
        <f t="shared" ref="H183:M199" si="47">G183</f>
        <v>1</v>
      </c>
      <c r="I183" s="49">
        <f t="shared" si="47"/>
        <v>1</v>
      </c>
      <c r="J183" s="49">
        <f t="shared" si="47"/>
        <v>1</v>
      </c>
      <c r="K183" s="49">
        <f t="shared" si="47"/>
        <v>1</v>
      </c>
      <c r="L183" s="49">
        <f t="shared" si="47"/>
        <v>1</v>
      </c>
      <c r="M183" s="49">
        <f t="shared" si="47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6"/>
        <v>0.16439999999999999</v>
      </c>
      <c r="H184" s="49">
        <f t="shared" si="47"/>
        <v>0.16439999999999999</v>
      </c>
      <c r="I184" s="49">
        <f t="shared" si="47"/>
        <v>0.16439999999999999</v>
      </c>
      <c r="J184" s="49">
        <f t="shared" si="47"/>
        <v>0.16439999999999999</v>
      </c>
      <c r="K184" s="49">
        <f t="shared" si="47"/>
        <v>0.16439999999999999</v>
      </c>
      <c r="L184" s="49">
        <f t="shared" si="47"/>
        <v>0.16439999999999999</v>
      </c>
      <c r="M184" s="49">
        <f t="shared" si="47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6"/>
        <v>63422.311800000003</v>
      </c>
      <c r="H185" s="49">
        <f t="shared" si="47"/>
        <v>63422.311800000003</v>
      </c>
      <c r="I185" s="49">
        <f t="shared" si="47"/>
        <v>63422.311800000003</v>
      </c>
      <c r="J185" s="49">
        <f t="shared" si="47"/>
        <v>63422.311800000003</v>
      </c>
      <c r="K185" s="49">
        <f t="shared" si="47"/>
        <v>63422.311800000003</v>
      </c>
      <c r="L185" s="49">
        <f t="shared" si="47"/>
        <v>63422.311800000003</v>
      </c>
      <c r="M185" s="49">
        <f t="shared" si="47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6"/>
        <v>345129.01459999999</v>
      </c>
      <c r="H186" s="49">
        <f t="shared" si="47"/>
        <v>345129.01459999999</v>
      </c>
      <c r="I186" s="49">
        <f t="shared" si="47"/>
        <v>345129.01459999999</v>
      </c>
      <c r="J186" s="49">
        <f t="shared" si="47"/>
        <v>345129.01459999999</v>
      </c>
      <c r="K186" s="49">
        <f t="shared" si="47"/>
        <v>345129.01459999999</v>
      </c>
      <c r="L186" s="49">
        <f t="shared" si="47"/>
        <v>345129.01459999999</v>
      </c>
      <c r="M186" s="49">
        <f t="shared" si="47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6"/>
        <v>1630327994.0632999</v>
      </c>
      <c r="H187" s="52">
        <f t="shared" si="47"/>
        <v>1630327994.0632999</v>
      </c>
      <c r="I187" s="52">
        <f t="shared" si="47"/>
        <v>1630327994.0632999</v>
      </c>
      <c r="J187" s="52">
        <f t="shared" si="47"/>
        <v>1630327994.0632999</v>
      </c>
      <c r="K187" s="52">
        <f t="shared" si="47"/>
        <v>1630327994.0632999</v>
      </c>
      <c r="L187" s="52">
        <f t="shared" si="47"/>
        <v>1630327994.0632999</v>
      </c>
      <c r="M187" s="52">
        <f t="shared" si="47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6"/>
        <v>1</v>
      </c>
      <c r="H188" s="49">
        <f t="shared" si="47"/>
        <v>1</v>
      </c>
      <c r="I188" s="49">
        <f t="shared" si="47"/>
        <v>1</v>
      </c>
      <c r="J188" s="49">
        <f t="shared" si="47"/>
        <v>1</v>
      </c>
      <c r="K188" s="49">
        <f t="shared" si="47"/>
        <v>1</v>
      </c>
      <c r="L188" s="49">
        <f t="shared" si="47"/>
        <v>1</v>
      </c>
      <c r="M188" s="49">
        <f t="shared" si="47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6"/>
        <v>1</v>
      </c>
      <c r="H189" s="49">
        <f t="shared" si="47"/>
        <v>1</v>
      </c>
      <c r="I189" s="49">
        <f t="shared" si="47"/>
        <v>1</v>
      </c>
      <c r="J189" s="49">
        <f t="shared" si="47"/>
        <v>1</v>
      </c>
      <c r="K189" s="49">
        <f t="shared" si="47"/>
        <v>1</v>
      </c>
      <c r="L189" s="49">
        <f t="shared" si="47"/>
        <v>1</v>
      </c>
      <c r="M189" s="49">
        <f t="shared" si="47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6"/>
        <v>1</v>
      </c>
      <c r="H190" s="49">
        <f t="shared" si="47"/>
        <v>1</v>
      </c>
      <c r="I190" s="49">
        <f t="shared" si="47"/>
        <v>1</v>
      </c>
      <c r="J190" s="49">
        <f t="shared" si="47"/>
        <v>1</v>
      </c>
      <c r="K190" s="49">
        <f t="shared" si="47"/>
        <v>1</v>
      </c>
      <c r="L190" s="49">
        <f t="shared" si="47"/>
        <v>1</v>
      </c>
      <c r="M190" s="49">
        <f t="shared" si="47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6"/>
        <v>1</v>
      </c>
      <c r="H191" s="49">
        <f t="shared" si="47"/>
        <v>1</v>
      </c>
      <c r="I191" s="49">
        <f t="shared" si="47"/>
        <v>1</v>
      </c>
      <c r="J191" s="49">
        <f t="shared" si="47"/>
        <v>1</v>
      </c>
      <c r="K191" s="49">
        <f t="shared" si="47"/>
        <v>1</v>
      </c>
      <c r="L191" s="49">
        <f t="shared" si="47"/>
        <v>1</v>
      </c>
      <c r="M191" s="49">
        <f t="shared" si="47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6"/>
        <v>1</v>
      </c>
      <c r="H192" s="49">
        <f t="shared" si="47"/>
        <v>1</v>
      </c>
      <c r="I192" s="49">
        <f t="shared" si="47"/>
        <v>1</v>
      </c>
      <c r="J192" s="49">
        <f t="shared" si="47"/>
        <v>1</v>
      </c>
      <c r="K192" s="49">
        <f t="shared" si="47"/>
        <v>1</v>
      </c>
      <c r="L192" s="49">
        <f t="shared" si="47"/>
        <v>1</v>
      </c>
      <c r="M192" s="49">
        <f t="shared" si="47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6"/>
        <v>1</v>
      </c>
      <c r="H193" s="49">
        <f t="shared" si="47"/>
        <v>1</v>
      </c>
      <c r="I193" s="49">
        <f t="shared" si="47"/>
        <v>1</v>
      </c>
      <c r="J193" s="49">
        <f t="shared" si="47"/>
        <v>1</v>
      </c>
      <c r="K193" s="49">
        <f t="shared" si="47"/>
        <v>1</v>
      </c>
      <c r="L193" s="49">
        <f t="shared" si="47"/>
        <v>1</v>
      </c>
      <c r="M193" s="49">
        <f t="shared" si="47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6"/>
        <v>1</v>
      </c>
      <c r="H194" s="49">
        <f t="shared" si="47"/>
        <v>1</v>
      </c>
      <c r="I194" s="49">
        <f t="shared" si="47"/>
        <v>1</v>
      </c>
      <c r="J194" s="49">
        <f t="shared" si="47"/>
        <v>1</v>
      </c>
      <c r="K194" s="49">
        <f t="shared" si="47"/>
        <v>1</v>
      </c>
      <c r="L194" s="49">
        <f t="shared" si="47"/>
        <v>1</v>
      </c>
      <c r="M194" s="49">
        <f t="shared" si="47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6"/>
        <v>1</v>
      </c>
      <c r="H195" s="49">
        <f t="shared" si="47"/>
        <v>1</v>
      </c>
      <c r="I195" s="49">
        <f t="shared" si="47"/>
        <v>1</v>
      </c>
      <c r="J195" s="49">
        <f t="shared" si="47"/>
        <v>1</v>
      </c>
      <c r="K195" s="49">
        <f t="shared" si="47"/>
        <v>1</v>
      </c>
      <c r="L195" s="49">
        <f t="shared" si="47"/>
        <v>1</v>
      </c>
      <c r="M195" s="49">
        <f t="shared" si="47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6"/>
        <v>1</v>
      </c>
      <c r="H196" s="49">
        <f t="shared" si="47"/>
        <v>1</v>
      </c>
      <c r="I196" s="49">
        <f t="shared" si="47"/>
        <v>1</v>
      </c>
      <c r="J196" s="49">
        <f t="shared" si="47"/>
        <v>1</v>
      </c>
      <c r="K196" s="49">
        <f t="shared" si="47"/>
        <v>1</v>
      </c>
      <c r="L196" s="49">
        <f t="shared" si="47"/>
        <v>1</v>
      </c>
      <c r="M196" s="49">
        <f t="shared" si="47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6"/>
        <v>1</v>
      </c>
      <c r="H197" s="49">
        <f t="shared" si="47"/>
        <v>1</v>
      </c>
      <c r="I197" s="49">
        <f t="shared" si="47"/>
        <v>1</v>
      </c>
      <c r="J197" s="49">
        <f t="shared" si="47"/>
        <v>1</v>
      </c>
      <c r="K197" s="49">
        <f t="shared" si="47"/>
        <v>1</v>
      </c>
      <c r="L197" s="49">
        <f t="shared" si="47"/>
        <v>1</v>
      </c>
      <c r="M197" s="49">
        <f t="shared" si="47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6"/>
        <v>2722.7979999999998</v>
      </c>
      <c r="H198" s="52">
        <f t="shared" si="47"/>
        <v>2722.7979999999998</v>
      </c>
      <c r="I198" s="52">
        <f t="shared" si="47"/>
        <v>2722.7979999999998</v>
      </c>
      <c r="J198" s="52">
        <f t="shared" si="47"/>
        <v>2722.7979999999998</v>
      </c>
      <c r="K198" s="52">
        <f t="shared" si="47"/>
        <v>2722.7979999999998</v>
      </c>
      <c r="L198" s="52">
        <f t="shared" si="47"/>
        <v>2722.7979999999998</v>
      </c>
      <c r="M198" s="52">
        <f t="shared" si="47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6"/>
        <v>0.12859999999999999</v>
      </c>
      <c r="H199" s="49">
        <f t="shared" si="47"/>
        <v>0.12859999999999999</v>
      </c>
      <c r="I199" s="49">
        <f t="shared" si="47"/>
        <v>0.12859999999999999</v>
      </c>
      <c r="J199" s="49">
        <f t="shared" si="47"/>
        <v>0.12859999999999999</v>
      </c>
      <c r="K199" s="49">
        <f t="shared" si="47"/>
        <v>0.12859999999999999</v>
      </c>
      <c r="L199" s="49">
        <f t="shared" si="47"/>
        <v>0.12859999999999999</v>
      </c>
      <c r="M199" s="49">
        <f t="shared" si="47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8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8"/>
        <v>-8.3598130069505519E-2</v>
      </c>
      <c r="H206" s="48">
        <f t="shared" ref="H206:K209" si="49">LN(H152/H184)</f>
        <v>-0.53304569273391678</v>
      </c>
      <c r="I206" s="48">
        <f t="shared" si="49"/>
        <v>-0.43423270377869638</v>
      </c>
      <c r="J206" s="48">
        <f t="shared" si="49"/>
        <v>-0.97064866825399798</v>
      </c>
      <c r="K206" s="48">
        <f t="shared" si="49"/>
        <v>-0.97064866825399798</v>
      </c>
      <c r="L206" s="48">
        <f t="shared" ref="L206:M206" si="50">LN(L152/L184)</f>
        <v>-0.97064866825399798</v>
      </c>
      <c r="M206" s="48">
        <f t="shared" si="50"/>
        <v>-0.97064866825399798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8"/>
        <v>-3.6472239018302215</v>
      </c>
      <c r="H207" s="48">
        <f t="shared" si="49"/>
        <v>-3.6514676184142303</v>
      </c>
      <c r="I207" s="48">
        <f t="shared" si="49"/>
        <v>-3.6575614824885534</v>
      </c>
      <c r="J207" s="48" t="e">
        <f t="shared" si="49"/>
        <v>#NUM!</v>
      </c>
      <c r="K207" s="48" t="e">
        <f t="shared" si="49"/>
        <v>#NUM!</v>
      </c>
      <c r="L207" s="48" t="e">
        <f t="shared" ref="L207:M207" si="51">LN(L153/L185)</f>
        <v>#NUM!</v>
      </c>
      <c r="M207" s="48" t="e">
        <f t="shared" si="51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8"/>
        <v>-3.6780697330692242</v>
      </c>
      <c r="H208" s="48">
        <f t="shared" si="49"/>
        <v>-3.6780697330692242</v>
      </c>
      <c r="I208" s="48">
        <f t="shared" si="49"/>
        <v>-3.6780697330692242</v>
      </c>
      <c r="J208" s="48">
        <f t="shared" si="49"/>
        <v>-3.6780697330692242</v>
      </c>
      <c r="K208" s="48">
        <f t="shared" si="49"/>
        <v>-3.6780697330692242</v>
      </c>
      <c r="L208" s="48">
        <f t="shared" ref="L208:M208" si="52">LN(L154/L186)</f>
        <v>-3.6780697330692242</v>
      </c>
      <c r="M208" s="48">
        <f t="shared" si="52"/>
        <v>-3.6780697330692242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8"/>
        <v>-3.9337206031900838</v>
      </c>
      <c r="H209" s="48">
        <f t="shared" si="49"/>
        <v>-4.0921322507541253</v>
      </c>
      <c r="I209" s="48">
        <f t="shared" si="49"/>
        <v>-4.0884936867126074</v>
      </c>
      <c r="J209" s="48" t="e">
        <f t="shared" si="49"/>
        <v>#NUM!</v>
      </c>
      <c r="K209" s="48" t="e">
        <f t="shared" si="49"/>
        <v>#NUM!</v>
      </c>
      <c r="L209" s="48" t="e">
        <f t="shared" ref="L209:M209" si="53">LN(L155/L187)</f>
        <v>#NUM!</v>
      </c>
      <c r="M209" s="48" t="e">
        <f t="shared" si="53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8"/>
        <v>3.4943236755589813E-3</v>
      </c>
      <c r="H210" s="48">
        <f t="shared" ref="H210:K213" si="54">H206*H206/2</f>
        <v>0.14206885527109062</v>
      </c>
      <c r="I210" s="48">
        <f t="shared" si="54"/>
        <v>9.427902051547854E-2</v>
      </c>
      <c r="J210" s="48">
        <f t="shared" si="54"/>
        <v>0.47107941859162994</v>
      </c>
      <c r="K210" s="48">
        <f t="shared" si="54"/>
        <v>0.47107941859162994</v>
      </c>
      <c r="L210" s="48">
        <f t="shared" ref="L210:M210" si="55">L206*L206/2</f>
        <v>0.47107941859162994</v>
      </c>
      <c r="M210" s="48">
        <f t="shared" si="55"/>
        <v>0.47107941859162994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8"/>
        <v>6.6511210950408328</v>
      </c>
      <c r="H211" s="48">
        <f t="shared" si="54"/>
        <v>6.6666078841638452</v>
      </c>
      <c r="I211" s="48">
        <f t="shared" si="54"/>
        <v>6.6888779990919325</v>
      </c>
      <c r="J211" s="48" t="e">
        <f t="shared" si="54"/>
        <v>#NUM!</v>
      </c>
      <c r="K211" s="48" t="e">
        <f t="shared" si="54"/>
        <v>#NUM!</v>
      </c>
      <c r="L211" s="48" t="e">
        <f t="shared" ref="L211:M211" si="56">L207*L207/2</f>
        <v>#NUM!</v>
      </c>
      <c r="M211" s="48" t="e">
        <f t="shared" si="56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8"/>
        <v>6.7640984806599569</v>
      </c>
      <c r="H212" s="48">
        <f t="shared" si="54"/>
        <v>6.7640984806599569</v>
      </c>
      <c r="I212" s="48">
        <f t="shared" si="54"/>
        <v>6.7640984806599569</v>
      </c>
      <c r="J212" s="48">
        <f t="shared" si="54"/>
        <v>6.7640984806599569</v>
      </c>
      <c r="K212" s="48">
        <f t="shared" si="54"/>
        <v>6.7640984806599569</v>
      </c>
      <c r="L212" s="48">
        <f t="shared" ref="L212:M212" si="57">L208*L208/2</f>
        <v>6.7640984806599569</v>
      </c>
      <c r="M212" s="48">
        <f t="shared" si="57"/>
        <v>6.7640984806599569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8"/>
        <v>7.7370788919810778</v>
      </c>
      <c r="H213" s="48">
        <f t="shared" si="54"/>
        <v>8.3727731788310127</v>
      </c>
      <c r="I213" s="48">
        <f t="shared" si="54"/>
        <v>8.3578903131444235</v>
      </c>
      <c r="J213" s="48" t="e">
        <f t="shared" si="54"/>
        <v>#NUM!</v>
      </c>
      <c r="K213" s="48" t="e">
        <f t="shared" si="54"/>
        <v>#NUM!</v>
      </c>
      <c r="L213" s="48" t="e">
        <f t="shared" ref="L213:M213" si="58">L209*L209/2</f>
        <v>#NUM!</v>
      </c>
      <c r="M213" s="48" t="e">
        <f t="shared" si="58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8"/>
        <v>0.3049010981378123</v>
      </c>
      <c r="H214" s="48">
        <f t="shared" ref="H214:K214" si="59">H206*H207</f>
        <v>1.9463990861530787</v>
      </c>
      <c r="I214" s="48">
        <f t="shared" si="59"/>
        <v>1.5882328117778215</v>
      </c>
      <c r="J214" s="48" t="e">
        <f t="shared" si="59"/>
        <v>#NUM!</v>
      </c>
      <c r="K214" s="48" t="e">
        <f t="shared" si="59"/>
        <v>#NUM!</v>
      </c>
      <c r="L214" s="48" t="e">
        <f t="shared" ref="L214:M214" si="60">L206*L207</f>
        <v>#NUM!</v>
      </c>
      <c r="M214" s="48" t="e">
        <f t="shared" si="60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8"/>
        <v>0.30747975194983246</v>
      </c>
      <c r="H215" s="48">
        <f t="shared" ref="H215:K215" si="61">H206*H208</f>
        <v>1.960579228787537</v>
      </c>
      <c r="I215" s="48">
        <f t="shared" si="61"/>
        <v>1.5971381648772374</v>
      </c>
      <c r="J215" s="48">
        <f t="shared" si="61"/>
        <v>3.5701134881489804</v>
      </c>
      <c r="K215" s="48">
        <f t="shared" si="61"/>
        <v>3.5701134881489804</v>
      </c>
      <c r="L215" s="48">
        <f t="shared" ref="L215:M215" si="62">L206*L208</f>
        <v>3.5701134881489804</v>
      </c>
      <c r="M215" s="48">
        <f t="shared" si="62"/>
        <v>3.5701134881489804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8"/>
        <v>0.32885168664257836</v>
      </c>
      <c r="H216" s="48">
        <f t="shared" ref="H216:K216" si="63">H206*H209</f>
        <v>2.1812934703620348</v>
      </c>
      <c r="I216" s="48">
        <f t="shared" si="63"/>
        <v>1.7753576679633458</v>
      </c>
      <c r="J216" s="48" t="e">
        <f t="shared" si="63"/>
        <v>#NUM!</v>
      </c>
      <c r="K216" s="48" t="e">
        <f t="shared" si="63"/>
        <v>#NUM!</v>
      </c>
      <c r="L216" s="48" t="e">
        <f t="shared" ref="L216:M216" si="64">L206*L209</f>
        <v>#NUM!</v>
      </c>
      <c r="M216" s="48" t="e">
        <f t="shared" si="64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8"/>
        <v>13.414743843048377</v>
      </c>
      <c r="H217" s="48">
        <f t="shared" ref="H217:K217" si="65">H207*H208</f>
        <v>13.430352528571744</v>
      </c>
      <c r="I217" s="48">
        <f t="shared" si="65"/>
        <v>13.45276618558095</v>
      </c>
      <c r="J217" s="48" t="e">
        <f t="shared" si="65"/>
        <v>#NUM!</v>
      </c>
      <c r="K217" s="48" t="e">
        <f t="shared" si="65"/>
        <v>#NUM!</v>
      </c>
      <c r="L217" s="48" t="e">
        <f t="shared" ref="L217:M217" si="66">L207*L208</f>
        <v>#NUM!</v>
      </c>
      <c r="M217" s="48" t="e">
        <f t="shared" si="66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8"/>
        <v>14.347159807076869</v>
      </c>
      <c r="H218" s="48">
        <f t="shared" ref="H218:K218" si="67">H207*H209</f>
        <v>14.94228840389723</v>
      </c>
      <c r="I218" s="48">
        <f t="shared" si="67"/>
        <v>14.953917029917655</v>
      </c>
      <c r="J218" s="48" t="e">
        <f t="shared" si="67"/>
        <v>#NUM!</v>
      </c>
      <c r="K218" s="48" t="e">
        <f t="shared" si="67"/>
        <v>#NUM!</v>
      </c>
      <c r="L218" s="48" t="e">
        <f t="shared" ref="L218:M218" si="68">L207*L209</f>
        <v>#NUM!</v>
      </c>
      <c r="M218" s="48" t="e">
        <f t="shared" si="68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8"/>
        <v>14.468498688944258</v>
      </c>
      <c r="H219" s="48">
        <f t="shared" ref="H219:K219" si="69">H208*H209</f>
        <v>15.05114777521519</v>
      </c>
      <c r="I219" s="48">
        <f t="shared" si="69"/>
        <v>15.037764882942248</v>
      </c>
      <c r="J219" s="48" t="e">
        <f t="shared" si="69"/>
        <v>#NUM!</v>
      </c>
      <c r="K219" s="48" t="e">
        <f t="shared" si="69"/>
        <v>#NUM!</v>
      </c>
      <c r="L219" s="48" t="e">
        <f t="shared" ref="L219:M219" si="70">L208*L209</f>
        <v>#NUM!</v>
      </c>
      <c r="M219" s="48" t="e">
        <f t="shared" si="7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8"/>
        <v>-3.3864628113294097</v>
      </c>
      <c r="H220" s="48">
        <f t="shared" ref="H220:K220" si="71">LN(H156/H198)</f>
        <v>-3.3865403637742899</v>
      </c>
      <c r="I220" s="48">
        <f t="shared" si="71"/>
        <v>-3.3866082270975828</v>
      </c>
      <c r="J220" s="48">
        <f t="shared" si="71"/>
        <v>-3.4472328489140178</v>
      </c>
      <c r="K220" s="48">
        <f t="shared" si="71"/>
        <v>-3.5043912627539662</v>
      </c>
      <c r="L220" s="48">
        <f t="shared" ref="L220:M220" si="72">LN(L156/L198)</f>
        <v>-3.5615496765939145</v>
      </c>
      <c r="M220" s="48">
        <f t="shared" si="72"/>
        <v>-3.6187080904338633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8"/>
        <v>-0.49343771890791666</v>
      </c>
      <c r="H221" s="31">
        <f t="shared" ref="H221:K221" si="73">H157/H199</f>
        <v>-0.3297045101088647</v>
      </c>
      <c r="I221" s="31">
        <f t="shared" si="73"/>
        <v>-0.47278382581648526</v>
      </c>
      <c r="J221" s="31">
        <f t="shared" si="73"/>
        <v>0</v>
      </c>
      <c r="K221" s="31">
        <f t="shared" si="73"/>
        <v>0</v>
      </c>
      <c r="L221" s="31">
        <f t="shared" ref="L221:M221" si="74">L157/L199</f>
        <v>0</v>
      </c>
      <c r="M221" s="31">
        <f t="shared" si="74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8"/>
        <v>9</v>
      </c>
      <c r="H222" s="48">
        <f t="shared" ref="H222:K222" si="75">H158</f>
        <v>10</v>
      </c>
      <c r="I222" s="48">
        <f t="shared" si="75"/>
        <v>11</v>
      </c>
      <c r="J222" s="48">
        <f t="shared" si="75"/>
        <v>12</v>
      </c>
      <c r="K222" s="48">
        <f t="shared" si="75"/>
        <v>13</v>
      </c>
      <c r="L222" s="48">
        <f t="shared" ref="L222:M222" si="76">L158</f>
        <v>14</v>
      </c>
      <c r="M222" s="48">
        <f t="shared" si="76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7">HLOOKUP($E$3,$P$3:$CI$269,O226,FALSE)</f>
        <v>12.815667288766317</v>
      </c>
      <c r="H226" s="50">
        <f t="shared" ref="H226:K241" si="78">H162*H205</f>
        <v>12.815667288766317</v>
      </c>
      <c r="I226" s="50">
        <f t="shared" si="78"/>
        <v>12.815667288766317</v>
      </c>
      <c r="J226" s="50">
        <f t="shared" si="78"/>
        <v>12.815667288766317</v>
      </c>
      <c r="K226" s="50">
        <f t="shared" si="78"/>
        <v>12.815667288766317</v>
      </c>
      <c r="L226" s="50">
        <f t="shared" ref="L226:M226" si="79">L162*L205</f>
        <v>12.815667288766317</v>
      </c>
      <c r="M226" s="50">
        <f t="shared" si="79"/>
        <v>12.815667288766317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7"/>
        <v>-5.2377449578575319E-2</v>
      </c>
      <c r="H227" s="50">
        <f t="shared" si="78"/>
        <v>-0.33397366509316018</v>
      </c>
      <c r="I227" s="50">
        <f t="shared" si="78"/>
        <v>-0.27206352018432933</v>
      </c>
      <c r="J227" s="50">
        <f t="shared" si="78"/>
        <v>-0.60814879038221747</v>
      </c>
      <c r="K227" s="50">
        <f t="shared" si="78"/>
        <v>-0.60814879038221747</v>
      </c>
      <c r="L227" s="50">
        <f t="shared" ref="L227:M227" si="80">L163*L206</f>
        <v>-0.60814879038221747</v>
      </c>
      <c r="M227" s="50">
        <f t="shared" si="80"/>
        <v>-0.60814879038221747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7"/>
        <v>-1.6190113001917616</v>
      </c>
      <c r="H228" s="50">
        <f t="shared" si="78"/>
        <v>-1.6208950960017403</v>
      </c>
      <c r="I228" s="50">
        <f t="shared" si="78"/>
        <v>-1.6236001766503976</v>
      </c>
      <c r="J228" s="50" t="e">
        <f t="shared" si="78"/>
        <v>#NUM!</v>
      </c>
      <c r="K228" s="50" t="e">
        <f t="shared" si="78"/>
        <v>#NUM!</v>
      </c>
      <c r="L228" s="50" t="e">
        <f t="shared" ref="L228:M228" si="81">L164*L207</f>
        <v>#NUM!</v>
      </c>
      <c r="M228" s="50" t="e">
        <f t="shared" si="81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7"/>
        <v>-0.59490752035248329</v>
      </c>
      <c r="H229" s="50">
        <f t="shared" si="78"/>
        <v>-0.59490752035248329</v>
      </c>
      <c r="I229" s="50">
        <f t="shared" si="78"/>
        <v>-0.59490752035248329</v>
      </c>
      <c r="J229" s="50">
        <f t="shared" si="78"/>
        <v>-0.59490752035248329</v>
      </c>
      <c r="K229" s="50">
        <f t="shared" si="78"/>
        <v>-0.59490752035248329</v>
      </c>
      <c r="L229" s="50">
        <f t="shared" ref="L229:M229" si="82">L165*L208</f>
        <v>-0.59490752035248329</v>
      </c>
      <c r="M229" s="50">
        <f t="shared" si="82"/>
        <v>-0.59490752035248329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7"/>
        <v>-0.39132465457563065</v>
      </c>
      <c r="H230" s="50">
        <f t="shared" si="78"/>
        <v>-0.40708336992859279</v>
      </c>
      <c r="I230" s="50">
        <f t="shared" si="78"/>
        <v>-0.40672140730838441</v>
      </c>
      <c r="J230" s="50" t="e">
        <f t="shared" si="78"/>
        <v>#NUM!</v>
      </c>
      <c r="K230" s="50" t="e">
        <f t="shared" si="78"/>
        <v>#NUM!</v>
      </c>
      <c r="L230" s="50" t="e">
        <f t="shared" ref="L230:M230" si="83">L166*L209</f>
        <v>#NUM!</v>
      </c>
      <c r="M230" s="50" t="e">
        <f t="shared" si="83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7"/>
        <v>4.3066795845121155E-4</v>
      </c>
      <c r="H231" s="50">
        <f t="shared" si="78"/>
        <v>1.7509684144904995E-2</v>
      </c>
      <c r="I231" s="50">
        <f t="shared" si="78"/>
        <v>1.1619688689453143E-2</v>
      </c>
      <c r="J231" s="50">
        <f t="shared" si="78"/>
        <v>5.8059536067673174E-2</v>
      </c>
      <c r="K231" s="50">
        <f t="shared" si="78"/>
        <v>5.8059536067673174E-2</v>
      </c>
      <c r="L231" s="50">
        <f t="shared" ref="L231:M231" si="84">L167*L210</f>
        <v>5.8059536067673174E-2</v>
      </c>
      <c r="M231" s="50">
        <f t="shared" si="84"/>
        <v>5.8059536067673174E-2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7"/>
        <v>-2.3551451122368388</v>
      </c>
      <c r="H232" s="50">
        <f t="shared" si="78"/>
        <v>-2.3606289449901623</v>
      </c>
      <c r="I232" s="50">
        <f t="shared" si="78"/>
        <v>-2.3685147362082692</v>
      </c>
      <c r="J232" s="50" t="e">
        <f t="shared" si="78"/>
        <v>#NUM!</v>
      </c>
      <c r="K232" s="50" t="e">
        <f t="shared" si="78"/>
        <v>#NUM!</v>
      </c>
      <c r="L232" s="50" t="e">
        <f t="shared" ref="L232:M232" si="85">L168*L211</f>
        <v>#NUM!</v>
      </c>
      <c r="M232" s="50" t="e">
        <f t="shared" si="85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7"/>
        <v>1.4408178526813642</v>
      </c>
      <c r="H233" s="50">
        <f t="shared" si="78"/>
        <v>1.4408178526813642</v>
      </c>
      <c r="I233" s="50">
        <f t="shared" si="78"/>
        <v>1.4408178526813642</v>
      </c>
      <c r="J233" s="50">
        <f t="shared" si="78"/>
        <v>1.4408178526813642</v>
      </c>
      <c r="K233" s="50">
        <f t="shared" si="78"/>
        <v>1.4408178526813642</v>
      </c>
      <c r="L233" s="50">
        <f t="shared" ref="L233:M233" si="86">L169*L212</f>
        <v>1.4408178526813642</v>
      </c>
      <c r="M233" s="50">
        <f t="shared" si="86"/>
        <v>1.4408178526813642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7"/>
        <v>1.1980005141518031</v>
      </c>
      <c r="H234" s="50">
        <f t="shared" si="78"/>
        <v>1.2964306960230116</v>
      </c>
      <c r="I234" s="50">
        <f t="shared" si="78"/>
        <v>1.2941262499919564</v>
      </c>
      <c r="J234" s="50" t="e">
        <f t="shared" si="78"/>
        <v>#NUM!</v>
      </c>
      <c r="K234" s="50" t="e">
        <f t="shared" si="78"/>
        <v>#NUM!</v>
      </c>
      <c r="L234" s="50" t="e">
        <f t="shared" ref="L234:M234" si="87">L170*L213</f>
        <v>#NUM!</v>
      </c>
      <c r="M234" s="50" t="e">
        <f t="shared" si="87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7"/>
        <v>1.6246529090813585E-2</v>
      </c>
      <c r="H235" s="50">
        <f t="shared" si="78"/>
        <v>0.10371307144727315</v>
      </c>
      <c r="I235" s="50">
        <f t="shared" si="78"/>
        <v>8.4628329439043901E-2</v>
      </c>
      <c r="J235" s="50" t="e">
        <f t="shared" si="78"/>
        <v>#NUM!</v>
      </c>
      <c r="K235" s="50" t="e">
        <f t="shared" si="78"/>
        <v>#NUM!</v>
      </c>
      <c r="L235" s="50" t="e">
        <f t="shared" ref="L235:M235" si="88">L171*L214</f>
        <v>#NUM!</v>
      </c>
      <c r="M235" s="50" t="e">
        <f t="shared" si="88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7"/>
        <v>3.0093556822982331E-3</v>
      </c>
      <c r="H236" s="50">
        <f t="shared" si="78"/>
        <v>1.9188516334273296E-2</v>
      </c>
      <c r="I236" s="50">
        <f t="shared" si="78"/>
        <v>1.5631457946124784E-2</v>
      </c>
      <c r="J236" s="50">
        <f t="shared" si="78"/>
        <v>3.4941296927296916E-2</v>
      </c>
      <c r="K236" s="50">
        <f t="shared" si="78"/>
        <v>3.4941296927296916E-2</v>
      </c>
      <c r="L236" s="50">
        <f t="shared" ref="L236:M236" si="89">L172*L215</f>
        <v>3.4941296927296916E-2</v>
      </c>
      <c r="M236" s="50">
        <f t="shared" si="89"/>
        <v>3.4941296927296916E-2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7"/>
        <v>-2.1383881552225072E-4</v>
      </c>
      <c r="H237" s="50">
        <f t="shared" si="78"/>
        <v>-1.4184060199624467E-3</v>
      </c>
      <c r="I237" s="50">
        <f t="shared" si="78"/>
        <v>-1.1544425534853648E-3</v>
      </c>
      <c r="J237" s="50" t="e">
        <f t="shared" si="78"/>
        <v>#NUM!</v>
      </c>
      <c r="K237" s="50" t="e">
        <f t="shared" si="78"/>
        <v>#NUM!</v>
      </c>
      <c r="L237" s="50" t="e">
        <f t="shared" ref="L237:M237" si="90">L173*L216</f>
        <v>#NUM!</v>
      </c>
      <c r="M237" s="50" t="e">
        <f t="shared" si="90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7"/>
        <v>1.5503600985690422</v>
      </c>
      <c r="H238" s="50">
        <f t="shared" si="78"/>
        <v>1.5521640154764142</v>
      </c>
      <c r="I238" s="50">
        <f t="shared" si="78"/>
        <v>1.554754392146789</v>
      </c>
      <c r="J238" s="50" t="e">
        <f t="shared" si="78"/>
        <v>#NUM!</v>
      </c>
      <c r="K238" s="50" t="e">
        <f t="shared" si="78"/>
        <v>#NUM!</v>
      </c>
      <c r="L238" s="50" t="e">
        <f t="shared" ref="L238:M238" si="91">L174*L217</f>
        <v>#NUM!</v>
      </c>
      <c r="M238" s="50" t="e">
        <f t="shared" si="91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7"/>
        <v>1.0081319850936374</v>
      </c>
      <c r="H239" s="50">
        <f t="shared" si="78"/>
        <v>1.0499498906419231</v>
      </c>
      <c r="I239" s="50">
        <f t="shared" si="78"/>
        <v>1.0507669993931688</v>
      </c>
      <c r="J239" s="50" t="e">
        <f t="shared" si="78"/>
        <v>#NUM!</v>
      </c>
      <c r="K239" s="50" t="e">
        <f t="shared" si="78"/>
        <v>#NUM!</v>
      </c>
      <c r="L239" s="50" t="e">
        <f t="shared" ref="L239:M239" si="92">L175*L218</f>
        <v>#NUM!</v>
      </c>
      <c r="M239" s="50" t="e">
        <f t="shared" si="92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7"/>
        <v>-2.8036415403426052</v>
      </c>
      <c r="H240" s="50">
        <f t="shared" si="78"/>
        <v>-2.9165446975278129</v>
      </c>
      <c r="I240" s="50">
        <f t="shared" si="78"/>
        <v>-2.9139514199865144</v>
      </c>
      <c r="J240" s="50" t="e">
        <f t="shared" si="78"/>
        <v>#NUM!</v>
      </c>
      <c r="K240" s="50" t="e">
        <f t="shared" si="78"/>
        <v>#NUM!</v>
      </c>
      <c r="L240" s="50" t="e">
        <f t="shared" ref="L240:M240" si="93">L176*L219</f>
        <v>#NUM!</v>
      </c>
      <c r="M240" s="50" t="e">
        <f t="shared" si="93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7"/>
        <v>-0.98202091509159106</v>
      </c>
      <c r="H241" s="50">
        <f t="shared" si="78"/>
        <v>-0.98204340407999335</v>
      </c>
      <c r="I241" s="50">
        <f t="shared" si="78"/>
        <v>-0.9820630833756343</v>
      </c>
      <c r="J241" s="50">
        <f t="shared" si="78"/>
        <v>-0.99964326951973848</v>
      </c>
      <c r="K241" s="50">
        <f t="shared" si="78"/>
        <v>-1.0162183099059801</v>
      </c>
      <c r="L241" s="50">
        <f t="shared" ref="L241:M241" si="94">L177*L220</f>
        <v>-1.0327933502922215</v>
      </c>
      <c r="M241" s="50">
        <f t="shared" si="94"/>
        <v>-1.0493683906784632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7"/>
        <v>-8.3316016277444806E-3</v>
      </c>
      <c r="H242" s="50">
        <f t="shared" ref="H242:K243" si="95">H178*H221</f>
        <v>-5.5669976733382668E-3</v>
      </c>
      <c r="I242" s="50">
        <f t="shared" si="95"/>
        <v>-7.9828645881831767E-3</v>
      </c>
      <c r="J242" s="50">
        <f t="shared" si="95"/>
        <v>0</v>
      </c>
      <c r="K242" s="50">
        <f t="shared" si="95"/>
        <v>0</v>
      </c>
      <c r="L242" s="50">
        <f t="shared" ref="L242:M242" si="96">L178*L221</f>
        <v>0</v>
      </c>
      <c r="M242" s="50">
        <f t="shared" si="9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7"/>
        <v>0.15308938853632326</v>
      </c>
      <c r="H243" s="50">
        <f t="shared" si="95"/>
        <v>0.17009932059591473</v>
      </c>
      <c r="I243" s="50">
        <f t="shared" si="95"/>
        <v>0.18710925265550621</v>
      </c>
      <c r="J243" s="50">
        <f t="shared" si="95"/>
        <v>0.20411918471509766</v>
      </c>
      <c r="K243" s="50">
        <f t="shared" si="95"/>
        <v>0.22112911677468913</v>
      </c>
      <c r="L243" s="50">
        <f t="shared" ref="L243:M243" si="97">L179*L222</f>
        <v>0.23813904883428061</v>
      </c>
      <c r="M243" s="50">
        <f t="shared" si="97"/>
        <v>0.25514898089387211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9.3787797477172958</v>
      </c>
      <c r="H245" s="44">
        <f t="shared" ref="H245:K245" si="98">SUM(H226:H243)</f>
        <v>9.2424782344441496</v>
      </c>
      <c r="I245" s="44">
        <f t="shared" si="98"/>
        <v>9.2841623405020464</v>
      </c>
      <c r="J245" s="44" t="e">
        <f t="shared" si="98"/>
        <v>#NUM!</v>
      </c>
      <c r="K245" s="44" t="e">
        <f t="shared" si="98"/>
        <v>#NUM!</v>
      </c>
      <c r="L245" s="44" t="e">
        <f t="shared" ref="L245:M245" si="99">SUM(L226:L243)</f>
        <v>#NUM!</v>
      </c>
      <c r="M245" s="44" t="e">
        <f t="shared" si="99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11834.564784981016</v>
      </c>
      <c r="H246" s="8">
        <f t="shared" ref="H246:K246" si="100">EXP(H245)</f>
        <v>10326.598605291147</v>
      </c>
      <c r="I246" s="8">
        <f t="shared" si="100"/>
        <v>10766.151170570713</v>
      </c>
      <c r="J246" s="8" t="e">
        <f t="shared" si="100"/>
        <v>#NUM!</v>
      </c>
      <c r="K246" s="8" t="e">
        <f t="shared" si="100"/>
        <v>#NUM!</v>
      </c>
      <c r="L246" s="8" t="e">
        <f t="shared" ref="L246:M246" si="101">EXP(L245)</f>
        <v>#NUM!</v>
      </c>
      <c r="M246" s="8" t="e">
        <f t="shared" si="101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118.56183642569529</v>
      </c>
      <c r="H247" s="21">
        <f t="shared" ref="H247:K247" si="102">H137</f>
        <v>121.28045267236115</v>
      </c>
      <c r="I247" s="21">
        <f t="shared" si="102"/>
        <v>124.06140663679059</v>
      </c>
      <c r="J247" s="21">
        <f t="shared" si="102"/>
        <v>124.06140663679059</v>
      </c>
      <c r="K247" s="21">
        <f t="shared" si="102"/>
        <v>124.06140663679059</v>
      </c>
      <c r="L247" s="21">
        <f t="shared" ref="L247:M247" si="103">L137</f>
        <v>124.06140663679059</v>
      </c>
      <c r="M247" s="21">
        <f t="shared" si="103"/>
        <v>124.06140663679059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1403127.7342062129</v>
      </c>
      <c r="H248" s="8">
        <f t="shared" ref="H248:K248" si="104">H246*H247</f>
        <v>1252414.5534154836</v>
      </c>
      <c r="I248" s="8">
        <f t="shared" si="104"/>
        <v>1335663.8582853323</v>
      </c>
      <c r="J248" s="8" t="e">
        <f t="shared" si="104"/>
        <v>#NUM!</v>
      </c>
      <c r="K248" s="8" t="e">
        <f t="shared" si="104"/>
        <v>#NUM!</v>
      </c>
      <c r="L248" s="8" t="e">
        <f t="shared" ref="L248:M248" si="105">L246*L247</f>
        <v>#NUM!</v>
      </c>
      <c r="M248" s="8" t="e">
        <f t="shared" si="105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6" t="s">
        <v>151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6">G121</f>
        <v>1546519.1438269492</v>
      </c>
      <c r="H256" s="60">
        <f t="shared" ref="H256:K256" si="107">H121</f>
        <v>1461041.537705255</v>
      </c>
      <c r="I256" s="60">
        <f t="shared" si="107"/>
        <v>1519866.456554072</v>
      </c>
      <c r="J256" s="60">
        <f t="shared" si="107"/>
        <v>235736.99681846891</v>
      </c>
      <c r="K256" s="60">
        <f t="shared" si="107"/>
        <v>224916.66866450119</v>
      </c>
      <c r="L256" s="60">
        <f t="shared" ref="L256:M256" si="108">L121</f>
        <v>214592.99357280057</v>
      </c>
      <c r="M256" s="60">
        <f t="shared" si="108"/>
        <v>204743.17516780901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09">G248</f>
        <v>1403127.7342062129</v>
      </c>
      <c r="H257" s="60">
        <f t="shared" ref="H257:K257" si="110">H248</f>
        <v>1252414.5534154836</v>
      </c>
      <c r="I257" s="60">
        <f t="shared" si="110"/>
        <v>1335663.8582853323</v>
      </c>
      <c r="J257" s="60" t="e">
        <f t="shared" si="110"/>
        <v>#NUM!</v>
      </c>
      <c r="K257" s="60" t="e">
        <f t="shared" si="110"/>
        <v>#NUM!</v>
      </c>
      <c r="L257" s="60" t="e">
        <f t="shared" ref="L257:M257" si="111">L248</f>
        <v>#NUM!</v>
      </c>
      <c r="M257" s="60" t="e">
        <f t="shared" si="111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2">G256-G257</f>
        <v>143391.40962073626</v>
      </c>
      <c r="H258" s="25">
        <f t="shared" ref="H258:K258" si="113">H256-H257</f>
        <v>208626.98428977141</v>
      </c>
      <c r="I258" s="25">
        <f t="shared" si="113"/>
        <v>184202.59826873965</v>
      </c>
      <c r="J258" s="25" t="e">
        <f t="shared" si="113"/>
        <v>#NUM!</v>
      </c>
      <c r="K258" s="25" t="e">
        <f t="shared" si="113"/>
        <v>#NUM!</v>
      </c>
      <c r="L258" s="25" t="e">
        <f t="shared" ref="L258:M258" si="114">L256-L257</f>
        <v>#NUM!</v>
      </c>
      <c r="M258" s="25" t="e">
        <f t="shared" si="11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5">G258/G257</f>
        <v>0.10219412397393501</v>
      </c>
      <c r="H259" s="61">
        <f t="shared" ref="H259:K259" si="116">H258/H257</f>
        <v>0.16657981474330588</v>
      </c>
      <c r="I259" s="61">
        <f t="shared" si="116"/>
        <v>0.13791089511489141</v>
      </c>
      <c r="J259" s="61" t="e">
        <f t="shared" si="116"/>
        <v>#NUM!</v>
      </c>
      <c r="K259" s="61" t="e">
        <f t="shared" si="116"/>
        <v>#NUM!</v>
      </c>
      <c r="L259" s="61" t="e">
        <f t="shared" ref="L259:M259" si="117">L258/L257</f>
        <v>#NUM!</v>
      </c>
      <c r="M259" s="61" t="e">
        <f t="shared" si="117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9.7302851273268903E-2</v>
      </c>
      <c r="H261" s="64">
        <f t="shared" ref="H261:K261" si="118">LN(H256/H257)</f>
        <v>0.15407623255039082</v>
      </c>
      <c r="I261" s="64">
        <f t="shared" si="118"/>
        <v>0.1291940330910224</v>
      </c>
      <c r="J261" s="64" t="e">
        <f t="shared" si="118"/>
        <v>#NUM!</v>
      </c>
      <c r="K261" s="64" t="e">
        <f t="shared" si="118"/>
        <v>#NUM!</v>
      </c>
      <c r="L261" s="64" t="e">
        <f t="shared" ref="L261:M261" si="119">LN(L256/L257)</f>
        <v>#NUM!</v>
      </c>
      <c r="M261" s="64" t="e">
        <f t="shared" si="119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9"/>
  <sheetViews>
    <sheetView workbookViewId="0">
      <selection activeCell="A16" sqref="A16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2" t="s">
        <v>168</v>
      </c>
      <c r="D2" s="222"/>
      <c r="E2" s="222"/>
      <c r="F2" s="222"/>
      <c r="G2" s="222"/>
      <c r="H2" s="222"/>
      <c r="I2" s="222"/>
      <c r="J2" s="222"/>
      <c r="K2" s="222"/>
    </row>
    <row r="3" spans="3:17" s="92" customFormat="1" ht="23.25" customHeight="1" x14ac:dyDescent="0.25">
      <c r="C3" s="232" t="str">
        <f>'Model Inputs'!F5</f>
        <v>Atikokan Hydro Inc.</v>
      </c>
      <c r="D3" s="232"/>
      <c r="E3" s="232"/>
      <c r="F3" s="232"/>
      <c r="G3" s="232"/>
      <c r="H3" s="232"/>
      <c r="I3" s="232"/>
      <c r="J3" s="232"/>
      <c r="K3" s="232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1546519.1438269492</v>
      </c>
      <c r="G10" s="86">
        <f>'Benchmarking Calculations'!H121</f>
        <v>1461041.537705255</v>
      </c>
      <c r="H10" s="86">
        <f>'Benchmarking Calculations'!I121</f>
        <v>1519866.456554072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1403127.7342062129</v>
      </c>
      <c r="G12" s="86">
        <f>'Benchmarking Calculations'!H257</f>
        <v>1252414.5534154836</v>
      </c>
      <c r="H12" s="86">
        <f>'Benchmarking Calculations'!I257</f>
        <v>1335663.8582853323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143391.40962073626</v>
      </c>
      <c r="G14" s="86">
        <f t="shared" si="0"/>
        <v>208626.98428977141</v>
      </c>
      <c r="H14" s="86">
        <f t="shared" si="0"/>
        <v>184202.59826873965</v>
      </c>
      <c r="I14" s="91" t="str">
        <f>IF(ISNUMBER(I12),I10-I12,"na")</f>
        <v>na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>
        <f>LN(F10/F12)</f>
        <v>9.7302851273268903E-2</v>
      </c>
      <c r="G16" s="167">
        <f t="shared" ref="G16:H16" si="2">LN(G10/G12)</f>
        <v>0.15407623255039082</v>
      </c>
      <c r="H16" s="167">
        <f t="shared" si="2"/>
        <v>0.1291940330910224</v>
      </c>
      <c r="I16" s="148" t="str">
        <f>IF(ISNUMBER(I14),LN(I10/I12),"na")</f>
        <v>na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>
        <f>AVERAGE(F16:H16)</f>
        <v>0.12685770563822737</v>
      </c>
      <c r="I18" s="66" t="str">
        <f>IF(ISNUMBER(I16),AVERAGE(G16:I16),"na")</f>
        <v>na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>
        <f>IF(F16&lt;-0.25,1,IF(F16&lt;-0.1,2,IF(F16&lt;0.1,3,IF(F16&lt;0.25,4,5))))</f>
        <v>3</v>
      </c>
      <c r="G22" s="149">
        <f t="shared" ref="G22" si="5">IF(G16&lt;-0.25,1,IF(G16&lt;-0.1,2,IF(G16&lt;0.1,3,IF(G16&lt;0.25,4,5))))</f>
        <v>4</v>
      </c>
      <c r="H22" s="149">
        <f>IF($H$16&lt;-0.25,1,IF($H$16&lt;-0.1,2,IF($H$16&lt;0.1,3,IF($H$16&lt;0.25,4,5))))</f>
        <v>4</v>
      </c>
      <c r="I22" s="149" t="str">
        <f>IF(ISNUMBER(I16),IF(I16&lt;-0.25,1,IF(I16&lt;-0.1,2,IF(I16&lt;0.1,3,IF(I16&lt;0.25,4,5)))),"na")</f>
        <v>na</v>
      </c>
      <c r="J22" s="149" t="str">
        <f t="shared" ref="J22:K22" si="6">IF(ISNUMBER(J16),IF(J16&lt;-0.25,1,IF(J16&lt;-0.1,2,IF(J16&lt;0.1,3,IF(J16&lt;0.25,4,5)))),"na")</f>
        <v>na</v>
      </c>
      <c r="K22" s="149" t="str">
        <f t="shared" si="6"/>
        <v>na</v>
      </c>
    </row>
    <row r="24" spans="4:15" ht="15" x14ac:dyDescent="0.25">
      <c r="E24" t="s">
        <v>155</v>
      </c>
      <c r="H24" s="149">
        <f>IF($H$18&lt;-0.25,1,IF($H$18&lt;-0.1,2,IF($H$18&lt;0.1,3,IF($H$18&lt;0.25,4,5))))</f>
        <v>4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Jennifer Wiens</cp:lastModifiedBy>
  <cp:lastPrinted>2016-07-25T18:30:34Z</cp:lastPrinted>
  <dcterms:created xsi:type="dcterms:W3CDTF">2016-07-20T15:58:10Z</dcterms:created>
  <dcterms:modified xsi:type="dcterms:W3CDTF">2016-10-03T20:28:48Z</dcterms:modified>
</cp:coreProperties>
</file>