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4595" tabRatio="840" firstSheet="2"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 r:id="rId17"/>
    <externalReference r:id="rId18"/>
    <externalReference r:id="rId19"/>
    <externalReference r:id="rId20"/>
    <externalReference r:id="rId21"/>
  </externalReferences>
  <definedNames>
    <definedName name="_xlnm.Print_Area" localSheetId="2">'1.  LRAMVA Summary'!$A$1:$L$40</definedName>
    <definedName name="_xlnm.Print_Area" localSheetId="3">'2.  CDM Allocation'!$A$1:$L$141</definedName>
    <definedName name="_xlnm.Print_Area" localSheetId="4">'3.  Distribution Rates'!$A$1:$M$42</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S115" i="54" l="1"/>
  <c r="S114" i="54"/>
  <c r="S42" i="54"/>
  <c r="S34" i="54"/>
  <c r="S33" i="54"/>
  <c r="S32" i="54"/>
  <c r="S31" i="54"/>
  <c r="S30" i="54"/>
  <c r="T308" i="46"/>
  <c r="T278" i="46"/>
  <c r="T266" i="46"/>
  <c r="T264" i="46"/>
  <c r="T263" i="46"/>
  <c r="T227" i="46"/>
  <c r="T186" i="46"/>
  <c r="T184" i="46"/>
  <c r="T183" i="46"/>
  <c r="T147" i="46"/>
  <c r="T107" i="46"/>
  <c r="T106" i="46"/>
  <c r="T104" i="46"/>
  <c r="T103" i="46"/>
  <c r="N236" i="46" l="1"/>
  <c r="M236" i="46"/>
  <c r="L236" i="46"/>
  <c r="N156" i="46"/>
  <c r="M156" i="46"/>
  <c r="L156" i="46"/>
  <c r="N77" i="46"/>
  <c r="M77" i="46"/>
  <c r="L77" i="46"/>
  <c r="S21" i="3" l="1"/>
  <c r="R21" i="3"/>
  <c r="Q21" i="3"/>
  <c r="P21" i="3"/>
  <c r="S20" i="3"/>
  <c r="R20" i="3"/>
  <c r="Q20" i="3"/>
  <c r="P20" i="3"/>
  <c r="S19" i="3"/>
  <c r="R19" i="3"/>
  <c r="Q19" i="3"/>
  <c r="P19" i="3"/>
  <c r="S18" i="3"/>
  <c r="R18" i="3"/>
  <c r="Q18" i="3"/>
  <c r="P18" i="3"/>
  <c r="G21" i="3"/>
  <c r="F21" i="3"/>
  <c r="E21" i="3"/>
  <c r="D21" i="3"/>
  <c r="G20" i="3"/>
  <c r="F20" i="3"/>
  <c r="E20" i="3"/>
  <c r="D20" i="3"/>
  <c r="G19" i="3"/>
  <c r="F19" i="3"/>
  <c r="E19" i="3"/>
  <c r="D19" i="3"/>
  <c r="G18" i="3"/>
  <c r="F18" i="3"/>
  <c r="E18" i="3"/>
  <c r="D18" i="3"/>
  <c r="F265" i="46" l="1"/>
  <c r="G265" i="46"/>
  <c r="P265" i="46"/>
  <c r="J57" i="44"/>
  <c r="J56" i="44"/>
  <c r="J58" i="44" s="1"/>
  <c r="J44" i="44"/>
  <c r="J43" i="44"/>
  <c r="J45" i="44" s="1"/>
  <c r="J69" i="44"/>
  <c r="K27" i="45" l="1"/>
  <c r="K26" i="45"/>
  <c r="K25" i="45"/>
  <c r="K21" i="45"/>
  <c r="K20" i="45"/>
  <c r="J33" i="43" l="1"/>
  <c r="D33" i="43"/>
  <c r="C33" i="43"/>
  <c r="P15" i="47"/>
  <c r="O118" i="54" l="1"/>
  <c r="Q112" i="54" l="1"/>
  <c r="F24" i="54"/>
  <c r="V35" i="3" l="1"/>
  <c r="U35" i="3"/>
  <c r="T35" i="3"/>
  <c r="S35" i="3"/>
  <c r="R35" i="3"/>
  <c r="Q35" i="3"/>
  <c r="I35" i="3"/>
  <c r="H35" i="3"/>
  <c r="G35" i="3"/>
  <c r="F35" i="3"/>
  <c r="E35" i="3"/>
  <c r="D35" i="3"/>
  <c r="Y21" i="3"/>
  <c r="X21" i="3"/>
  <c r="W21" i="3"/>
  <c r="V21" i="3"/>
  <c r="U21" i="3"/>
  <c r="T21" i="3"/>
  <c r="Y20" i="3"/>
  <c r="X20" i="3"/>
  <c r="W20" i="3"/>
  <c r="V20" i="3"/>
  <c r="U20" i="3"/>
  <c r="T20" i="3"/>
  <c r="Y19" i="3"/>
  <c r="X19" i="3"/>
  <c r="W19" i="3"/>
  <c r="V19" i="3"/>
  <c r="U19" i="3"/>
  <c r="T19" i="3"/>
  <c r="Y18" i="3"/>
  <c r="X18" i="3"/>
  <c r="W18" i="3"/>
  <c r="V18" i="3"/>
  <c r="U18" i="3"/>
  <c r="T18" i="3"/>
  <c r="M21" i="3"/>
  <c r="L21" i="3"/>
  <c r="K21" i="3"/>
  <c r="J21" i="3"/>
  <c r="I21" i="3"/>
  <c r="H21" i="3"/>
  <c r="M20" i="3"/>
  <c r="L20" i="3"/>
  <c r="K20" i="3"/>
  <c r="J20" i="3"/>
  <c r="I20" i="3"/>
  <c r="H20" i="3"/>
  <c r="M19" i="3"/>
  <c r="L19" i="3"/>
  <c r="K19" i="3"/>
  <c r="J19" i="3"/>
  <c r="I19" i="3"/>
  <c r="H19" i="3"/>
  <c r="M18" i="3"/>
  <c r="L18" i="3"/>
  <c r="K18" i="3"/>
  <c r="J18" i="3"/>
  <c r="I18" i="3"/>
  <c r="H18" i="3"/>
  <c r="P61" i="54" l="1"/>
  <c r="G61" i="54"/>
  <c r="G48" i="54"/>
  <c r="G42" i="54"/>
  <c r="G34" i="54"/>
  <c r="G33" i="54"/>
  <c r="G32" i="54"/>
  <c r="G31" i="54"/>
  <c r="G30" i="54"/>
  <c r="G23" i="54"/>
  <c r="G21" i="54"/>
  <c r="G20" i="54"/>
  <c r="G19" i="54"/>
  <c r="O114" i="54" s="1"/>
  <c r="F61" i="54"/>
  <c r="F48" i="54"/>
  <c r="F42" i="54"/>
  <c r="F34" i="54"/>
  <c r="F33" i="54"/>
  <c r="F32" i="54"/>
  <c r="F31" i="54"/>
  <c r="F30" i="54"/>
  <c r="F23" i="54"/>
  <c r="F21" i="54"/>
  <c r="F20" i="54"/>
  <c r="F19" i="54"/>
  <c r="I113" i="54" l="1"/>
  <c r="H113" i="54"/>
  <c r="O113" i="54"/>
  <c r="O123" i="54"/>
  <c r="O115" i="54"/>
  <c r="G302" i="46"/>
  <c r="G301" i="46"/>
  <c r="G295" i="46"/>
  <c r="G294" i="46"/>
  <c r="G293" i="46"/>
  <c r="G292" i="46"/>
  <c r="G291" i="46"/>
  <c r="G286" i="46"/>
  <c r="G280" i="46"/>
  <c r="G279" i="46"/>
  <c r="G278" i="46"/>
  <c r="G277" i="46"/>
  <c r="G276" i="46"/>
  <c r="G270" i="46"/>
  <c r="G269" i="46"/>
  <c r="G268" i="46"/>
  <c r="G267" i="46"/>
  <c r="G266" i="46"/>
  <c r="G264" i="46"/>
  <c r="G263" i="46"/>
  <c r="G257" i="46"/>
  <c r="G256" i="46"/>
  <c r="G255" i="46"/>
  <c r="G254" i="46"/>
  <c r="G253" i="46"/>
  <c r="G252" i="46"/>
  <c r="G251" i="46"/>
  <c r="G250" i="46"/>
  <c r="G249" i="46"/>
  <c r="G222" i="46"/>
  <c r="G221" i="46"/>
  <c r="G220" i="46"/>
  <c r="G216" i="46"/>
  <c r="G215" i="46"/>
  <c r="G214" i="46"/>
  <c r="G213" i="46"/>
  <c r="G212" i="46"/>
  <c r="G211" i="46"/>
  <c r="G207" i="46"/>
  <c r="G206" i="46"/>
  <c r="G201" i="46"/>
  <c r="G200" i="46"/>
  <c r="G199" i="46"/>
  <c r="G198" i="46"/>
  <c r="G197" i="46"/>
  <c r="G196" i="46"/>
  <c r="G191" i="46"/>
  <c r="G190" i="46"/>
  <c r="G189" i="46"/>
  <c r="G188" i="46"/>
  <c r="G187" i="46"/>
  <c r="G186" i="46"/>
  <c r="G185" i="46"/>
  <c r="G184" i="46"/>
  <c r="G183" i="46"/>
  <c r="G178" i="46"/>
  <c r="G177" i="46"/>
  <c r="G176" i="46"/>
  <c r="G175" i="46"/>
  <c r="G174" i="46"/>
  <c r="G173" i="46"/>
  <c r="G172" i="46"/>
  <c r="G171" i="46"/>
  <c r="G170" i="46"/>
  <c r="G169" i="46"/>
  <c r="G142" i="46"/>
  <c r="G141" i="46"/>
  <c r="G140" i="46"/>
  <c r="G135" i="46"/>
  <c r="G134" i="46"/>
  <c r="G133" i="46"/>
  <c r="G132" i="46"/>
  <c r="G131" i="46"/>
  <c r="G130" i="46"/>
  <c r="G126" i="46"/>
  <c r="G125" i="46"/>
  <c r="G120" i="46"/>
  <c r="G119" i="46"/>
  <c r="G118" i="46"/>
  <c r="G117" i="46"/>
  <c r="G116" i="46"/>
  <c r="G115" i="46"/>
  <c r="G111" i="46"/>
  <c r="G110" i="46"/>
  <c r="G109" i="46"/>
  <c r="G108" i="46"/>
  <c r="G107" i="46"/>
  <c r="G106" i="46"/>
  <c r="G105" i="46"/>
  <c r="G104" i="46"/>
  <c r="G103" i="46"/>
  <c r="G99" i="46"/>
  <c r="G98" i="46"/>
  <c r="G97" i="46"/>
  <c r="G96" i="46"/>
  <c r="G95" i="46"/>
  <c r="G94" i="46"/>
  <c r="G93" i="46"/>
  <c r="G92" i="46"/>
  <c r="G91" i="46"/>
  <c r="G90" i="46"/>
  <c r="G63" i="46"/>
  <c r="G62" i="46"/>
  <c r="G61" i="46"/>
  <c r="G60" i="46"/>
  <c r="G59" i="46"/>
  <c r="G55" i="46"/>
  <c r="G54" i="46"/>
  <c r="G50" i="46"/>
  <c r="G49" i="46"/>
  <c r="G48" i="46"/>
  <c r="G47" i="46"/>
  <c r="G46" i="46"/>
  <c r="G45" i="46"/>
  <c r="G41" i="46"/>
  <c r="G40" i="46"/>
  <c r="G39" i="46"/>
  <c r="G38" i="46"/>
  <c r="G37" i="46"/>
  <c r="G36" i="46"/>
  <c r="G35" i="46"/>
  <c r="G34" i="46"/>
  <c r="G30" i="46"/>
  <c r="G29" i="46"/>
  <c r="G28" i="46"/>
  <c r="G27" i="46"/>
  <c r="G26" i="46"/>
  <c r="G25" i="46"/>
  <c r="G24" i="46"/>
  <c r="G23" i="46"/>
  <c r="G22" i="46"/>
  <c r="F302" i="46"/>
  <c r="F301" i="46"/>
  <c r="F295" i="46"/>
  <c r="F294" i="46"/>
  <c r="F293" i="46"/>
  <c r="F292" i="46"/>
  <c r="F291" i="46"/>
  <c r="F286" i="46"/>
  <c r="F280" i="46"/>
  <c r="F279" i="46"/>
  <c r="F278" i="46"/>
  <c r="F277" i="46"/>
  <c r="F276" i="46"/>
  <c r="F270" i="46"/>
  <c r="F269" i="46"/>
  <c r="F268" i="46"/>
  <c r="F267" i="46"/>
  <c r="F266" i="46"/>
  <c r="F264" i="46"/>
  <c r="F263" i="46"/>
  <c r="F257" i="46"/>
  <c r="F256" i="46"/>
  <c r="F255" i="46"/>
  <c r="F254" i="46"/>
  <c r="F253" i="46"/>
  <c r="F252" i="46"/>
  <c r="F251" i="46"/>
  <c r="F250" i="46"/>
  <c r="F249" i="46"/>
  <c r="F222" i="46"/>
  <c r="F221" i="46"/>
  <c r="F220" i="46"/>
  <c r="F216" i="46"/>
  <c r="F215" i="46"/>
  <c r="F214" i="46"/>
  <c r="F213" i="46"/>
  <c r="F212" i="46"/>
  <c r="F211" i="46"/>
  <c r="F207" i="46"/>
  <c r="F206" i="46"/>
  <c r="F201" i="46"/>
  <c r="F200" i="46"/>
  <c r="F199" i="46"/>
  <c r="F198" i="46"/>
  <c r="F197" i="46"/>
  <c r="F196" i="46"/>
  <c r="F191" i="46"/>
  <c r="F190" i="46"/>
  <c r="F189" i="46"/>
  <c r="F188" i="46"/>
  <c r="F187" i="46"/>
  <c r="F186" i="46"/>
  <c r="F185" i="46"/>
  <c r="F184" i="46"/>
  <c r="F183" i="46"/>
  <c r="F178" i="46"/>
  <c r="F177" i="46"/>
  <c r="F176" i="46"/>
  <c r="F175" i="46"/>
  <c r="F174" i="46"/>
  <c r="F173" i="46"/>
  <c r="F172" i="46"/>
  <c r="F171" i="46"/>
  <c r="F170" i="46"/>
  <c r="F169" i="46"/>
  <c r="F142" i="46"/>
  <c r="F141" i="46"/>
  <c r="F140" i="46"/>
  <c r="F135" i="46"/>
  <c r="F134" i="46"/>
  <c r="F133" i="46"/>
  <c r="F132" i="46"/>
  <c r="F131" i="46"/>
  <c r="F130" i="46"/>
  <c r="F126" i="46"/>
  <c r="F125" i="46"/>
  <c r="F120" i="46"/>
  <c r="F119" i="46"/>
  <c r="F118" i="46"/>
  <c r="F117" i="46"/>
  <c r="F116" i="46"/>
  <c r="F115" i="46"/>
  <c r="F111" i="46"/>
  <c r="F110" i="46"/>
  <c r="F109" i="46"/>
  <c r="F108" i="46"/>
  <c r="F107" i="46"/>
  <c r="F106" i="46"/>
  <c r="F105" i="46"/>
  <c r="F104" i="46"/>
  <c r="F103" i="46"/>
  <c r="F99" i="46"/>
  <c r="F98" i="46"/>
  <c r="F97" i="46"/>
  <c r="F96" i="46"/>
  <c r="F95" i="46"/>
  <c r="F94" i="46"/>
  <c r="F93" i="46"/>
  <c r="F92" i="46"/>
  <c r="F91" i="46"/>
  <c r="F90" i="46"/>
  <c r="F63" i="46"/>
  <c r="F62" i="46"/>
  <c r="F61" i="46"/>
  <c r="F60" i="46"/>
  <c r="F59" i="46"/>
  <c r="F55" i="46"/>
  <c r="F54" i="46"/>
  <c r="F50" i="46"/>
  <c r="F49" i="46"/>
  <c r="F48" i="46"/>
  <c r="F47" i="46"/>
  <c r="F46" i="46"/>
  <c r="F45" i="46"/>
  <c r="F41" i="46"/>
  <c r="F40" i="46"/>
  <c r="F39" i="46"/>
  <c r="F38" i="46"/>
  <c r="F37" i="46"/>
  <c r="F29" i="46"/>
  <c r="F28" i="46"/>
  <c r="F27" i="46"/>
  <c r="F36" i="46"/>
  <c r="F35" i="46"/>
  <c r="F34" i="46"/>
  <c r="F30" i="46"/>
  <c r="F26" i="46"/>
  <c r="F25" i="46"/>
  <c r="F24" i="46"/>
  <c r="F23" i="46"/>
  <c r="F22" i="46"/>
  <c r="O147" i="46" l="1"/>
  <c r="O69" i="46"/>
  <c r="O70" i="46" s="1"/>
  <c r="O77" i="46" s="1"/>
  <c r="O119" i="54" s="1"/>
  <c r="O308" i="46"/>
  <c r="O227" i="46"/>
  <c r="F113" i="54"/>
  <c r="O311" i="46" l="1"/>
  <c r="M25" i="3" l="1"/>
  <c r="I25" i="3"/>
  <c r="L25" i="3"/>
  <c r="H25" i="3"/>
  <c r="J25" i="3"/>
  <c r="K25" i="3"/>
  <c r="F25" i="3"/>
  <c r="E25" i="3"/>
  <c r="G25" i="3"/>
  <c r="J34" i="43"/>
  <c r="J31" i="43"/>
  <c r="J22" i="43"/>
  <c r="J138" i="44"/>
  <c r="J137" i="44"/>
  <c r="J136" i="44"/>
  <c r="J133" i="44"/>
  <c r="J72" i="44"/>
  <c r="H72" i="44"/>
  <c r="J59" i="44"/>
  <c r="H59" i="44"/>
  <c r="J46" i="44"/>
  <c r="H46" i="44"/>
  <c r="J65" i="44"/>
  <c r="J66" i="44" s="1"/>
  <c r="J52" i="44"/>
  <c r="J53" i="44" s="1"/>
  <c r="J54" i="44" s="1"/>
  <c r="K64" i="44"/>
  <c r="K51" i="44"/>
  <c r="J67" i="44" l="1"/>
  <c r="J70" i="44"/>
  <c r="J71" i="44" s="1"/>
  <c r="J32" i="44"/>
  <c r="J31" i="44"/>
  <c r="J30" i="44"/>
  <c r="J29" i="44"/>
  <c r="J28" i="44"/>
  <c r="J135" i="44" s="1"/>
  <c r="J28" i="43" s="1"/>
  <c r="J27" i="44"/>
  <c r="J134" i="44" s="1"/>
  <c r="J25" i="43" s="1"/>
  <c r="H32" i="44"/>
  <c r="H31" i="44"/>
  <c r="H30" i="44"/>
  <c r="H29" i="44"/>
  <c r="J124" i="44"/>
  <c r="H124" i="44"/>
  <c r="J121" i="44"/>
  <c r="H121" i="44"/>
  <c r="G121" i="44"/>
  <c r="F121" i="44"/>
  <c r="E121" i="44"/>
  <c r="K121" i="44" s="1"/>
  <c r="I118" i="44"/>
  <c r="I119" i="44" s="1"/>
  <c r="E118" i="44"/>
  <c r="E122" i="44" s="1"/>
  <c r="J117" i="44"/>
  <c r="J118" i="44" s="1"/>
  <c r="I117" i="44"/>
  <c r="H117" i="44"/>
  <c r="H118" i="44" s="1"/>
  <c r="G117" i="44"/>
  <c r="G118" i="44" s="1"/>
  <c r="F117" i="44"/>
  <c r="F118" i="44" s="1"/>
  <c r="E117" i="44"/>
  <c r="D117" i="44"/>
  <c r="D118" i="44" s="1"/>
  <c r="D119" i="44" s="1"/>
  <c r="C117" i="44"/>
  <c r="K117" i="44" s="1"/>
  <c r="K116" i="44"/>
  <c r="J111" i="44"/>
  <c r="J108" i="44" s="1"/>
  <c r="H111" i="44"/>
  <c r="H108" i="44" s="1"/>
  <c r="G108" i="44"/>
  <c r="F108" i="44"/>
  <c r="E108" i="44"/>
  <c r="I105" i="44"/>
  <c r="I106" i="44" s="1"/>
  <c r="E105" i="44"/>
  <c r="E109" i="44" s="1"/>
  <c r="J104" i="44"/>
  <c r="J105" i="44" s="1"/>
  <c r="I104" i="44"/>
  <c r="H104" i="44"/>
  <c r="H105" i="44" s="1"/>
  <c r="G104" i="44"/>
  <c r="G105" i="44" s="1"/>
  <c r="F104" i="44"/>
  <c r="F105" i="44" s="1"/>
  <c r="E104" i="44"/>
  <c r="D104" i="44"/>
  <c r="D105" i="44" s="1"/>
  <c r="D106" i="44" s="1"/>
  <c r="C104" i="44"/>
  <c r="C105" i="44" s="1"/>
  <c r="K103" i="44"/>
  <c r="J98" i="44"/>
  <c r="J95" i="44" s="1"/>
  <c r="H98" i="44"/>
  <c r="H95" i="44" s="1"/>
  <c r="G95" i="44"/>
  <c r="F95" i="44"/>
  <c r="E95" i="44"/>
  <c r="J92" i="44"/>
  <c r="F92" i="44"/>
  <c r="F96" i="44" s="1"/>
  <c r="J91" i="44"/>
  <c r="I91" i="44"/>
  <c r="I92" i="44" s="1"/>
  <c r="I93" i="44" s="1"/>
  <c r="H91" i="44"/>
  <c r="H92" i="44" s="1"/>
  <c r="G91" i="44"/>
  <c r="G92" i="44" s="1"/>
  <c r="F91" i="44"/>
  <c r="E91" i="44"/>
  <c r="E92" i="44" s="1"/>
  <c r="D91" i="44"/>
  <c r="D92" i="44" s="1"/>
  <c r="D93" i="44" s="1"/>
  <c r="C91" i="44"/>
  <c r="C92" i="44" s="1"/>
  <c r="K90" i="44"/>
  <c r="J85" i="44"/>
  <c r="H85" i="44"/>
  <c r="J96" i="44" l="1"/>
  <c r="K108" i="44"/>
  <c r="H122" i="44"/>
  <c r="H119" i="44"/>
  <c r="H123" i="44"/>
  <c r="J123" i="44"/>
  <c r="F122" i="44"/>
  <c r="F119" i="44"/>
  <c r="J122" i="44"/>
  <c r="J119" i="44"/>
  <c r="F123" i="44"/>
  <c r="G119" i="44"/>
  <c r="G122" i="44"/>
  <c r="G123" i="44" s="1"/>
  <c r="K122" i="44"/>
  <c r="E123" i="44"/>
  <c r="E119" i="44"/>
  <c r="C118" i="44"/>
  <c r="C106" i="44"/>
  <c r="K105" i="44"/>
  <c r="G106" i="44"/>
  <c r="G109" i="44"/>
  <c r="G110" i="44" s="1"/>
  <c r="H109" i="44"/>
  <c r="H110" i="44" s="1"/>
  <c r="H106" i="44"/>
  <c r="F109" i="44"/>
  <c r="F106" i="44"/>
  <c r="J109" i="44"/>
  <c r="J110" i="44" s="1"/>
  <c r="J106" i="44"/>
  <c r="F110" i="44"/>
  <c r="E110" i="44"/>
  <c r="K104" i="44"/>
  <c r="E106" i="44"/>
  <c r="H93" i="44"/>
  <c r="H96" i="44"/>
  <c r="H97" i="44" s="1"/>
  <c r="F97" i="44"/>
  <c r="C93" i="44"/>
  <c r="K92" i="44"/>
  <c r="G96" i="44"/>
  <c r="G97" i="44" s="1"/>
  <c r="G93" i="44"/>
  <c r="E96" i="44"/>
  <c r="E93" i="44"/>
  <c r="E97" i="44"/>
  <c r="J97" i="44"/>
  <c r="K91" i="44"/>
  <c r="K95" i="44"/>
  <c r="F93" i="44"/>
  <c r="J93" i="44"/>
  <c r="K109" i="44" l="1"/>
  <c r="C119" i="44"/>
  <c r="K119" i="44" s="1"/>
  <c r="K118" i="44"/>
  <c r="K123" i="44"/>
  <c r="K110" i="44"/>
  <c r="K106" i="44"/>
  <c r="K97" i="44"/>
  <c r="K96" i="44"/>
  <c r="K93" i="44"/>
  <c r="J83" i="44" l="1"/>
  <c r="J82" i="44"/>
  <c r="J84" i="44" s="1"/>
  <c r="H82" i="44"/>
  <c r="K77" i="44"/>
  <c r="J78" i="44" s="1"/>
  <c r="J79" i="44" s="1"/>
  <c r="J80" i="44" s="1"/>
  <c r="K55" i="44"/>
  <c r="K42" i="44"/>
  <c r="K38" i="44"/>
  <c r="J39" i="44" s="1"/>
  <c r="J40" i="44" s="1"/>
  <c r="O230" i="46"/>
  <c r="P99" i="46"/>
  <c r="P55" i="46"/>
  <c r="J41" i="44" l="1"/>
  <c r="J26" i="44"/>
  <c r="H78" i="44"/>
  <c r="H79" i="44" s="1"/>
  <c r="O150" i="46"/>
  <c r="H80" i="44" l="1"/>
  <c r="H83" i="44"/>
  <c r="H84" i="44" s="1"/>
  <c r="O72" i="46" l="1"/>
  <c r="K19" i="45" l="1"/>
  <c r="K40" i="45" s="1"/>
  <c r="J139" i="44" s="1"/>
  <c r="J19" i="45"/>
  <c r="I19" i="45"/>
  <c r="I40" i="45" s="1"/>
  <c r="J40" i="45"/>
  <c r="H40" i="45"/>
  <c r="G40" i="45"/>
  <c r="F40" i="45"/>
  <c r="E40" i="45"/>
  <c r="P258" i="46"/>
  <c r="P303" i="46"/>
  <c r="P296" i="46"/>
  <c r="P287" i="46"/>
  <c r="P281" i="46"/>
  <c r="P271" i="46"/>
  <c r="P222" i="46"/>
  <c r="P216" i="46"/>
  <c r="P207" i="46"/>
  <c r="P201" i="46"/>
  <c r="P191" i="46"/>
  <c r="P178" i="46"/>
  <c r="P142" i="46"/>
  <c r="P126" i="46"/>
  <c r="P135" i="46"/>
  <c r="P120" i="46"/>
  <c r="P111" i="46"/>
  <c r="P63" i="46"/>
  <c r="P30" i="46"/>
  <c r="P50" i="46"/>
  <c r="P41" i="46"/>
  <c r="I306" i="46" l="1"/>
  <c r="O306" i="46"/>
  <c r="O307" i="46" s="1"/>
  <c r="G306" i="46"/>
  <c r="G307" i="46" s="1"/>
  <c r="H306" i="46"/>
  <c r="H307" i="46" s="1"/>
  <c r="H317" i="46" s="1"/>
  <c r="H67" i="46"/>
  <c r="G67" i="46"/>
  <c r="G68" i="46" s="1"/>
  <c r="I67" i="46"/>
  <c r="O67" i="46"/>
  <c r="O68" i="46" s="1"/>
  <c r="G145" i="46"/>
  <c r="G146" i="46" s="1"/>
  <c r="H145" i="46"/>
  <c r="O145" i="46"/>
  <c r="O146" i="46" s="1"/>
  <c r="I145" i="46"/>
  <c r="O225" i="46"/>
  <c r="O226" i="46" s="1"/>
  <c r="H225" i="46"/>
  <c r="G225" i="46"/>
  <c r="G226" i="46" s="1"/>
  <c r="I225" i="46"/>
  <c r="S26" i="3"/>
  <c r="S313" i="46" s="1"/>
  <c r="R26" i="3"/>
  <c r="S232" i="46" s="1"/>
  <c r="S25" i="3"/>
  <c r="S312" i="46" s="1"/>
  <c r="R25" i="3"/>
  <c r="S231" i="46" s="1"/>
  <c r="G26" i="3"/>
  <c r="F26" i="3"/>
  <c r="G27" i="3" l="1"/>
  <c r="X25" i="3"/>
  <c r="T25" i="3"/>
  <c r="W25" i="3"/>
  <c r="V25" i="3"/>
  <c r="Y25" i="3"/>
  <c r="U25" i="3"/>
  <c r="K27" i="3"/>
  <c r="J27" i="3"/>
  <c r="M27" i="3"/>
  <c r="I27" i="3"/>
  <c r="L27" i="3"/>
  <c r="H27" i="3"/>
  <c r="Y27" i="3"/>
  <c r="U27" i="3"/>
  <c r="X27" i="3"/>
  <c r="T27" i="3"/>
  <c r="W27" i="3"/>
  <c r="V27" i="3"/>
  <c r="O313" i="46"/>
  <c r="O232" i="46"/>
  <c r="M26" i="3"/>
  <c r="I26" i="3"/>
  <c r="L26" i="3"/>
  <c r="H26" i="3"/>
  <c r="K26" i="3"/>
  <c r="J26" i="3"/>
  <c r="Q25" i="3"/>
  <c r="X26" i="3"/>
  <c r="T26" i="3"/>
  <c r="W26" i="3"/>
  <c r="V26" i="3"/>
  <c r="Y26" i="3"/>
  <c r="U26" i="3"/>
  <c r="M28" i="3"/>
  <c r="I28" i="3"/>
  <c r="L28" i="3"/>
  <c r="H28" i="3"/>
  <c r="K28" i="3"/>
  <c r="J28" i="3"/>
  <c r="S27" i="3"/>
  <c r="S314" i="46" s="1"/>
  <c r="O314" i="46" s="1"/>
  <c r="W28" i="3"/>
  <c r="V28" i="3"/>
  <c r="Y28" i="3"/>
  <c r="U28" i="3"/>
  <c r="T28" i="3"/>
  <c r="X28" i="3"/>
  <c r="O315" i="46"/>
  <c r="O309" i="46"/>
  <c r="O317" i="46" s="1"/>
  <c r="O122" i="54" s="1"/>
  <c r="O233" i="46"/>
  <c r="O228" i="46"/>
  <c r="O152" i="46"/>
  <c r="O148" i="46"/>
  <c r="J114" i="54"/>
  <c r="J115" i="54" s="1"/>
  <c r="I226" i="46"/>
  <c r="I236" i="46" s="1"/>
  <c r="H226" i="46"/>
  <c r="H236" i="46" s="1"/>
  <c r="I146" i="46"/>
  <c r="I156" i="46" s="1"/>
  <c r="I68" i="46"/>
  <c r="I77" i="46" s="1"/>
  <c r="O235" i="46" l="1"/>
  <c r="O236" i="46"/>
  <c r="O121" i="54" s="1"/>
  <c r="O155" i="46"/>
  <c r="O156" i="46"/>
  <c r="O120" i="54" s="1"/>
  <c r="O124" i="54" s="1"/>
  <c r="J35" i="43" s="1"/>
  <c r="O231" i="46"/>
  <c r="O234" i="46" s="1"/>
  <c r="J29" i="43" s="1"/>
  <c r="O312" i="46"/>
  <c r="O316" i="46" s="1"/>
  <c r="J32" i="43" s="1"/>
  <c r="P226" i="46"/>
  <c r="O73" i="46"/>
  <c r="J23" i="43" s="1"/>
  <c r="J147" i="46"/>
  <c r="N155" i="46"/>
  <c r="N76" i="46"/>
  <c r="L235" i="46"/>
  <c r="P25" i="47" l="1"/>
  <c r="P21" i="47"/>
  <c r="P17" i="47"/>
  <c r="P26" i="47"/>
  <c r="P24" i="47"/>
  <c r="P20" i="47"/>
  <c r="P16" i="47"/>
  <c r="P18" i="47"/>
  <c r="P27" i="47"/>
  <c r="P23" i="47"/>
  <c r="P19" i="47"/>
  <c r="P22" i="47"/>
  <c r="H235" i="46"/>
  <c r="I155" i="46"/>
  <c r="I76" i="46"/>
  <c r="M235" i="46"/>
  <c r="N235" i="46"/>
  <c r="I235" i="46"/>
  <c r="V48" i="3"/>
  <c r="V44" i="3"/>
  <c r="O130" i="54" s="1"/>
  <c r="U44" i="3"/>
  <c r="O129" i="54" s="1"/>
  <c r="T44" i="3"/>
  <c r="O128" i="54" s="1"/>
  <c r="S44" i="3"/>
  <c r="O127" i="54" s="1"/>
  <c r="M128" i="54" l="1"/>
  <c r="L128" i="54"/>
  <c r="M129" i="54"/>
  <c r="L129" i="54"/>
  <c r="M130" i="54"/>
  <c r="L130" i="54"/>
  <c r="M127" i="54"/>
  <c r="L127" i="54"/>
  <c r="J308" i="46"/>
  <c r="K69" i="46"/>
  <c r="K70" i="46" s="1"/>
  <c r="K77" i="46" s="1"/>
  <c r="J309" i="46" l="1"/>
  <c r="K114" i="54"/>
  <c r="K115" i="54" s="1"/>
  <c r="P115" i="54" s="1"/>
  <c r="H68" i="46"/>
  <c r="H77" i="46" s="1"/>
  <c r="V47" i="3"/>
  <c r="V46" i="3"/>
  <c r="V45" i="3"/>
  <c r="I44" i="3"/>
  <c r="F44" i="3"/>
  <c r="O154" i="46"/>
  <c r="N75" i="46"/>
  <c r="N74" i="46"/>
  <c r="K308" i="46"/>
  <c r="K309" i="46" s="1"/>
  <c r="I307" i="46"/>
  <c r="K227" i="46"/>
  <c r="K228" i="46" s="1"/>
  <c r="K236" i="46" s="1"/>
  <c r="J227" i="46"/>
  <c r="J228" i="46" s="1"/>
  <c r="J236" i="46" s="1"/>
  <c r="K147" i="46"/>
  <c r="J148" i="46"/>
  <c r="J156" i="46" s="1"/>
  <c r="J69" i="46"/>
  <c r="J70" i="46" s="1"/>
  <c r="H146" i="46"/>
  <c r="H156" i="46" s="1"/>
  <c r="P307" i="46" l="1"/>
  <c r="I317" i="46"/>
  <c r="P70" i="46"/>
  <c r="J77" i="46"/>
  <c r="P308" i="46"/>
  <c r="P146" i="46"/>
  <c r="P228" i="46"/>
  <c r="P309" i="46"/>
  <c r="L75" i="46"/>
  <c r="O75" i="46"/>
  <c r="K76" i="46"/>
  <c r="O76" i="46"/>
  <c r="K148" i="46"/>
  <c r="K156" i="46" s="1"/>
  <c r="P147" i="46"/>
  <c r="P68" i="46"/>
  <c r="I130" i="54"/>
  <c r="N130" i="54"/>
  <c r="N127" i="54"/>
  <c r="I127" i="54"/>
  <c r="L155" i="46"/>
  <c r="M155" i="46"/>
  <c r="L76" i="46"/>
  <c r="M76" i="46"/>
  <c r="J155" i="46"/>
  <c r="H155" i="46"/>
  <c r="J76" i="46"/>
  <c r="H76" i="46"/>
  <c r="H130" i="54"/>
  <c r="J235" i="46"/>
  <c r="K235" i="46"/>
  <c r="I154" i="46"/>
  <c r="P114" i="54"/>
  <c r="H127" i="54"/>
  <c r="M75" i="46"/>
  <c r="J154" i="46"/>
  <c r="K75" i="46"/>
  <c r="J75" i="46"/>
  <c r="I74" i="46"/>
  <c r="I75" i="46"/>
  <c r="H75" i="46"/>
  <c r="H74" i="46"/>
  <c r="C52" i="44"/>
  <c r="C53" i="44" l="1"/>
  <c r="K154" i="46"/>
  <c r="K155" i="46"/>
  <c r="P148" i="46"/>
  <c r="K127" i="54"/>
  <c r="K130" i="54"/>
  <c r="K129" i="54"/>
  <c r="K128" i="54"/>
  <c r="J130" i="54"/>
  <c r="J128" i="54"/>
  <c r="J127" i="54"/>
  <c r="J129" i="54"/>
  <c r="D31" i="44"/>
  <c r="I31" i="44"/>
  <c r="G31"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C27" i="44" l="1"/>
  <c r="D30" i="44"/>
  <c r="G30" i="44"/>
  <c r="I30" i="44"/>
  <c r="C39" i="44"/>
  <c r="H39" i="44"/>
  <c r="H40" i="44" s="1"/>
  <c r="H26" i="44" s="1"/>
  <c r="G39" i="44"/>
  <c r="G40" i="44" s="1"/>
  <c r="G26" i="44" s="1"/>
  <c r="D39" i="44"/>
  <c r="D40" i="44" s="1"/>
  <c r="D26" i="44" s="1"/>
  <c r="F39" i="44"/>
  <c r="F40" i="44" s="1"/>
  <c r="F26" i="44" s="1"/>
  <c r="E39" i="44"/>
  <c r="E40" i="44" s="1"/>
  <c r="E26" i="44" s="1"/>
  <c r="I39" i="44"/>
  <c r="I40" i="44" s="1"/>
  <c r="I26" i="44" s="1"/>
  <c r="E69" i="44"/>
  <c r="C31" i="44" l="1"/>
  <c r="C40" i="44"/>
  <c r="K3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C30" i="44" l="1"/>
  <c r="C26" i="44"/>
  <c r="K40" i="44"/>
  <c r="P85" i="61"/>
  <c r="P86" i="61"/>
  <c r="P87" i="61"/>
  <c r="P91" i="61"/>
  <c r="P63" i="61"/>
  <c r="P64" i="61"/>
  <c r="P65" i="61"/>
  <c r="P66" i="61"/>
  <c r="P70" i="61"/>
  <c r="P46" i="60"/>
  <c r="P47" i="60"/>
  <c r="P48" i="60"/>
  <c r="P50" i="60"/>
  <c r="H111" i="57"/>
  <c r="F43" i="44" l="1"/>
  <c r="G43" i="44"/>
  <c r="H43" i="44"/>
  <c r="E43" i="44"/>
  <c r="E56" i="44"/>
  <c r="K43" i="44" l="1"/>
  <c r="D32" i="44"/>
  <c r="G32" i="44"/>
  <c r="I32" i="44"/>
  <c r="F56" i="44"/>
  <c r="H116" i="47" l="1"/>
  <c r="H117" i="47"/>
  <c r="H115" i="47"/>
  <c r="H113" i="47"/>
  <c r="H114" i="47"/>
  <c r="H112" i="47"/>
  <c r="H110" i="47"/>
  <c r="H111" i="47"/>
  <c r="H109" i="47"/>
  <c r="H107" i="47"/>
  <c r="H108" i="47"/>
  <c r="H106" i="47"/>
  <c r="H98" i="47"/>
  <c r="H99" i="47"/>
  <c r="H97" i="47"/>
  <c r="H95" i="47"/>
  <c r="H96" i="47"/>
  <c r="H94" i="47"/>
  <c r="H92" i="47"/>
  <c r="H93" i="47"/>
  <c r="H91" i="47"/>
  <c r="C32" i="44" l="1"/>
  <c r="H32" i="47"/>
  <c r="H33" i="47"/>
  <c r="H31" i="47"/>
  <c r="P28" i="47"/>
  <c r="P30" i="47" s="1"/>
  <c r="H17" i="47"/>
  <c r="H18" i="47"/>
  <c r="H16" i="47"/>
  <c r="K33" i="45" l="1"/>
  <c r="H19" i="45"/>
  <c r="G19" i="45"/>
  <c r="F19" i="45"/>
  <c r="E19" i="45"/>
  <c r="G34" i="45" l="1"/>
  <c r="I230" i="46" s="1"/>
  <c r="I233" i="46" s="1"/>
  <c r="G33" i="45"/>
  <c r="J116" i="59"/>
  <c r="T45" i="3"/>
  <c r="T46" i="3"/>
  <c r="J127" i="58" s="1"/>
  <c r="H33" i="45"/>
  <c r="H311" i="46" s="1"/>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O126" i="54"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L74" i="46" l="1"/>
  <c r="S151" i="46"/>
  <c r="O74" i="46"/>
  <c r="K69" i="44"/>
  <c r="K82" i="44"/>
  <c r="K56" i="44"/>
  <c r="L125" i="57"/>
  <c r="L123" i="58" s="1"/>
  <c r="L126" i="54"/>
  <c r="L121" i="57" s="1"/>
  <c r="L123" i="57" s="1"/>
  <c r="M126" i="54"/>
  <c r="J126" i="54"/>
  <c r="J122" i="58" s="1"/>
  <c r="K126" i="54"/>
  <c r="K122" i="58" s="1"/>
  <c r="I129" i="58"/>
  <c r="I128" i="54"/>
  <c r="I121" i="59" s="1"/>
  <c r="N128" i="54"/>
  <c r="N121" i="59" s="1"/>
  <c r="H128" i="54"/>
  <c r="H121" i="59" s="1"/>
  <c r="N127" i="59"/>
  <c r="N124" i="60" s="1"/>
  <c r="N126" i="54"/>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133" i="44"/>
  <c r="C78" i="44"/>
  <c r="I78" i="44"/>
  <c r="I79" i="44" s="1"/>
  <c r="F78" i="44"/>
  <c r="F79" i="44" s="1"/>
  <c r="D78" i="44"/>
  <c r="D79" i="44" s="1"/>
  <c r="D29" i="44" s="1"/>
  <c r="E78" i="44"/>
  <c r="E79" i="44" s="1"/>
  <c r="G78" i="44"/>
  <c r="G79" i="44" s="1"/>
  <c r="G29" i="44" s="1"/>
  <c r="C65" i="44"/>
  <c r="G65" i="44"/>
  <c r="G66" i="44" s="1"/>
  <c r="G28" i="44" s="1"/>
  <c r="H65" i="44"/>
  <c r="H66" i="44" s="1"/>
  <c r="I65" i="44"/>
  <c r="I66" i="44" s="1"/>
  <c r="I28" i="44" s="1"/>
  <c r="E65" i="44"/>
  <c r="E66" i="44" s="1"/>
  <c r="D65" i="44"/>
  <c r="D66" i="44" s="1"/>
  <c r="D28" i="44" s="1"/>
  <c r="F65" i="44"/>
  <c r="F66" i="44" s="1"/>
  <c r="L231" i="46"/>
  <c r="J231" i="46"/>
  <c r="N154" i="46"/>
  <c r="N232" i="46" s="1"/>
  <c r="I232" i="46"/>
  <c r="H154" i="46"/>
  <c r="I313" i="46"/>
  <c r="I312" i="46"/>
  <c r="H151" i="46"/>
  <c r="H153" i="46" s="1"/>
  <c r="I231" i="46"/>
  <c r="J233" i="46"/>
  <c r="I128" i="60"/>
  <c r="I125" i="61" s="1"/>
  <c r="M314" i="46"/>
  <c r="H129" i="58"/>
  <c r="H123" i="61" s="1"/>
  <c r="N122" i="58"/>
  <c r="L314" i="46"/>
  <c r="I127" i="59"/>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E19" i="44"/>
  <c r="E32" i="44"/>
  <c r="E20" i="44"/>
  <c r="F52" i="44"/>
  <c r="I52" i="44"/>
  <c r="D52" i="44"/>
  <c r="H133" i="44"/>
  <c r="H22" i="43" s="1"/>
  <c r="I41"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M121" i="57"/>
  <c r="L127" i="59"/>
  <c r="L124" i="60" s="1"/>
  <c r="J128" i="58"/>
  <c r="J123" i="60" s="1"/>
  <c r="I128" i="58"/>
  <c r="I123" i="60" s="1"/>
  <c r="J125" i="57"/>
  <c r="J123" i="58" s="1"/>
  <c r="I125" i="57"/>
  <c r="I123" i="58" s="1"/>
  <c r="L122" i="60"/>
  <c r="L121" i="60"/>
  <c r="L123" i="60"/>
  <c r="I126" i="61"/>
  <c r="I123" i="61"/>
  <c r="L124" i="58"/>
  <c r="I124" i="60"/>
  <c r="N72" i="46"/>
  <c r="P306" i="46"/>
  <c r="R307" i="46" s="1"/>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R146" i="46" s="1"/>
  <c r="P227" i="46"/>
  <c r="P67" i="46"/>
  <c r="R68" i="46" s="1"/>
  <c r="P225" i="46"/>
  <c r="R226" i="46" s="1"/>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O151" i="46" l="1"/>
  <c r="O153" i="46" s="1"/>
  <c r="J26" i="43" s="1"/>
  <c r="K52" i="44"/>
  <c r="I80" i="44"/>
  <c r="I29" i="44"/>
  <c r="I136" i="44" s="1"/>
  <c r="I31" i="43" s="1"/>
  <c r="C79" i="44"/>
  <c r="C29" i="44" s="1"/>
  <c r="K78" i="44"/>
  <c r="C66" i="44"/>
  <c r="K65" i="44"/>
  <c r="C23" i="43"/>
  <c r="N124" i="54"/>
  <c r="I35" i="43" s="1"/>
  <c r="J124" i="54"/>
  <c r="E35" i="43" s="1"/>
  <c r="H232" i="46"/>
  <c r="P121" i="54"/>
  <c r="K124" i="54"/>
  <c r="F35" i="43" s="1"/>
  <c r="M124" i="54"/>
  <c r="H35" i="43" s="1"/>
  <c r="I124" i="54"/>
  <c r="D35" i="43" s="1"/>
  <c r="P122" i="54"/>
  <c r="L124" i="54"/>
  <c r="G35" i="43" s="1"/>
  <c r="H124" i="54"/>
  <c r="C35" i="43" s="1"/>
  <c r="P119" i="54"/>
  <c r="P120" i="54"/>
  <c r="K234" i="46"/>
  <c r="F29" i="43" s="1"/>
  <c r="I234" i="46"/>
  <c r="D29" i="43" s="1"/>
  <c r="H231" i="46"/>
  <c r="H316" i="46"/>
  <c r="L234" i="46"/>
  <c r="G29" i="43" s="1"/>
  <c r="I152" i="46"/>
  <c r="I151" i="46"/>
  <c r="N73" i="46"/>
  <c r="I23" i="43" s="1"/>
  <c r="N27" i="47"/>
  <c r="L73" i="46"/>
  <c r="G23" i="43" s="1"/>
  <c r="K73" i="46"/>
  <c r="F23" i="43" s="1"/>
  <c r="E53" i="44"/>
  <c r="E57" i="44" s="1"/>
  <c r="I53" i="44"/>
  <c r="F53" i="44"/>
  <c r="F54" i="44" s="1"/>
  <c r="D53" i="44"/>
  <c r="G53" i="44"/>
  <c r="K133" i="44"/>
  <c r="N16" i="47"/>
  <c r="N17" i="47"/>
  <c r="I316" i="46"/>
  <c r="D32" i="43" s="1"/>
  <c r="J313" i="46"/>
  <c r="J232" i="46"/>
  <c r="J234" i="46" s="1"/>
  <c r="J153" i="46"/>
  <c r="E26" i="43" s="1"/>
  <c r="J314" i="46"/>
  <c r="D23" i="43"/>
  <c r="C54" i="44"/>
  <c r="C134" i="44"/>
  <c r="C25" i="43" s="1"/>
  <c r="C137" i="44"/>
  <c r="E18" i="44"/>
  <c r="N121" i="57"/>
  <c r="N123" i="57" s="1"/>
  <c r="I123" i="57"/>
  <c r="J312" i="46"/>
  <c r="D136" i="44"/>
  <c r="D31" i="43" s="1"/>
  <c r="N125" i="58"/>
  <c r="N18" i="47"/>
  <c r="N23" i="47"/>
  <c r="D138" i="44"/>
  <c r="E31" i="44"/>
  <c r="F31" i="44"/>
  <c r="N22" i="47"/>
  <c r="N25" i="47"/>
  <c r="N20" i="47"/>
  <c r="E139" i="44"/>
  <c r="N24" i="47"/>
  <c r="C139" i="44"/>
  <c r="I139" i="44"/>
  <c r="F32" i="44"/>
  <c r="N26" i="47"/>
  <c r="I137" i="44"/>
  <c r="I34" i="43" s="1"/>
  <c r="N19" i="47"/>
  <c r="C138" i="44"/>
  <c r="N21" i="47"/>
  <c r="D80" i="44"/>
  <c r="I138" i="44"/>
  <c r="G70" i="44"/>
  <c r="G67" i="44"/>
  <c r="F30" i="44"/>
  <c r="E30" i="44"/>
  <c r="C136" i="44"/>
  <c r="G41" i="44"/>
  <c r="G44" i="44"/>
  <c r="G45" i="44" s="1"/>
  <c r="H41" i="44"/>
  <c r="H44" i="44"/>
  <c r="H45" i="44" s="1"/>
  <c r="F41" i="44"/>
  <c r="F44" i="44"/>
  <c r="F45" i="44" s="1"/>
  <c r="E41" i="44"/>
  <c r="E44" i="44"/>
  <c r="G136" i="44"/>
  <c r="G31" i="43" s="1"/>
  <c r="E83" i="44"/>
  <c r="E29" i="44" s="1"/>
  <c r="E80" i="44"/>
  <c r="G80" i="44"/>
  <c r="G83" i="44"/>
  <c r="E67" i="44"/>
  <c r="E70" i="44"/>
  <c r="E14" i="44"/>
  <c r="I67" i="44"/>
  <c r="I135" i="44"/>
  <c r="I28" i="43" s="1"/>
  <c r="C67" i="44"/>
  <c r="H57" i="44"/>
  <c r="H27" i="44" s="1"/>
  <c r="H54" i="44"/>
  <c r="H67" i="44"/>
  <c r="H70" i="44"/>
  <c r="H28" i="44" s="1"/>
  <c r="F67" i="44"/>
  <c r="F70" i="44"/>
  <c r="F28" i="44" s="1"/>
  <c r="F83" i="44"/>
  <c r="F29" i="44" s="1"/>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K22" i="43" l="1"/>
  <c r="P84" i="47"/>
  <c r="P65" i="47"/>
  <c r="P46" i="47"/>
  <c r="P66" i="47"/>
  <c r="P87" i="47"/>
  <c r="P68" i="47"/>
  <c r="P49" i="47"/>
  <c r="P62" i="47"/>
  <c r="P86" i="47"/>
  <c r="P67" i="47"/>
  <c r="P48" i="47"/>
  <c r="P70" i="47"/>
  <c r="P40" i="47"/>
  <c r="P80" i="47"/>
  <c r="P61" i="47"/>
  <c r="P39" i="47"/>
  <c r="P51" i="47"/>
  <c r="P83" i="47"/>
  <c r="P64" i="47"/>
  <c r="P42" i="47"/>
  <c r="P47" i="47"/>
  <c r="P82" i="47"/>
  <c r="P63" i="47"/>
  <c r="P41" i="47"/>
  <c r="P76" i="47"/>
  <c r="P54" i="47"/>
  <c r="P35" i="47"/>
  <c r="P36" i="47"/>
  <c r="P79" i="47"/>
  <c r="P57" i="47"/>
  <c r="P38" i="47"/>
  <c r="P32" i="47"/>
  <c r="P78" i="47"/>
  <c r="P56" i="47"/>
  <c r="P37" i="47"/>
  <c r="P69" i="47"/>
  <c r="P50" i="47"/>
  <c r="P31" i="47"/>
  <c r="P81" i="47"/>
  <c r="P72" i="47"/>
  <c r="P53" i="47"/>
  <c r="P34" i="47"/>
  <c r="P77" i="47"/>
  <c r="P71" i="47"/>
  <c r="P52" i="47"/>
  <c r="P33" i="47"/>
  <c r="P85" i="47"/>
  <c r="P55" i="47"/>
  <c r="K23" i="43"/>
  <c r="K36" i="43"/>
  <c r="K35" i="43"/>
  <c r="D27" i="44"/>
  <c r="K53" i="44"/>
  <c r="K44" i="44"/>
  <c r="D14" i="44" s="1"/>
  <c r="G57" i="44"/>
  <c r="G27" i="44"/>
  <c r="E27" i="44"/>
  <c r="I54" i="44"/>
  <c r="I27" i="44"/>
  <c r="H135" i="44"/>
  <c r="H28" i="43" s="1"/>
  <c r="K70" i="44"/>
  <c r="D16" i="44" s="1"/>
  <c r="E28" i="44"/>
  <c r="K66" i="44"/>
  <c r="E16" i="44" s="1"/>
  <c r="C28" i="44"/>
  <c r="C135" i="44" s="1"/>
  <c r="C28" i="43" s="1"/>
  <c r="K41" i="44"/>
  <c r="D19" i="44"/>
  <c r="K83" i="44"/>
  <c r="D17" i="44" s="1"/>
  <c r="C80" i="44"/>
  <c r="K80" i="44" s="1"/>
  <c r="K79" i="44"/>
  <c r="E17" i="44" s="1"/>
  <c r="G54" i="44"/>
  <c r="E54" i="44"/>
  <c r="P73" i="46"/>
  <c r="H234" i="46"/>
  <c r="C29" i="43" s="1"/>
  <c r="P124" i="54"/>
  <c r="I134" i="44"/>
  <c r="I25" i="43" s="1"/>
  <c r="G24" i="43"/>
  <c r="F24" i="43"/>
  <c r="I16" i="47"/>
  <c r="E24" i="43"/>
  <c r="I153" i="46"/>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D20" i="44"/>
  <c r="E15" i="44"/>
  <c r="G58" i="44"/>
  <c r="H134" i="44"/>
  <c r="H25" i="43" s="1"/>
  <c r="D54" i="44"/>
  <c r="K54" i="44" s="1"/>
  <c r="F57" i="44"/>
  <c r="F27" i="44" s="1"/>
  <c r="D134" i="44"/>
  <c r="D25" i="43" s="1"/>
  <c r="I17" i="47"/>
  <c r="P232" i="46"/>
  <c r="J316" i="46"/>
  <c r="E32" i="43" s="1"/>
  <c r="E29" i="43"/>
  <c r="J23" i="47"/>
  <c r="J21" i="47"/>
  <c r="J25" i="47"/>
  <c r="J22" i="47"/>
  <c r="J20" i="47"/>
  <c r="J27" i="47"/>
  <c r="J19" i="47"/>
  <c r="J16" i="47"/>
  <c r="J17" i="47"/>
  <c r="J26" i="47"/>
  <c r="J18" i="47"/>
  <c r="J24" i="47"/>
  <c r="K16" i="47"/>
  <c r="K17" i="47"/>
  <c r="E138" i="44"/>
  <c r="C34" i="43"/>
  <c r="E137" i="44"/>
  <c r="E34" i="43" s="1"/>
  <c r="D18" i="44"/>
  <c r="C31" i="43"/>
  <c r="F137" i="44"/>
  <c r="F34" i="43" s="1"/>
  <c r="G139" i="44"/>
  <c r="G137" i="44"/>
  <c r="G34" i="43" s="1"/>
  <c r="H138" i="44"/>
  <c r="F138" i="44"/>
  <c r="G138" i="44"/>
  <c r="H137" i="44"/>
  <c r="H34" i="43" s="1"/>
  <c r="F139" i="44"/>
  <c r="H139" i="44"/>
  <c r="N28" i="47"/>
  <c r="D137" i="44"/>
  <c r="D139" i="44"/>
  <c r="G71" i="44"/>
  <c r="E45" i="44"/>
  <c r="K45" i="44" s="1"/>
  <c r="H136" i="44"/>
  <c r="H31" i="43" s="1"/>
  <c r="G84" i="44"/>
  <c r="E84" i="44"/>
  <c r="E136" i="44"/>
  <c r="E31" i="43" s="1"/>
  <c r="G134" i="44"/>
  <c r="G25" i="43" s="1"/>
  <c r="G27" i="43" s="1"/>
  <c r="H58" i="44"/>
  <c r="D135" i="44"/>
  <c r="D67" i="44"/>
  <c r="K67" i="44" s="1"/>
  <c r="G135" i="44"/>
  <c r="G28" i="43" s="1"/>
  <c r="H71" i="44"/>
  <c r="F136" i="44"/>
  <c r="F84" i="44"/>
  <c r="E135" i="44"/>
  <c r="E28" i="43" s="1"/>
  <c r="E71" i="44"/>
  <c r="F135" i="44"/>
  <c r="F28" i="43" s="1"/>
  <c r="F71" i="44"/>
  <c r="P122" i="58"/>
  <c r="P125" i="58" s="1"/>
  <c r="P121" i="57"/>
  <c r="P123" i="57" s="1"/>
  <c r="J125" i="59"/>
  <c r="P122" i="61"/>
  <c r="P127" i="61" s="1"/>
  <c r="P122" i="60"/>
  <c r="P126" i="60" s="1"/>
  <c r="P125" i="59"/>
  <c r="P152" i="46"/>
  <c r="P314" i="46"/>
  <c r="K27" i="47"/>
  <c r="K24" i="47"/>
  <c r="K20" i="47"/>
  <c r="K18" i="47"/>
  <c r="K26" i="47"/>
  <c r="K22" i="47"/>
  <c r="K25" i="47"/>
  <c r="K21" i="47"/>
  <c r="K23" i="47"/>
  <c r="P312" i="46"/>
  <c r="C32" i="43"/>
  <c r="M153" i="46"/>
  <c r="H26" i="43" s="1"/>
  <c r="M234" i="46"/>
  <c r="H29" i="43" s="1"/>
  <c r="P231" i="46"/>
  <c r="P234" i="46" s="1"/>
  <c r="N316" i="46"/>
  <c r="I32" i="43" s="1"/>
  <c r="P313" i="46"/>
  <c r="K316" i="46"/>
  <c r="F32" i="43" s="1"/>
  <c r="P151" i="46"/>
  <c r="K153" i="46"/>
  <c r="F26" i="43" s="1"/>
  <c r="P315" i="46"/>
  <c r="K19" i="47"/>
  <c r="I19" i="47"/>
  <c r="I25" i="47"/>
  <c r="I22" i="47"/>
  <c r="I26" i="47"/>
  <c r="I23" i="47"/>
  <c r="I20" i="47"/>
  <c r="I27" i="47"/>
  <c r="I18" i="47"/>
  <c r="I24" i="47"/>
  <c r="I21" i="47"/>
  <c r="P43" i="47" l="1"/>
  <c r="P45" i="47" s="1"/>
  <c r="P58" i="47" s="1"/>
  <c r="P60" i="47" s="1"/>
  <c r="P73" i="47" s="1"/>
  <c r="K24" i="43"/>
  <c r="K32" i="43"/>
  <c r="K33" i="43"/>
  <c r="K29" i="43"/>
  <c r="K30" i="43"/>
  <c r="D26" i="43"/>
  <c r="K26" i="43" s="1"/>
  <c r="P153" i="46"/>
  <c r="I37" i="47"/>
  <c r="I47" i="47"/>
  <c r="K71" i="44"/>
  <c r="K57" i="44"/>
  <c r="O50" i="47"/>
  <c r="O53" i="47"/>
  <c r="I41" i="47"/>
  <c r="O128" i="47"/>
  <c r="O48" i="47"/>
  <c r="O51" i="47"/>
  <c r="O54" i="47"/>
  <c r="O46" i="47"/>
  <c r="I31" i="47"/>
  <c r="O55" i="47"/>
  <c r="O57" i="47"/>
  <c r="O56" i="47"/>
  <c r="I32" i="47"/>
  <c r="I40" i="47"/>
  <c r="I33" i="47"/>
  <c r="O52" i="47"/>
  <c r="O49" i="47"/>
  <c r="O47" i="47"/>
  <c r="I36" i="47"/>
  <c r="N35" i="47"/>
  <c r="O37" i="47"/>
  <c r="O38" i="47"/>
  <c r="O39" i="47"/>
  <c r="K84" i="44"/>
  <c r="O36" i="47"/>
  <c r="O42" i="47"/>
  <c r="O32" i="47"/>
  <c r="O34" i="47"/>
  <c r="O41" i="47"/>
  <c r="O35" i="47"/>
  <c r="O33" i="47"/>
  <c r="O40" i="47"/>
  <c r="M39" i="47"/>
  <c r="M31" i="47"/>
  <c r="M33" i="47"/>
  <c r="M55" i="47"/>
  <c r="I49" i="47"/>
  <c r="N31" i="47"/>
  <c r="N36" i="47"/>
  <c r="M71" i="47"/>
  <c r="M64" i="47"/>
  <c r="N34" i="47"/>
  <c r="O85" i="47"/>
  <c r="O86" i="47"/>
  <c r="O83" i="47"/>
  <c r="O68" i="47"/>
  <c r="O67" i="47"/>
  <c r="O76" i="47"/>
  <c r="O66" i="47"/>
  <c r="O87" i="47"/>
  <c r="O78" i="47"/>
  <c r="O79" i="47"/>
  <c r="O65" i="47"/>
  <c r="O84" i="47"/>
  <c r="J41" i="47"/>
  <c r="N42" i="47"/>
  <c r="M72" i="47"/>
  <c r="M56" i="47"/>
  <c r="N67" i="47"/>
  <c r="N33" i="47"/>
  <c r="N38" i="47"/>
  <c r="N41" i="47"/>
  <c r="N37" i="47"/>
  <c r="N40" i="47"/>
  <c r="N39" i="47"/>
  <c r="M66" i="47"/>
  <c r="M69" i="47"/>
  <c r="M35" i="47"/>
  <c r="M41" i="47"/>
  <c r="N32" i="47"/>
  <c r="M63" i="47"/>
  <c r="M32" i="47"/>
  <c r="O81" i="47"/>
  <c r="O63" i="47"/>
  <c r="O64" i="47"/>
  <c r="O70" i="47"/>
  <c r="O80" i="47"/>
  <c r="O71" i="47"/>
  <c r="O72" i="47"/>
  <c r="O61" i="47"/>
  <c r="O77" i="47"/>
  <c r="O82" i="47"/>
  <c r="O69" i="47"/>
  <c r="I56" i="47"/>
  <c r="I48" i="47"/>
  <c r="M82" i="47"/>
  <c r="I53" i="47"/>
  <c r="I57" i="47"/>
  <c r="M84" i="47"/>
  <c r="M47" i="47"/>
  <c r="M87" i="47"/>
  <c r="I51" i="47"/>
  <c r="M80" i="47"/>
  <c r="M51" i="47"/>
  <c r="M46" i="47"/>
  <c r="M49" i="47"/>
  <c r="I46" i="47"/>
  <c r="M50" i="47"/>
  <c r="I55" i="47"/>
  <c r="M78" i="47"/>
  <c r="M54" i="47"/>
  <c r="M48" i="47"/>
  <c r="M79" i="47"/>
  <c r="M83" i="47"/>
  <c r="O28" i="47"/>
  <c r="M57" i="47"/>
  <c r="M77" i="47"/>
  <c r="M65" i="47"/>
  <c r="I39" i="47"/>
  <c r="I52" i="47"/>
  <c r="I42" i="47"/>
  <c r="M68" i="47"/>
  <c r="M52" i="47"/>
  <c r="M62" i="47"/>
  <c r="M38" i="47"/>
  <c r="M36" i="47"/>
  <c r="M81" i="47"/>
  <c r="N30" i="47"/>
  <c r="I50" i="47"/>
  <c r="I35" i="47"/>
  <c r="I34" i="47"/>
  <c r="M61" i="47"/>
  <c r="M42" i="47"/>
  <c r="M85" i="47"/>
  <c r="M34" i="47"/>
  <c r="M40" i="47"/>
  <c r="M86" i="47"/>
  <c r="O62" i="47"/>
  <c r="O3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38" i="44"/>
  <c r="K137" i="44"/>
  <c r="K136" i="44"/>
  <c r="K135" i="44"/>
  <c r="F58" i="44"/>
  <c r="F134" i="44"/>
  <c r="F25" i="43" s="1"/>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M100" i="47"/>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K28" i="43" s="1"/>
  <c r="F31" i="43"/>
  <c r="K31" i="43" s="1"/>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Q24" i="47"/>
  <c r="Q20" i="47"/>
  <c r="Q26" i="47"/>
  <c r="Q22" i="47"/>
  <c r="Q27" i="47"/>
  <c r="Q25" i="47"/>
  <c r="Q23" i="47"/>
  <c r="K28" i="47"/>
  <c r="Q21" i="47"/>
  <c r="I28" i="47"/>
  <c r="Q18" i="47"/>
  <c r="P316" i="46"/>
  <c r="Q19" i="47"/>
  <c r="H9" i="43" l="1"/>
  <c r="N74" i="47"/>
  <c r="J74" i="47"/>
  <c r="I74" i="47"/>
  <c r="J33" i="47"/>
  <c r="J32" i="47"/>
  <c r="J35" i="47"/>
  <c r="J36" i="47"/>
  <c r="J34" i="47"/>
  <c r="J38" i="47"/>
  <c r="J37" i="47"/>
  <c r="J31" i="47"/>
  <c r="J42" i="47"/>
  <c r="J40" i="47"/>
  <c r="J39" i="47"/>
  <c r="I98" i="47"/>
  <c r="I97" i="47"/>
  <c r="I85" i="47"/>
  <c r="I68" i="47"/>
  <c r="I159" i="47"/>
  <c r="I79" i="47"/>
  <c r="I123" i="47"/>
  <c r="Q123" i="47" s="1"/>
  <c r="I95" i="47"/>
  <c r="I126" i="47"/>
  <c r="Q126" i="47" s="1"/>
  <c r="I65" i="47"/>
  <c r="I70" i="47"/>
  <c r="I96" i="47"/>
  <c r="I94" i="47"/>
  <c r="I138" i="47"/>
  <c r="Q138" i="47" s="1"/>
  <c r="I129" i="47"/>
  <c r="Q129" i="47" s="1"/>
  <c r="I77" i="47"/>
  <c r="I101" i="47"/>
  <c r="I114" i="47"/>
  <c r="I141" i="47"/>
  <c r="Q141" i="47" s="1"/>
  <c r="I124" i="47"/>
  <c r="Q124" i="47" s="1"/>
  <c r="I131" i="47"/>
  <c r="Q131" i="47" s="1"/>
  <c r="I86" i="47"/>
  <c r="I87" i="47"/>
  <c r="I108" i="47"/>
  <c r="I91" i="47"/>
  <c r="I113" i="47"/>
  <c r="I116" i="47"/>
  <c r="I107" i="47"/>
  <c r="I160" i="47"/>
  <c r="I145" i="47"/>
  <c r="Q145" i="47" s="1"/>
  <c r="I154" i="47"/>
  <c r="I147" i="47"/>
  <c r="Q147" i="47" s="1"/>
  <c r="I140" i="47"/>
  <c r="Q140" i="47" s="1"/>
  <c r="I122" i="47"/>
  <c r="Q122" i="47" s="1"/>
  <c r="I136" i="47"/>
  <c r="Q136" i="47" s="1"/>
  <c r="I130" i="47"/>
  <c r="Q130" i="47" s="1"/>
  <c r="I62" i="47"/>
  <c r="I67" i="47"/>
  <c r="I83" i="47"/>
  <c r="I72" i="47"/>
  <c r="I69" i="47"/>
  <c r="I71" i="47"/>
  <c r="I92" i="47"/>
  <c r="I117" i="47"/>
  <c r="I93" i="47"/>
  <c r="I100" i="47"/>
  <c r="I106" i="47"/>
  <c r="I112" i="47"/>
  <c r="I146" i="47"/>
  <c r="Q146" i="47" s="1"/>
  <c r="I161" i="47"/>
  <c r="I162" i="47"/>
  <c r="I144" i="47"/>
  <c r="Q144" i="47" s="1"/>
  <c r="I153" i="47"/>
  <c r="I121" i="47"/>
  <c r="Q121" i="47" s="1"/>
  <c r="I139" i="47"/>
  <c r="Q139" i="47" s="1"/>
  <c r="I137" i="47"/>
  <c r="Q137" i="47" s="1"/>
  <c r="I143" i="47"/>
  <c r="Q143" i="47" s="1"/>
  <c r="I132" i="47"/>
  <c r="Q132" i="47" s="1"/>
  <c r="I61" i="47"/>
  <c r="I64" i="47"/>
  <c r="I63" i="47"/>
  <c r="I66" i="47"/>
  <c r="I111" i="47"/>
  <c r="I110" i="47"/>
  <c r="I99" i="47"/>
  <c r="I102" i="47"/>
  <c r="I115" i="47"/>
  <c r="I109" i="47"/>
  <c r="I142" i="47"/>
  <c r="Q142" i="47" s="1"/>
  <c r="I125" i="47"/>
  <c r="Q125" i="47" s="1"/>
  <c r="I156" i="47"/>
  <c r="I157" i="47"/>
  <c r="I158" i="47"/>
  <c r="I127" i="47"/>
  <c r="Q127" i="47" s="1"/>
  <c r="I152" i="47"/>
  <c r="I155" i="47"/>
  <c r="I128" i="47"/>
  <c r="Q128" i="47" s="1"/>
  <c r="I81" i="47"/>
  <c r="I78" i="47"/>
  <c r="I80" i="47"/>
  <c r="I82" i="47"/>
  <c r="I151" i="47"/>
  <c r="I76" i="47"/>
  <c r="I84"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O30" i="47"/>
  <c r="O43" i="47" s="1"/>
  <c r="O45" i="47" s="1"/>
  <c r="O58" i="47" s="1"/>
  <c r="O60" i="47" s="1"/>
  <c r="O73" i="47" s="1"/>
  <c r="K30" i="47"/>
  <c r="L30" i="47"/>
  <c r="I30" i="47"/>
  <c r="I43" i="47" s="1"/>
  <c r="M30" i="47"/>
  <c r="M43" i="47" s="1"/>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J43" i="47" l="1"/>
  <c r="J45" i="47" s="1"/>
  <c r="J58" i="47" s="1"/>
  <c r="J60" i="47" s="1"/>
  <c r="J73"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M45" i="47"/>
  <c r="M58" i="47" s="1"/>
  <c r="M60" i="47" s="1"/>
  <c r="M73" i="47" s="1"/>
  <c r="I45" i="47"/>
  <c r="I58" i="47" s="1"/>
  <c r="I60" i="47" s="1"/>
  <c r="I73" i="47" s="1"/>
  <c r="L43" i="47"/>
  <c r="L45" i="47" l="1"/>
  <c r="L58" i="47" s="1"/>
  <c r="L60" i="47" s="1"/>
  <c r="L73" i="47" s="1"/>
  <c r="E58" i="44" l="1"/>
  <c r="K58" i="44" s="1"/>
  <c r="D15" i="44"/>
  <c r="E134" i="44"/>
  <c r="K134" i="44" s="1"/>
  <c r="E25" i="43" l="1"/>
  <c r="K25" i="43" s="1"/>
  <c r="E27" i="43" l="1"/>
  <c r="K51" i="47" s="1"/>
  <c r="Q51" i="47" s="1"/>
  <c r="K33" i="47"/>
  <c r="Q33" i="47" s="1"/>
  <c r="K40" i="47"/>
  <c r="Q40" i="47" s="1"/>
  <c r="K38" i="47"/>
  <c r="Q38" i="47" s="1"/>
  <c r="K34" i="47"/>
  <c r="Q34" i="47" s="1"/>
  <c r="K31" i="47"/>
  <c r="K37" i="47"/>
  <c r="Q37" i="47" s="1"/>
  <c r="K36" i="47"/>
  <c r="Q36" i="47" s="1"/>
  <c r="K35" i="47"/>
  <c r="Q35" i="47" s="1"/>
  <c r="K39" i="47"/>
  <c r="Q39" i="47" s="1"/>
  <c r="K42" i="47"/>
  <c r="Q42" i="47" s="1"/>
  <c r="K32" i="47"/>
  <c r="Q32" i="47" s="1"/>
  <c r="K41" i="47"/>
  <c r="Q41" i="47" s="1"/>
  <c r="K94" i="47" l="1"/>
  <c r="Q94" i="47" s="1"/>
  <c r="K102" i="47"/>
  <c r="Q102" i="47" s="1"/>
  <c r="K97" i="47"/>
  <c r="Q97" i="47" s="1"/>
  <c r="K115" i="47"/>
  <c r="Q115" i="47" s="1"/>
  <c r="K109" i="47"/>
  <c r="Q109" i="47" s="1"/>
  <c r="K126" i="47"/>
  <c r="K108" i="47"/>
  <c r="Q108" i="47" s="1"/>
  <c r="K114" i="47"/>
  <c r="Q114" i="47" s="1"/>
  <c r="K110" i="47"/>
  <c r="Q110" i="47" s="1"/>
  <c r="K116" i="47"/>
  <c r="Q116" i="47" s="1"/>
  <c r="K117" i="47"/>
  <c r="Q117" i="47" s="1"/>
  <c r="K91" i="47"/>
  <c r="Q91" i="47" s="1"/>
  <c r="K112" i="47"/>
  <c r="Q112" i="47" s="1"/>
  <c r="K86" i="47"/>
  <c r="Q86" i="47" s="1"/>
  <c r="K54" i="47"/>
  <c r="Q54" i="47" s="1"/>
  <c r="K99" i="47"/>
  <c r="Q99" i="47" s="1"/>
  <c r="K93" i="47"/>
  <c r="Q93" i="47" s="1"/>
  <c r="K113" i="47"/>
  <c r="Q113" i="47" s="1"/>
  <c r="K141" i="47"/>
  <c r="K100" i="47"/>
  <c r="Q100" i="47" s="1"/>
  <c r="K95" i="47"/>
  <c r="Q95" i="47" s="1"/>
  <c r="K96" i="47"/>
  <c r="Q96" i="47" s="1"/>
  <c r="K107" i="47"/>
  <c r="Q107" i="47" s="1"/>
  <c r="K98" i="47"/>
  <c r="Q98" i="47" s="1"/>
  <c r="K127" i="47"/>
  <c r="K69" i="47"/>
  <c r="Q69" i="47" s="1"/>
  <c r="K111" i="47"/>
  <c r="Q111" i="47" s="1"/>
  <c r="K130" i="47"/>
  <c r="K121" i="47"/>
  <c r="K92" i="47"/>
  <c r="Q92" i="47" s="1"/>
  <c r="K101" i="47"/>
  <c r="Q101" i="47" s="1"/>
  <c r="K156" i="47"/>
  <c r="Q156" i="47" s="1"/>
  <c r="K144" i="47"/>
  <c r="K122" i="47"/>
  <c r="K152" i="47"/>
  <c r="Q152" i="47" s="1"/>
  <c r="K128" i="47"/>
  <c r="K106" i="47"/>
  <c r="Q106" i="47" s="1"/>
  <c r="K147" i="47"/>
  <c r="K160" i="47"/>
  <c r="Q160" i="47" s="1"/>
  <c r="K151" i="47"/>
  <c r="Q151" i="47" s="1"/>
  <c r="K123" i="47"/>
  <c r="K137" i="47"/>
  <c r="K145" i="47"/>
  <c r="K139" i="47"/>
  <c r="K131" i="47"/>
  <c r="K162" i="47"/>
  <c r="Q162" i="47" s="1"/>
  <c r="K154" i="47"/>
  <c r="Q154" i="47" s="1"/>
  <c r="K146" i="47"/>
  <c r="K157" i="47"/>
  <c r="Q157" i="47" s="1"/>
  <c r="K138" i="47"/>
  <c r="K140" i="47"/>
  <c r="K136" i="47"/>
  <c r="K143" i="47"/>
  <c r="K155" i="47"/>
  <c r="Q155" i="47" s="1"/>
  <c r="K142" i="47"/>
  <c r="K124" i="47"/>
  <c r="K158" i="47"/>
  <c r="Q158" i="47" s="1"/>
  <c r="K63" i="47"/>
  <c r="Q63" i="47" s="1"/>
  <c r="K62" i="47"/>
  <c r="Q62" i="47" s="1"/>
  <c r="K153" i="47"/>
  <c r="Q153" i="47" s="1"/>
  <c r="K132" i="47"/>
  <c r="K161" i="47"/>
  <c r="Q161" i="47" s="1"/>
  <c r="K129" i="47"/>
  <c r="K79" i="47"/>
  <c r="Q79" i="47" s="1"/>
  <c r="K81" i="47"/>
  <c r="Q81" i="47" s="1"/>
  <c r="K125" i="47"/>
  <c r="K159" i="47"/>
  <c r="Q159" i="47" s="1"/>
  <c r="K76" i="47"/>
  <c r="Q76" i="47" s="1"/>
  <c r="K46" i="47"/>
  <c r="Q46" i="47" s="1"/>
  <c r="K77" i="47"/>
  <c r="Q77" i="47" s="1"/>
  <c r="K52" i="47"/>
  <c r="Q52" i="47" s="1"/>
  <c r="K48" i="47"/>
  <c r="Q48" i="47" s="1"/>
  <c r="K49" i="47"/>
  <c r="Q49" i="47" s="1"/>
  <c r="K55" i="47"/>
  <c r="Q55" i="47" s="1"/>
  <c r="K72" i="47"/>
  <c r="Q72" i="47" s="1"/>
  <c r="K66" i="47"/>
  <c r="Q66" i="47" s="1"/>
  <c r="K82" i="47"/>
  <c r="Q82" i="47" s="1"/>
  <c r="K65" i="47"/>
  <c r="Q65" i="47" s="1"/>
  <c r="K57" i="47"/>
  <c r="Q57" i="47" s="1"/>
  <c r="K68" i="47"/>
  <c r="Q68" i="47" s="1"/>
  <c r="K61" i="47"/>
  <c r="Q61" i="47" s="1"/>
  <c r="K83" i="47"/>
  <c r="Q83" i="47" s="1"/>
  <c r="K47" i="47"/>
  <c r="Q47" i="47" s="1"/>
  <c r="K64" i="47"/>
  <c r="Q64" i="47" s="1"/>
  <c r="K56" i="47"/>
  <c r="Q56" i="47" s="1"/>
  <c r="K50" i="47"/>
  <c r="Q50" i="47" s="1"/>
  <c r="K53" i="47"/>
  <c r="Q53" i="47" s="1"/>
  <c r="K27" i="43"/>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Q45" i="47"/>
  <c r="Q58" i="47" s="1"/>
  <c r="Q60" i="47" s="1"/>
  <c r="Q73" i="47" s="1"/>
  <c r="P75" i="47" l="1"/>
  <c r="P88" i="47" s="1"/>
  <c r="O75" i="47"/>
  <c r="O88" i="47" s="1"/>
  <c r="N75" i="47"/>
  <c r="N88" i="47" s="1"/>
  <c r="J75" i="47"/>
  <c r="J88" i="47" s="1"/>
  <c r="I75" i="47"/>
  <c r="I88" i="47" s="1"/>
  <c r="N90" i="47" l="1"/>
  <c r="N103" i="47" s="1"/>
  <c r="N105" i="47" s="1"/>
  <c r="N118" i="47" s="1"/>
  <c r="N120" i="47" s="1"/>
  <c r="N133" i="47" s="1"/>
  <c r="N135" i="47" s="1"/>
  <c r="N148" i="47" s="1"/>
  <c r="N150" i="47" s="1"/>
  <c r="N163" i="47" s="1"/>
  <c r="H37" i="43"/>
  <c r="I90" i="47"/>
  <c r="I103" i="47" s="1"/>
  <c r="I105" i="47" s="1"/>
  <c r="I118" i="47" s="1"/>
  <c r="I120" i="47" s="1"/>
  <c r="I133" i="47" s="1"/>
  <c r="I135" i="47" s="1"/>
  <c r="I148" i="47" s="1"/>
  <c r="I150" i="47" s="1"/>
  <c r="I163" i="47" s="1"/>
  <c r="C37" i="43"/>
  <c r="O90" i="47"/>
  <c r="O103" i="47" s="1"/>
  <c r="O105" i="47" s="1"/>
  <c r="O118" i="47" s="1"/>
  <c r="O120" i="47" s="1"/>
  <c r="O133" i="47" s="1"/>
  <c r="O135" i="47" s="1"/>
  <c r="O148" i="47" s="1"/>
  <c r="O150" i="47" s="1"/>
  <c r="O163" i="47" s="1"/>
  <c r="I37" i="43"/>
  <c r="D37" i="43"/>
  <c r="J90" i="47"/>
  <c r="J103" i="47" s="1"/>
  <c r="J105" i="47" s="1"/>
  <c r="J118" i="47" s="1"/>
  <c r="J120" i="47" s="1"/>
  <c r="J133" i="47" s="1"/>
  <c r="J135" i="47" s="1"/>
  <c r="J148" i="47" s="1"/>
  <c r="J150" i="47" s="1"/>
  <c r="J163" i="47" s="1"/>
  <c r="P90" i="47"/>
  <c r="P103" i="47" s="1"/>
  <c r="P105" i="47" s="1"/>
  <c r="P118" i="47" s="1"/>
  <c r="P120" i="47" s="1"/>
  <c r="P133" i="47" s="1"/>
  <c r="P135" i="47" s="1"/>
  <c r="P148" i="47" s="1"/>
  <c r="P150" i="47" s="1"/>
  <c r="P163" i="47" s="1"/>
  <c r="J37" i="43"/>
  <c r="C38" i="43" l="1"/>
  <c r="D38" i="43"/>
  <c r="J38" i="43"/>
  <c r="I38" i="43"/>
  <c r="H38" i="43"/>
  <c r="P113" i="54"/>
  <c r="Q113" i="54" s="1"/>
  <c r="M75" i="47" l="1"/>
  <c r="M88" i="47" s="1"/>
  <c r="Q75" i="47"/>
  <c r="Q88" i="47" s="1"/>
  <c r="Q90" i="47" s="1"/>
  <c r="Q103" i="47" s="1"/>
  <c r="Q105" i="47" s="1"/>
  <c r="Q118" i="47" s="1"/>
  <c r="Q120" i="47" s="1"/>
  <c r="Q133" i="47" s="1"/>
  <c r="Q135" i="47" s="1"/>
  <c r="Q148" i="47" s="1"/>
  <c r="Q150" i="47" s="1"/>
  <c r="Q163" i="47" s="1"/>
  <c r="K75" i="47"/>
  <c r="K88" i="47" s="1"/>
  <c r="L75" i="47"/>
  <c r="L88" i="47" s="1"/>
  <c r="F37" i="43" s="1"/>
  <c r="F38" i="43" s="1"/>
  <c r="L90" i="47" l="1"/>
  <c r="L103" i="47" s="1"/>
  <c r="L105" i="47" s="1"/>
  <c r="L118" i="47" s="1"/>
  <c r="L120" i="47" s="1"/>
  <c r="L133" i="47" s="1"/>
  <c r="L135" i="47" s="1"/>
  <c r="L148" i="47" s="1"/>
  <c r="L150" i="47" s="1"/>
  <c r="L163" i="47" s="1"/>
  <c r="M90" i="47"/>
  <c r="M103" i="47" s="1"/>
  <c r="M105" i="47" s="1"/>
  <c r="M118" i="47" s="1"/>
  <c r="M120" i="47" s="1"/>
  <c r="M133" i="47" s="1"/>
  <c r="M135" i="47" s="1"/>
  <c r="M148" i="47" s="1"/>
  <c r="M150" i="47" s="1"/>
  <c r="M163" i="47" s="1"/>
  <c r="G37" i="43"/>
  <c r="G38" i="43" s="1"/>
  <c r="K90" i="47"/>
  <c r="K103" i="47" s="1"/>
  <c r="K105" i="47" s="1"/>
  <c r="K118" i="47" s="1"/>
  <c r="K120" i="47" s="1"/>
  <c r="K133" i="47" s="1"/>
  <c r="K135" i="47" s="1"/>
  <c r="K148" i="47" s="1"/>
  <c r="K150" i="47" s="1"/>
  <c r="K163" i="47" s="1"/>
  <c r="E37" i="43"/>
  <c r="K37" i="43" l="1"/>
  <c r="E38" i="43"/>
  <c r="K38" i="43" l="1"/>
  <c r="H14" i="43" l="1"/>
  <c r="J40" i="43"/>
  <c r="H40" i="43"/>
  <c r="D40" i="43"/>
  <c r="I40" i="43"/>
  <c r="C40" i="43"/>
  <c r="K40" i="43" l="1"/>
  <c r="K42" i="43" l="1"/>
  <c r="K43" i="43" l="1"/>
  <c r="G42" i="43"/>
  <c r="E42" i="43"/>
  <c r="I42" i="43"/>
  <c r="D42" i="43"/>
  <c r="H42" i="43"/>
  <c r="C42" i="43"/>
  <c r="F42" i="43"/>
  <c r="J42" i="43"/>
  <c r="K46" i="43" l="1"/>
  <c r="G43" i="43"/>
  <c r="G44" i="43" s="1"/>
  <c r="D43" i="43"/>
  <c r="D44" i="43" s="1"/>
  <c r="H43" i="43"/>
  <c r="H44" i="43" s="1"/>
  <c r="I43" i="43"/>
  <c r="I44" i="43" s="1"/>
  <c r="J43" i="43"/>
  <c r="J44" i="43" s="1"/>
  <c r="E43" i="43"/>
  <c r="E44" i="43" s="1"/>
  <c r="C43" i="43"/>
  <c r="C44" i="43" s="1"/>
  <c r="F43" i="43"/>
  <c r="F44" i="43" s="1"/>
  <c r="K44"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Philip Wormwell</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E74" authorId="1">
      <text>
        <r>
          <rPr>
            <b/>
            <sz val="8"/>
            <color indexed="81"/>
            <rFont val="Tahoma"/>
            <family val="2"/>
          </rPr>
          <t>Philip Wormwell:</t>
        </r>
        <r>
          <rPr>
            <sz val="8"/>
            <color indexed="81"/>
            <rFont val="Tahoma"/>
            <family val="2"/>
          </rPr>
          <t xml:space="preserve">
See JE 126557 May 2014</t>
        </r>
      </text>
    </comment>
    <comment ref="H106" authorId="2">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Philip Wormwell</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C13" authorId="2">
      <text>
        <r>
          <rPr>
            <b/>
            <sz val="8"/>
            <color indexed="81"/>
            <rFont val="Tahoma"/>
            <family val="2"/>
          </rPr>
          <t>Philip Wormwell:</t>
        </r>
        <r>
          <rPr>
            <sz val="8"/>
            <color indexed="81"/>
            <rFont val="Tahoma"/>
            <family val="2"/>
          </rPr>
          <t xml:space="preserve">
See Josh email Jul 28</t>
        </r>
      </text>
    </comment>
    <comment ref="C17" authorId="2">
      <text>
        <r>
          <rPr>
            <b/>
            <sz val="8"/>
            <color indexed="81"/>
            <rFont val="Tahoma"/>
            <family val="2"/>
          </rPr>
          <t>Philip Wormwell:</t>
        </r>
        <r>
          <rPr>
            <sz val="8"/>
            <color indexed="81"/>
            <rFont val="Tahoma"/>
            <family val="2"/>
          </rPr>
          <t xml:space="preserve">
EB-2013-0155 Settlement Page 54</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I47" authorId="2">
      <text>
        <r>
          <rPr>
            <b/>
            <sz val="8"/>
            <color indexed="81"/>
            <rFont val="Tahoma"/>
            <family val="2"/>
          </rPr>
          <t>Philip Wormwell:</t>
        </r>
        <r>
          <rPr>
            <sz val="8"/>
            <color indexed="81"/>
            <rFont val="Tahoma"/>
            <family val="2"/>
          </rPr>
          <t xml:space="preserve">
Per EB-2008-0237, E3-T2-S2-P28</t>
        </r>
      </text>
    </comment>
    <comment ref="I60" authorId="2">
      <text>
        <r>
          <rPr>
            <b/>
            <sz val="8"/>
            <color indexed="81"/>
            <rFont val="Tahoma"/>
            <family val="2"/>
          </rPr>
          <t>Philip Wormwell:</t>
        </r>
        <r>
          <rPr>
            <sz val="8"/>
            <color indexed="81"/>
            <rFont val="Tahoma"/>
            <family val="2"/>
          </rPr>
          <t xml:space="preserve">
Per EB-2008-0237, E3-T2-S2-P28</t>
        </r>
      </text>
    </comment>
    <comment ref="I73" authorId="2">
      <text>
        <r>
          <rPr>
            <b/>
            <sz val="8"/>
            <color indexed="81"/>
            <rFont val="Tahoma"/>
            <family val="2"/>
          </rPr>
          <t>Philip Wormwell:</t>
        </r>
        <r>
          <rPr>
            <sz val="8"/>
            <color indexed="81"/>
            <rFont val="Tahoma"/>
            <family val="2"/>
          </rPr>
          <t xml:space="preserve">
Per EB-2008-0237, E3-T2-S2-P28</t>
        </r>
      </text>
    </comment>
    <comment ref="K77" authorId="2">
      <text>
        <r>
          <rPr>
            <b/>
            <sz val="8"/>
            <color indexed="81"/>
            <rFont val="Tahoma"/>
            <family val="2"/>
          </rPr>
          <t>Philip Wormwell:</t>
        </r>
        <r>
          <rPr>
            <sz val="8"/>
            <color indexed="81"/>
            <rFont val="Tahoma"/>
            <family val="2"/>
          </rPr>
          <t xml:space="preserve">
Per Settlement EB-2013-0155 Page 54</t>
        </r>
      </text>
    </comment>
    <comment ref="I86" authorId="2">
      <text>
        <r>
          <rPr>
            <b/>
            <sz val="8"/>
            <color indexed="81"/>
            <rFont val="Tahoma"/>
            <family val="2"/>
          </rPr>
          <t>Philip Wormwell:</t>
        </r>
        <r>
          <rPr>
            <sz val="8"/>
            <color indexed="81"/>
            <rFont val="Tahoma"/>
            <family val="2"/>
          </rPr>
          <t xml:space="preserve">
Per Settlement EB-2013-0155 Page 54</t>
        </r>
      </text>
    </comment>
    <comment ref="K90" authorId="2">
      <text>
        <r>
          <rPr>
            <b/>
            <sz val="8"/>
            <color indexed="81"/>
            <rFont val="Tahoma"/>
            <family val="2"/>
          </rPr>
          <t>Philip Wormwell:</t>
        </r>
        <r>
          <rPr>
            <sz val="8"/>
            <color indexed="81"/>
            <rFont val="Tahoma"/>
            <family val="2"/>
          </rPr>
          <t xml:space="preserve">
Per Settlement EB-2013-0155 Page 54</t>
        </r>
      </text>
    </comment>
    <comment ref="I99" authorId="2">
      <text>
        <r>
          <rPr>
            <b/>
            <sz val="8"/>
            <color indexed="81"/>
            <rFont val="Tahoma"/>
            <family val="2"/>
          </rPr>
          <t>Philip Wormwell:</t>
        </r>
        <r>
          <rPr>
            <sz val="8"/>
            <color indexed="81"/>
            <rFont val="Tahoma"/>
            <family val="2"/>
          </rPr>
          <t xml:space="preserve">
Per Settlement EB-2013-0155 Page 54</t>
        </r>
      </text>
    </comment>
    <comment ref="K103" authorId="2">
      <text>
        <r>
          <rPr>
            <b/>
            <sz val="8"/>
            <color indexed="81"/>
            <rFont val="Tahoma"/>
            <family val="2"/>
          </rPr>
          <t>Philip Wormwell:</t>
        </r>
        <r>
          <rPr>
            <sz val="8"/>
            <color indexed="81"/>
            <rFont val="Tahoma"/>
            <family val="2"/>
          </rPr>
          <t xml:space="preserve">
Per Settlement EB-2013-0155 Page 54</t>
        </r>
      </text>
    </comment>
    <comment ref="I112" authorId="2">
      <text>
        <r>
          <rPr>
            <b/>
            <sz val="8"/>
            <color indexed="81"/>
            <rFont val="Tahoma"/>
            <family val="2"/>
          </rPr>
          <t>Philip Wormwell:</t>
        </r>
        <r>
          <rPr>
            <sz val="8"/>
            <color indexed="81"/>
            <rFont val="Tahoma"/>
            <family val="2"/>
          </rPr>
          <t xml:space="preserve">
Per Settlement EB-2013-0155 Page 54</t>
        </r>
      </text>
    </comment>
    <comment ref="K116" authorId="2">
      <text>
        <r>
          <rPr>
            <b/>
            <sz val="8"/>
            <color indexed="81"/>
            <rFont val="Tahoma"/>
            <family val="2"/>
          </rPr>
          <t>Philip Wormwell:</t>
        </r>
        <r>
          <rPr>
            <sz val="8"/>
            <color indexed="81"/>
            <rFont val="Tahoma"/>
            <family val="2"/>
          </rPr>
          <t xml:space="preserve">
Per Settlement EB-2013-0155 Page 54</t>
        </r>
      </text>
    </comment>
    <comment ref="I125" authorId="2">
      <text>
        <r>
          <rPr>
            <b/>
            <sz val="8"/>
            <color indexed="81"/>
            <rFont val="Tahoma"/>
            <family val="2"/>
          </rPr>
          <t>Philip Wormwell:</t>
        </r>
        <r>
          <rPr>
            <sz val="8"/>
            <color indexed="81"/>
            <rFont val="Tahoma"/>
            <family val="2"/>
          </rPr>
          <t xml:space="preserve">
Per Settlement EB-2013-0155 Page 54</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<sst xmlns="http://schemas.openxmlformats.org/spreadsheetml/2006/main" count="2189" uniqueCount="534">
  <si>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</si>
  <si>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</si>
  <si>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</si>
  <si>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</si>
  <si>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</si>
  <si>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</si>
  <si>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</si>
  <si>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</si>
  <si>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</si>
  <si>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</si>
  <si>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</si>
  <si>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</si>
  <si>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</si>
  <si>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</si>
  <si>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</si>
  <si>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</si>
  <si>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</si>
  <si>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</si>
  <si>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</si>
  <si>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</si>
  <si>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</si>
  <si>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</si>
  <si>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</si>
  <si>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</si>
  <si>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</si>
  <si>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</si>
  <si>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</si>
  <si>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</si>
  <si>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</si>
  <si>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</si>
  <si>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</si>
  <si>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</si>
  <si>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</si>
  <si>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</si>
  <si>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</si>
  <si>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</si>
  <si>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</si>
  <si>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</si>
  <si>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</si>
  <si>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</si>
  <si>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</si>
  <si>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</si>
  <si>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</si>
  <si>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</si>
  <si>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</si>
  <si>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</si>
  <si>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</si>
  <si>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</si>
  <si>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</si>
  <si>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</si>
  <si>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</si>
  <si>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</si>
  <si>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</si>
  <si>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</si>
  <si>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</si>
  <si>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</si>
  <si>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</si>
  <si>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</si>
  <si>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</si>
  <si>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</si>
  <si>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</si>
  <si>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</si>
  <si>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</si>
  <si>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</si>
  <si>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</si>
  <si>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</si>
  <si>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</si>
  <si>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</si>
  <si>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</si>
  <si>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</si>
  <si>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</si>
  <si>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</si>
  <si>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</si>
  <si>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</si>
  <si>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</si>
  <si>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</si>
  <si>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</si>
  <si>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</si>
  <si>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</si>
  <si>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</si>
  <si>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</si>
  <si>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</si>
  <si>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</si>
  <si>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</si>
  <si>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</si>
  <si>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</si>
  <si>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</si>
  <si>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</si>
  <si>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</si>
  <si>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</si>
  <si>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</si>
  <si>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</si>
  <si>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</si>
  <si>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</si>
  <si>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</si>
  <si>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</si>
  <si>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</si>
  <si>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</si>
  <si>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</si>
  <si>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</si>
  <si>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</si>
  <si>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</si>
  <si>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</si>
  <si>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</si>
  <si>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</si>
  <si>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</si>
  <si>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</si>
  <si>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</si>
  <si>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</si>
  <si>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</si>
  <si>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</si>
  <si>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</si>
  <si>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</si>
  <si>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</si>
  <si>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</si>
  <si>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</si>
  <si>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</si>
  <si>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</si>
  <si>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</si>
  <si>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</si>
  <si>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</si>
  <si>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</si>
  <si>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</si>
  <si>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</si>
  <si>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</si>
  <si>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</si>
  <si>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</si>
  <si>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</si>
  <si>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</si>
  <si>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</si>
  <si>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</si>
  <si>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</si>
  <si>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</si>
  <si>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</si>
  <si>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</si>
  <si>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</si>
  <si>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</si>
  <si>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</si>
  <si>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</si>
  <si>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</si>
  <si>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</si>
  <si>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</si>
  <si>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</si>
  <si>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</si>
  <si>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</si>
  <si>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</si>
  <si>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</si>
  <si>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</si>
  <si>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</si>
  <si>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</si>
  <si>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</si>
  <si>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</si>
  <si>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</si>
  <si>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</si>
  <si>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</si>
  <si>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</si>
  <si>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</si>
  <si>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</si>
  <si>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</si>
  <si>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</si>
  <si>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</si>
  <si>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</si>
  <si>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</si>
  <si>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</si>
  <si>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</si>
  <si>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</si>
  <si>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</si>
  <si>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</si>
  <si>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</si>
  <si>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</si>
  <si>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</si>
  <si>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</si>
  <si>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</si>
  <si>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</si>
  <si>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</si>
  <si>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</si>
  <si>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</si>
  <si>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</si>
  <si>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</si>
  <si>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</si>
  <si>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</si>
  <si>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</si>
  <si>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</si>
  <si>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</si>
  <si>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</si>
  <si>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</si>
  <si>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</si>
  <si>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</si>
  <si>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</si>
  <si>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</si>
  <si>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</si>
  <si>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</si>
  <si>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</si>
  <si>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</si>
  <si>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</si>
  <si>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</si>
  <si>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</si>
  <si>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</si>
  <si>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</si>
  <si>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</si>
  <si>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</si>
  <si>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</si>
  <si>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</si>
  <si>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</si>
  <si>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</si>
  <si>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</si>
  <si>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</si>
  <si>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</si>
  <si>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</si>
  <si>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</si>
  <si>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</si>
  <si>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</si>
  <si>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</si>
  <si>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</si>
  <si>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</si>
  <si>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</si>
  <si>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</si>
  <si>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</si>
  <si>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</si>
  <si>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</si>
  <si>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</si>
  <si>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</si>
  <si>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</si>
  <si>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</si>
  <si>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</si>
  <si>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</si>
  <si>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</si>
  <si>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</si>
  <si>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</si>
  <si>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</si>
  <si>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</si>
  <si>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</si>
  <si>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</si>
  <si>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</si>
  <si>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</si>
  <si>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</si>
  <si>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</si>
  <si>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</si>
  <si>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</si>
  <si>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</si>
  <si>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</si>
  <si>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</si>
  <si>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</si>
  <si>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</si>
  <si>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</si>
  <si>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</si>
  <si>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</si>
  <si>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</si>
  <si>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</si>
  <si>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</si>
  <si>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</si>
  <si>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</si>
  <si>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</si>
  <si>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</si>
  <si>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</si>
  <si>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</si>
  <si>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</si>
  <si>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</si>
  <si>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</si>
  <si>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</si>
  <si>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</si>
  <si>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</si>
  <si>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</si>
  <si>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</si>
  <si>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</si>
  <si>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</si>
  <si>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</si>
  <si>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</si>
  <si>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</si>
  <si>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</si>
  <si>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</si>
  <si>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</si>
  <si>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</si>
  <si>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</si>
  <si>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</si>
  <si>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</si>
  <si>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</si>
  <si>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</si>
  <si>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</si>
  <si>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</si>
  <si>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</si>
  <si>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</si>
  <si>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</si>
  <si>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</si>
  <si>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</si>
  <si>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</si>
  <si>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</si>
  <si>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</si>
  <si>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</si>
  <si>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</si>
  <si>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</si>
  <si>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</si>
  <si>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</si>
  <si>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</si>
  <si>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</si>
  <si>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</si>
  <si>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</si>
  <si>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</si>
  <si>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</si>
  <si>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</si>
  <si>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</si>
  <si>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</si>
  <si>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</si>
  <si>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</si>
  <si>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</si>
  <si>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</si>
  <si>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</si>
  <si>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</si>
  <si>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</si>
  <si>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</si>
  <si>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</si>
  <si>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</si>
  <si>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</si>
  <si>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</si>
  <si>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</si>
  <si>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</si>
  <si>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</si>
  <si>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</si>
  <si>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</si>
  <si>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</si>
  <si>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</si>
  <si>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</si>
  <si>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</si>
  <si>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</si>
  <si>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</si>
  <si>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</si>
  <si>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</si>
  <si>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</si>
  <si>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</si>
  <si>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</si>
  <si>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</si>
  <si>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</si>
  <si>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</si>
  <si>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</si>
  <si>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</si>
  <si>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</si>
  <si>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</si>
  <si>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</si>
  <si>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</si>
  <si>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</si>
  <si>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</si>
  <si>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</si>
  <si>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</si>
  <si>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</si>
  <si>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</si>
  <si>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</si>
  <si>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</si>
  <si>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</si>
  <si>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</si>
  <si>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</si>
  <si>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</si>
  <si>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</si>
  <si>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</si>
  <si>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</si>
  <si>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</si>
  <si>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</si>
  <si>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</si>
  <si>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</si>
  <si>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</si>
  <si>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</si>
  <si>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</si>
  <si>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</si>
  <si>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</si>
  <si>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</si>
  <si>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</si>
  <si>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</si>
  <si>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</si>
  <si>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</si>
  <si>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</si>
  <si>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</si>
  <si>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</si>
  <si>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</si>
  <si>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</si>
  <si>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</si>
  <si>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</si>
  <si>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</si>
  <si>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</si>
  <si>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</si>
  <si>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</si>
  <si>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</si>
  <si>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</si>
  <si>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</si>
  <si>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</si>
  <si>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</si>
  <si>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</si>
  <si>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</si>
  <si>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</si>
  <si>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</si>
  <si>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</si>
  <si>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</si>
  <si>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</si>
  <si>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</si>
  <si>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</si>
  <si>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</si>
  <si>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</si>
  <si>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</si>
  <si>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</si>
  <si>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</si>
  <si>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</si>
  <si>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</si>
  <si>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</si>
  <si>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</si>
  <si>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</si>
  <si>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</si>
  <si>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</si>
  <si>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</si>
  <si>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</si>
  <si>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</si>
  <si>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</si>
  <si>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</si>
  <si>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</si>
  <si>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</si>
  <si>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</si>
  <si>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</si>
  <si>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</si>
  <si>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</si>
  <si>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</si>
  <si>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</si>
  <si>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</si>
  <si>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</si>
  <si>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</si>
  <si>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</si>
  <si>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</si>
  <si>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</si>
  <si>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</si>
  <si>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</si>
  <si>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</si>
  <si>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</si>
  <si>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</si>
  <si>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</si>
  <si>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</si>
  <si>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</si>
  <si>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</si>
  <si>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</si>
  <si>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</si>
  <si>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</si>
  <si>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</si>
  <si>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</si>
  <si>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</si>
  <si>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</si>
  <si>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</si>
  <si>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</si>
  <si>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</si>
  <si>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</si>
  <si>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</si>
  <si>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</si>
  <si>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</si>
  <si>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</si>
  <si>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</si>
  <si>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</si>
  <si>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</si>
  <si>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</si>
  <si>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</si>
  <si>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</si>
  <si>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</si>
  <si>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</si>
  <si>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</si>
  <si>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</si>
  <si>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</si>
  <si>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</si>
  <si>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</si>
  <si>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</si>
  <si>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</si>
  <si>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</si>
  <si>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</si>
  <si>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</si>
  <si>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</si>
  <si>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</si>
  <si>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</si>
  <si>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</si>
  <si>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</si>
  <si>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</si>
  <si>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</si>
  <si>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</si>
  <si>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</si>
  <si>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</si>
  <si>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</si>
  <si>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</si>
  <si>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</si>
  <si>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</si>
  <si>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</si>
  <si>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</si>
  <si>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</si>
  <si>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</si>
  <si>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</si>
  <si>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</si>
  <si>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</si>
  <si>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</si>
  <si>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</si>
  <si>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</si>
  <si>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</si>
  <si>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</si>
  <si>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</si>
  <si>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</si>
  <si>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</si>
  <si>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</si>
  <si>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</si>
  <si>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</si>
  <si>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</si>
  <si>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</si>
  <si>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</si>
  <si>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</si>
  <si>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</si>
  <si>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</si>
  <si>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</si>
  <si>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General Service 50 - 4,999 kW</t>
  </si>
  <si>
    <t>EB-2009-0237</t>
  </si>
  <si>
    <t>EB-2010-0101</t>
  </si>
  <si>
    <t>EB-2011-0186
EB-2012-0026</t>
  </si>
  <si>
    <t>EB-2012-0063</t>
  </si>
  <si>
    <t>EB-2013-0155</t>
  </si>
  <si>
    <t>May 1, 2015
to
Apr 30, 2016</t>
  </si>
  <si>
    <t>EB-2014-0097</t>
  </si>
  <si>
    <t>EB-2015-0091</t>
  </si>
  <si>
    <t>May 1, 2016
to
Apr 30, 2017</t>
  </si>
  <si>
    <t>May 1, 2017
to
Apr 30, 2018</t>
  </si>
  <si>
    <t>EB-2016-0095</t>
  </si>
  <si>
    <t>kW persistence</t>
  </si>
  <si>
    <t>Checksum DR</t>
  </si>
  <si>
    <r>
      <t xml:space="preserve">Weather Normal Billed kWh </t>
    </r>
    <r>
      <rPr>
        <sz val="11"/>
        <color rgb="FFFF0000"/>
        <rFont val="Arial"/>
        <family val="2"/>
      </rPr>
      <t>(2014)</t>
    </r>
  </si>
  <si>
    <r>
      <t xml:space="preserve">Weather Normal Billed kW </t>
    </r>
    <r>
      <rPr>
        <sz val="11"/>
        <color rgb="FFFF0000"/>
        <rFont val="Arial"/>
        <family val="2"/>
      </rPr>
      <t>(2014)</t>
    </r>
  </si>
  <si>
    <t>CoS kW</t>
  </si>
  <si>
    <r>
      <t xml:space="preserve">Weather Normal Billed kWh </t>
    </r>
    <r>
      <rPr>
        <sz val="11"/>
        <color rgb="FFFF0000"/>
        <rFont val="Arial"/>
        <family val="2"/>
      </rPr>
      <t>(2009)</t>
    </r>
  </si>
  <si>
    <t>Checksum</t>
  </si>
  <si>
    <t>n/a</t>
  </si>
  <si>
    <t>2011 and 2012</t>
  </si>
  <si>
    <t>Manager's summary - Page 8</t>
  </si>
  <si>
    <t>Class Proportions</t>
  </si>
  <si>
    <t>Interest Jan 1, 2016 to Apr 30 2017</t>
  </si>
  <si>
    <t>Total Claim</t>
  </si>
  <si>
    <t>Interest Jan 1, 2016 to Dec 31, 2016</t>
  </si>
  <si>
    <t>Carrying Charges to Dec 2015</t>
  </si>
  <si>
    <t>Total LRAMVA Balance to Dec 2015</t>
  </si>
  <si>
    <t>Per IRM Model Sheet 3, Continuity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</si>
</sst>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00"/>
    <numFmt numFmtId="179" formatCode="0.000000"/>
    <numFmt numFmtId="180" formatCode="#,##0.000"/>
    <numFmt numFmtId="181" formatCode="#,##0.0000"/>
    <numFmt numFmtId="182" formatCode="0.00000"/>
    <numFmt numFmtId="183" formatCode="0.0%"/>
  </numFmts>
  <fonts count="89"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9C0006"/>
      <name val="Calibri"/>
      <family val="2"/>
      <scheme val="minor"/>
    </font>
    <font>
      <sz val="12"/>
      <color theme="1"/>
      <name val="Arial Black"/>
      <family val="2"/>
    </font>
    <font>
      <sz val="8"/>
      <color indexed="81"/>
      <name val="Tahoma"/>
      <family val="2"/>
    </font>
    <font>
      <b/>
      <sz val="8"/>
      <color indexed="81"/>
      <name val="Tahoma"/>
      <family val="2"/>
    </font>
  </fonts>
  <fills count="3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7CE"/>
      </patternFill>
    </fill>
    <fill>
      <patternFill patternType="solid">
        <fgColor theme="0" tint="-0.249977111117893"/>
        <bgColor indexed="64"/>
      </patternFill>
    </fill>
    <fill>
      <patternFill patternType="solid">
        <fgColor rgb="FFFFFFCC"/>
      </patternFill>
    </fill>
    <fill>
      <patternFill patternType="solid">
        <fgColor rgb="FFFFFF00"/>
        <bgColor indexed="64"/>
      </patternFill>
    </fill>
    <fill>
      <patternFill patternType="solid">
        <fgColor theme="0" tint="-0.249977111117893"/>
        <bgColor rgb="FF000000"/>
      </patternFill>
    </fill>
  </fills>
  <borders count="96">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
      <left style="thin">
        <color rgb="FFB2B2B2"/>
      </left>
      <right style="thin">
        <color rgb="FFB2B2B2"/>
      </right>
      <top style="thin">
        <color rgb="FFB2B2B2"/>
      </top>
      <bottom style="thin">
        <color rgb="FFB2B2B2"/>
      </bottom>
      <diagonal/>
    </border>
    <border>
      <left style="hair">
        <color indexed="64"/>
      </left>
      <right/>
      <top/>
      <bottom style="hair">
        <color indexed="64"/>
      </bottom>
      <diagonal/>
    </border>
  </borders>
  <cellStyleXfs count="93">
    <xf numFmtId="0" fontId="0" fillId="0" borderId="0"/>
    <xf numFmtId="43" fontId="15"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165" fontId="1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16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43" fontId="8" fillId="0" borderId="0" applyFont="0" applyFill="0" applyBorder="0" applyAlignment="0" applyProtection="0"/>
    <xf numFmtId="0" fontId="85" fillId="32" borderId="0" applyNumberFormat="0" applyBorder="0" applyAlignment="0" applyProtection="0"/>
    <xf numFmtId="0" fontId="8" fillId="34" borderId="94" applyNumberFormat="0" applyFont="0" applyAlignment="0" applyProtection="0"/>
  </cellStyleXfs>
  <cellXfs count="765">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1" fontId="15" fillId="2" borderId="0" xfId="0" applyNumberFormat="1" applyFont="1" applyFill="1" applyBorder="1" applyProtection="1"/>
    <xf numFmtId="0" fontId="44" fillId="2" borderId="0" xfId="0" applyFont="1" applyFill="1"/>
    <xf numFmtId="171"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3" fontId="3" fillId="2" borderId="0" xfId="0" applyNumberFormat="1" applyFont="1" applyFill="1"/>
    <xf numFmtId="173"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1"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8" fontId="4" fillId="2" borderId="0" xfId="0" applyNumberFormat="1" applyFont="1" applyFill="1" applyBorder="1" applyAlignment="1">
      <alignment horizontal="center"/>
    </xf>
    <xf numFmtId="8"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4"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0" fontId="51" fillId="2" borderId="2" xfId="0" applyNumberFormat="1" applyFont="1" applyFill="1" applyBorder="1" applyAlignment="1">
      <alignment horizontal="center"/>
    </xf>
    <xf numFmtId="170"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4" fontId="64" fillId="0" borderId="29" xfId="40" applyNumberFormat="1" applyFont="1" applyFill="1" applyBorder="1" applyAlignment="1">
      <alignment vertical="center"/>
    </xf>
    <xf numFmtId="0" fontId="51" fillId="2" borderId="0" xfId="0" applyFont="1" applyFill="1" applyAlignment="1">
      <alignment horizontal="left" wrapText="1"/>
    </xf>
    <xf numFmtId="8" fontId="56" fillId="2" borderId="42" xfId="0" applyNumberFormat="1" applyFont="1" applyFill="1" applyBorder="1" applyAlignment="1">
      <alignment horizontal="center"/>
    </xf>
    <xf numFmtId="8" fontId="56" fillId="2" borderId="43" xfId="0" applyNumberFormat="1" applyFont="1" applyFill="1" applyBorder="1" applyAlignment="1">
      <alignment horizontal="center"/>
    </xf>
    <xf numFmtId="8" fontId="51" fillId="2" borderId="42" xfId="0" applyNumberFormat="1" applyFont="1" applyFill="1" applyBorder="1" applyAlignment="1">
      <alignment horizontal="center"/>
    </xf>
    <xf numFmtId="8"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69" fontId="65" fillId="28" borderId="49" xfId="0" applyNumberFormat="1" applyFont="1" applyFill="1" applyBorder="1" applyAlignment="1">
      <alignment horizontal="center" vertical="center" wrapText="1"/>
    </xf>
    <xf numFmtId="169" fontId="65" fillId="27" borderId="50" xfId="6" applyNumberFormat="1" applyFont="1" applyFill="1" applyBorder="1" applyAlignment="1">
      <alignment horizontal="center" vertical="center" wrapText="1"/>
    </xf>
    <xf numFmtId="169" fontId="65" fillId="28" borderId="41" xfId="0" applyNumberFormat="1" applyFont="1" applyFill="1" applyBorder="1" applyAlignment="1">
      <alignment horizontal="center" vertical="center" wrapText="1"/>
    </xf>
    <xf numFmtId="170" fontId="56" fillId="2" borderId="45" xfId="0" applyNumberFormat="1" applyFont="1" applyFill="1" applyBorder="1" applyAlignment="1">
      <alignment horizontal="center"/>
    </xf>
    <xf numFmtId="170" fontId="10" fillId="2" borderId="51" xfId="0" applyNumberFormat="1" applyFont="1" applyFill="1" applyBorder="1" applyAlignment="1">
      <alignment horizontal="center"/>
    </xf>
    <xf numFmtId="8"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69" fontId="65" fillId="28" borderId="47" xfId="0" applyNumberFormat="1" applyFont="1" applyFill="1" applyBorder="1" applyAlignment="1">
      <alignment horizontal="center" vertical="center" wrapText="1"/>
    </xf>
    <xf numFmtId="169" fontId="65" fillId="27" borderId="46" xfId="6" applyNumberFormat="1" applyFont="1" applyFill="1" applyBorder="1" applyAlignment="1">
      <alignment horizontal="center" vertical="center" wrapText="1"/>
    </xf>
    <xf numFmtId="169"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8" fontId="56" fillId="2" borderId="44" xfId="0" applyNumberFormat="1" applyFont="1" applyFill="1" applyBorder="1" applyAlignment="1">
      <alignment horizontal="center"/>
    </xf>
    <xf numFmtId="8" fontId="51" fillId="2" borderId="44" xfId="0" applyNumberFormat="1" applyFont="1" applyFill="1" applyBorder="1" applyAlignment="1">
      <alignment horizontal="center"/>
    </xf>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0" fontId="48"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4"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69"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5"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5" fontId="56" fillId="2" borderId="0" xfId="71" applyNumberFormat="1" applyFont="1" applyFill="1" applyBorder="1" applyProtection="1">
      <protection locked="0"/>
    </xf>
    <xf numFmtId="175" fontId="56" fillId="2" borderId="37" xfId="71" applyNumberFormat="1" applyFont="1" applyFill="1" applyBorder="1" applyAlignment="1" applyProtection="1">
      <alignment horizontal="left" vertical="center"/>
      <protection locked="0"/>
    </xf>
    <xf numFmtId="175"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69"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8" fontId="15" fillId="0" borderId="9" xfId="70" applyNumberFormat="1" applyFont="1" applyFill="1" applyBorder="1"/>
    <xf numFmtId="168"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8" fontId="15" fillId="2" borderId="8" xfId="70" applyNumberFormat="1" applyFont="1" applyFill="1" applyBorder="1"/>
    <xf numFmtId="168"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69"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8"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8"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4" fontId="64" fillId="29" borderId="29" xfId="40" applyNumberFormat="1" applyFont="1" applyFill="1" applyBorder="1" applyAlignment="1">
      <alignment vertical="center" wrapText="1"/>
    </xf>
    <xf numFmtId="174" fontId="64" fillId="29" borderId="0" xfId="40" applyNumberFormat="1" applyFont="1" applyFill="1" applyBorder="1" applyAlignment="1">
      <alignment vertical="center" wrapText="1"/>
    </xf>
    <xf numFmtId="171"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6" fontId="56" fillId="29" borderId="39" xfId="70" applyNumberFormat="1" applyFont="1" applyFill="1" applyBorder="1" applyAlignment="1" applyProtection="1">
      <alignment horizontal="center"/>
      <protection locked="0"/>
    </xf>
    <xf numFmtId="176" fontId="56" fillId="29" borderId="55" xfId="70" applyNumberFormat="1" applyFont="1" applyFill="1" applyBorder="1" applyAlignment="1" applyProtection="1">
      <alignment horizontal="center"/>
      <protection locked="0"/>
    </xf>
    <xf numFmtId="176" fontId="56" fillId="29" borderId="55" xfId="70" applyNumberFormat="1" applyFont="1" applyFill="1" applyBorder="1"/>
    <xf numFmtId="0" fontId="51" fillId="2" borderId="0" xfId="0" applyFont="1" applyFill="1" applyAlignment="1">
      <alignment vertical="center"/>
    </xf>
    <xf numFmtId="175" fontId="56" fillId="29" borderId="37" xfId="71" applyNumberFormat="1" applyFont="1" applyFill="1" applyBorder="1" applyAlignment="1" applyProtection="1">
      <alignment horizontal="left" vertical="center"/>
      <protection locked="0"/>
    </xf>
    <xf numFmtId="175"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4"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69" fontId="60" fillId="27" borderId="66" xfId="6" applyNumberFormat="1" applyFont="1" applyFill="1" applyBorder="1" applyAlignment="1">
      <alignment horizontal="center" vertical="center" wrapText="1"/>
    </xf>
    <xf numFmtId="169"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8" fontId="40" fillId="29" borderId="8" xfId="0" applyNumberFormat="1" applyFont="1" applyFill="1" applyBorder="1" applyProtection="1">
      <protection locked="0"/>
    </xf>
    <xf numFmtId="168" fontId="15" fillId="29" borderId="8" xfId="70" applyNumberFormat="1" applyFont="1" applyFill="1" applyBorder="1" applyProtection="1"/>
    <xf numFmtId="0" fontId="55" fillId="2" borderId="0" xfId="73" applyFont="1" applyFill="1"/>
    <xf numFmtId="8"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4"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8" fontId="56" fillId="29" borderId="39" xfId="0" applyNumberFormat="1" applyFont="1" applyFill="1" applyBorder="1" applyAlignment="1">
      <alignment horizontal="center"/>
    </xf>
    <xf numFmtId="8"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0"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4"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7" fontId="56" fillId="2" borderId="0" xfId="0" applyNumberFormat="1" applyFont="1" applyFill="1" applyBorder="1" applyAlignment="1">
      <alignment horizontal="center" vertical="center"/>
    </xf>
    <xf numFmtId="170"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0" fontId="56" fillId="2" borderId="13" xfId="0" applyNumberFormat="1" applyFont="1" applyFill="1" applyBorder="1" applyAlignment="1">
      <alignment horizontal="center" vertical="center"/>
    </xf>
    <xf numFmtId="170"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6"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6"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6" fontId="56" fillId="2" borderId="6" xfId="70" applyNumberFormat="1" applyFont="1" applyFill="1" applyBorder="1" applyAlignment="1" applyProtection="1">
      <alignment horizontal="center"/>
    </xf>
    <xf numFmtId="176"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4"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3" fontId="61" fillId="2" borderId="0" xfId="0" applyNumberFormat="1" applyFont="1" applyFill="1" applyBorder="1" applyAlignment="1">
      <alignment horizontal="center" vertical="center" wrapText="1"/>
    </xf>
    <xf numFmtId="38" fontId="56" fillId="29" borderId="0"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2"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6" fontId="56" fillId="2" borderId="0" xfId="70" applyNumberFormat="1" applyFont="1" applyFill="1" applyBorder="1" applyAlignment="1" applyProtection="1">
      <alignment horizontal="center"/>
      <protection locked="0"/>
    </xf>
    <xf numFmtId="176"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0"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5"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0" fontId="0" fillId="2" borderId="12" xfId="0" applyFill="1" applyBorder="1" applyAlignment="1">
      <alignment horizontal="center"/>
    </xf>
    <xf numFmtId="0" fontId="0" fillId="2" borderId="5" xfId="0" applyFill="1" applyBorder="1" applyAlignment="1">
      <alignment horizontal="center"/>
    </xf>
    <xf numFmtId="174"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69" fontId="65" fillId="27" borderId="85"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65" fillId="27" borderId="0" xfId="0" quotePrefix="1" applyFont="1" applyFill="1" applyBorder="1" applyAlignment="1">
      <alignment horizontal="center" vertical="center"/>
    </xf>
    <xf numFmtId="169"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0" fontId="10" fillId="2" borderId="6" xfId="0" applyNumberFormat="1" applyFont="1" applyFill="1" applyBorder="1" applyAlignment="1">
      <alignment horizontal="center" vertical="center"/>
    </xf>
    <xf numFmtId="170"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8" fontId="52" fillId="2" borderId="6" xfId="0" applyNumberFormat="1" applyFont="1" applyFill="1" applyBorder="1" applyAlignment="1">
      <alignment horizontal="center"/>
    </xf>
    <xf numFmtId="170" fontId="52" fillId="2" borderId="82" xfId="0" applyNumberFormat="1" applyFont="1" applyFill="1" applyBorder="1" applyAlignment="1">
      <alignment horizontal="center"/>
    </xf>
    <xf numFmtId="8" fontId="10" fillId="2" borderId="55" xfId="0" applyNumberFormat="1" applyFont="1" applyFill="1" applyBorder="1" applyAlignment="1">
      <alignment horizontal="center"/>
    </xf>
    <xf numFmtId="8" fontId="52" fillId="2" borderId="83" xfId="0" applyNumberFormat="1" applyFont="1" applyFill="1" applyBorder="1" applyAlignment="1">
      <alignment horizontal="center"/>
    </xf>
    <xf numFmtId="9" fontId="51" fillId="2" borderId="13" xfId="72" applyFont="1" applyFill="1" applyBorder="1" applyAlignment="1">
      <alignment horizontal="center"/>
    </xf>
    <xf numFmtId="10" fontId="56" fillId="2" borderId="0" xfId="72" applyNumberFormat="1" applyFont="1" applyFill="1" applyBorder="1" applyAlignment="1">
      <alignment horizontal="center" vertical="center"/>
    </xf>
    <xf numFmtId="0" fontId="56" fillId="2" borderId="5" xfId="0" applyFont="1" applyFill="1" applyBorder="1" applyAlignment="1">
      <alignment horizontal="left" vertic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2" borderId="93"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3" fontId="56" fillId="2" borderId="40" xfId="0" applyNumberFormat="1" applyFont="1" applyFill="1" applyBorder="1" applyAlignment="1">
      <alignment horizontal="center" vertical="center"/>
    </xf>
    <xf numFmtId="166" fontId="51" fillId="2" borderId="37" xfId="0" applyNumberFormat="1" applyFont="1" applyFill="1" applyBorder="1"/>
    <xf numFmtId="38" fontId="79" fillId="2" borderId="0" xfId="71" applyNumberFormat="1" applyFont="1" applyFill="1" applyBorder="1" applyAlignment="1">
      <alignment horizontal="center" vertical="center"/>
    </xf>
    <xf numFmtId="177"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10" fontId="56" fillId="29" borderId="6" xfId="72" applyNumberFormat="1" applyFont="1" applyFill="1" applyBorder="1" applyAlignment="1">
      <alignment horizontal="center"/>
    </xf>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0" fontId="65" fillId="27" borderId="37" xfId="0" applyFont="1" applyFill="1" applyBorder="1" applyAlignment="1">
      <alignment horizontal="center" vertical="center" wrapText="1"/>
    </xf>
    <xf numFmtId="3" fontId="10" fillId="2" borderId="0" xfId="0" applyNumberFormat="1" applyFont="1" applyFill="1" applyBorder="1" applyAlignment="1">
      <alignment horizontal="left" vertical="center"/>
    </xf>
    <xf numFmtId="166"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2" fontId="51" fillId="2" borderId="37" xfId="0" applyNumberFormat="1" applyFont="1" applyFill="1" applyBorder="1" applyAlignment="1">
      <alignment horizontal="center"/>
    </xf>
    <xf numFmtId="8" fontId="52" fillId="0" borderId="7" xfId="0" applyNumberFormat="1" applyFont="1" applyFill="1" applyBorder="1" applyAlignment="1">
      <alignment horizontal="center"/>
    </xf>
    <xf numFmtId="8" fontId="73" fillId="0" borderId="38" xfId="70" applyNumberFormat="1" applyFont="1" applyFill="1" applyBorder="1" applyAlignment="1">
      <alignment horizontal="center" vertical="center" wrapText="1"/>
    </xf>
    <xf numFmtId="176" fontId="56" fillId="33" borderId="39" xfId="70" applyNumberFormat="1" applyFont="1" applyFill="1" applyBorder="1" applyAlignment="1" applyProtection="1">
      <alignment horizontal="center"/>
      <protection locked="0"/>
    </xf>
    <xf numFmtId="171" fontId="56" fillId="29" borderId="56" xfId="0" applyNumberFormat="1" applyFont="1" applyFill="1" applyBorder="1" applyAlignment="1" applyProtection="1">
      <alignment horizontal="center" vertical="center" wrapText="1"/>
    </xf>
    <xf numFmtId="0" fontId="56" fillId="33" borderId="12" xfId="0" applyFont="1" applyFill="1" applyBorder="1" applyAlignment="1">
      <alignment horizontal="left" vertical="center" wrapText="1"/>
    </xf>
    <xf numFmtId="176" fontId="56" fillId="33" borderId="0" xfId="70" applyNumberFormat="1" applyFont="1" applyFill="1" applyBorder="1" applyAlignment="1" applyProtection="1">
      <alignment horizontal="center"/>
    </xf>
    <xf numFmtId="176" fontId="56" fillId="33" borderId="13" xfId="70" applyNumberFormat="1" applyFont="1" applyFill="1" applyBorder="1" applyAlignment="1" applyProtection="1">
      <alignment horizontal="center"/>
    </xf>
    <xf numFmtId="0" fontId="56" fillId="33" borderId="4" xfId="0" applyFont="1" applyFill="1" applyBorder="1" applyAlignment="1">
      <alignment horizontal="left" vertical="center" wrapText="1"/>
    </xf>
    <xf numFmtId="0" fontId="56" fillId="33" borderId="39" xfId="0" applyFont="1" applyFill="1" applyBorder="1" applyAlignment="1">
      <alignment horizontal="center"/>
    </xf>
    <xf numFmtId="178" fontId="64" fillId="29" borderId="2" xfId="0" applyNumberFormat="1" applyFont="1" applyFill="1" applyBorder="1" applyAlignment="1">
      <alignment horizontal="center" vertical="top"/>
    </xf>
    <xf numFmtId="179" fontId="64" fillId="29" borderId="2" xfId="0" applyNumberFormat="1" applyFont="1" applyFill="1" applyBorder="1" applyAlignment="1">
      <alignment horizontal="center" vertical="top"/>
    </xf>
    <xf numFmtId="179" fontId="64" fillId="2" borderId="2" xfId="0" applyNumberFormat="1" applyFont="1" applyFill="1" applyBorder="1" applyAlignment="1">
      <alignment horizontal="center" vertical="top"/>
    </xf>
    <xf numFmtId="178" fontId="64" fillId="2" borderId="2" xfId="0" applyNumberFormat="1" applyFont="1" applyFill="1" applyBorder="1" applyAlignment="1">
      <alignment horizontal="center" vertical="top"/>
    </xf>
    <xf numFmtId="3" fontId="56" fillId="33" borderId="39" xfId="0" applyNumberFormat="1" applyFont="1" applyFill="1" applyBorder="1" applyAlignment="1">
      <alignment horizontal="center" vertical="center"/>
    </xf>
    <xf numFmtId="9" fontId="51" fillId="33" borderId="0" xfId="0" applyNumberFormat="1" applyFont="1" applyFill="1" applyBorder="1" applyAlignment="1">
      <alignment horizontal="center" vertical="center"/>
    </xf>
    <xf numFmtId="9" fontId="51" fillId="33" borderId="0" xfId="0" applyNumberFormat="1" applyFont="1" applyFill="1" applyBorder="1" applyAlignment="1">
      <alignment horizontal="center"/>
    </xf>
    <xf numFmtId="9" fontId="51" fillId="33" borderId="13" xfId="0" applyNumberFormat="1" applyFont="1" applyFill="1" applyBorder="1"/>
    <xf numFmtId="3" fontId="56" fillId="33" borderId="40" xfId="0" applyNumberFormat="1" applyFont="1" applyFill="1" applyBorder="1" applyAlignment="1">
      <alignment horizontal="center" vertical="center"/>
    </xf>
    <xf numFmtId="9" fontId="51" fillId="33" borderId="0" xfId="0" applyNumberFormat="1" applyFont="1" applyFill="1" applyBorder="1"/>
    <xf numFmtId="9" fontId="51" fillId="2" borderId="13" xfId="0" applyNumberFormat="1" applyFont="1" applyFill="1" applyBorder="1" applyAlignment="1">
      <alignment vertical="center"/>
    </xf>
    <xf numFmtId="9" fontId="51" fillId="0" borderId="13" xfId="0" applyNumberFormat="1" applyFont="1" applyFill="1" applyBorder="1"/>
    <xf numFmtId="9" fontId="51" fillId="0" borderId="13" xfId="0" applyNumberFormat="1" applyFont="1" applyFill="1" applyBorder="1" applyAlignment="1">
      <alignment vertical="center"/>
    </xf>
    <xf numFmtId="0" fontId="65" fillId="33" borderId="60" xfId="0" applyNumberFormat="1" applyFont="1" applyFill="1" applyBorder="1" applyAlignment="1">
      <alignment horizontal="center" vertical="center" wrapText="1"/>
    </xf>
    <xf numFmtId="3" fontId="61" fillId="33" borderId="35" xfId="0" applyNumberFormat="1" applyFont="1" applyFill="1" applyBorder="1" applyAlignment="1">
      <alignment vertical="center"/>
    </xf>
    <xf numFmtId="3" fontId="61" fillId="33" borderId="35" xfId="0" applyNumberFormat="1" applyFont="1" applyFill="1" applyBorder="1" applyAlignment="1">
      <alignment horizontal="center" vertical="center"/>
    </xf>
    <xf numFmtId="3" fontId="56" fillId="33" borderId="12" xfId="0" applyNumberFormat="1" applyFont="1" applyFill="1" applyBorder="1" applyAlignment="1">
      <alignment horizontal="center" vertical="center"/>
    </xf>
    <xf numFmtId="3" fontId="56" fillId="33" borderId="0" xfId="0" applyNumberFormat="1" applyFont="1" applyFill="1" applyBorder="1" applyAlignment="1">
      <alignment vertical="center" wrapText="1"/>
    </xf>
    <xf numFmtId="3" fontId="56" fillId="33" borderId="0" xfId="0" applyNumberFormat="1" applyFont="1" applyFill="1" applyBorder="1" applyAlignment="1">
      <alignment horizontal="center" vertical="center"/>
    </xf>
    <xf numFmtId="0" fontId="56" fillId="33" borderId="12" xfId="0" applyNumberFormat="1" applyFont="1" applyFill="1" applyBorder="1" applyAlignment="1">
      <alignment horizontal="center" vertical="top"/>
    </xf>
    <xf numFmtId="0" fontId="56" fillId="33" borderId="0" xfId="0" applyNumberFormat="1" applyFont="1" applyFill="1" applyBorder="1" applyAlignment="1">
      <alignment vertical="top" wrapText="1"/>
    </xf>
    <xf numFmtId="3" fontId="61" fillId="33" borderId="0" xfId="0" applyNumberFormat="1" applyFont="1" applyFill="1" applyBorder="1" applyAlignment="1">
      <alignment vertical="center" wrapText="1"/>
    </xf>
    <xf numFmtId="3" fontId="10" fillId="33" borderId="39" xfId="0" applyNumberFormat="1" applyFont="1" applyFill="1" applyBorder="1" applyAlignment="1">
      <alignment horizontal="center" vertical="center"/>
    </xf>
    <xf numFmtId="3" fontId="10" fillId="33" borderId="46" xfId="0" applyNumberFormat="1" applyFont="1" applyFill="1" applyBorder="1" applyAlignment="1">
      <alignment horizontal="center" vertical="center"/>
    </xf>
    <xf numFmtId="3" fontId="10" fillId="33" borderId="40" xfId="0" applyNumberFormat="1" applyFont="1" applyFill="1" applyBorder="1" applyAlignment="1">
      <alignment horizontal="center" vertical="center"/>
    </xf>
    <xf numFmtId="3" fontId="52" fillId="33" borderId="39" xfId="0" applyNumberFormat="1" applyFont="1" applyFill="1" applyBorder="1" applyAlignment="1">
      <alignment horizontal="center" vertical="center"/>
    </xf>
    <xf numFmtId="3" fontId="52" fillId="33" borderId="46" xfId="0" applyNumberFormat="1" applyFont="1" applyFill="1" applyBorder="1" applyAlignment="1">
      <alignment horizontal="center" vertical="center"/>
    </xf>
    <xf numFmtId="3" fontId="52" fillId="33" borderId="40" xfId="0" applyNumberFormat="1" applyFont="1" applyFill="1" applyBorder="1" applyAlignment="1">
      <alignment horizontal="center" vertical="center"/>
    </xf>
    <xf numFmtId="167" fontId="56" fillId="33" borderId="0" xfId="0" applyNumberFormat="1" applyFont="1" applyFill="1" applyBorder="1" applyAlignment="1">
      <alignment horizontal="center" vertical="center"/>
    </xf>
    <xf numFmtId="170" fontId="10" fillId="33" borderId="0" xfId="0" applyNumberFormat="1" applyFont="1" applyFill="1" applyBorder="1" applyAlignment="1">
      <alignment horizontal="center" vertical="center"/>
    </xf>
    <xf numFmtId="3" fontId="10" fillId="33" borderId="0" xfId="0" applyNumberFormat="1" applyFont="1" applyFill="1" applyBorder="1" applyAlignment="1">
      <alignment horizontal="center" vertical="center"/>
    </xf>
    <xf numFmtId="3" fontId="56" fillId="33" borderId="6" xfId="0" applyNumberFormat="1" applyFont="1" applyFill="1" applyBorder="1" applyAlignment="1">
      <alignment horizontal="center" vertical="center"/>
    </xf>
    <xf numFmtId="0" fontId="65" fillId="33" borderId="59" xfId="0" applyNumberFormat="1" applyFont="1" applyFill="1" applyBorder="1" applyAlignment="1">
      <alignment horizontal="center" vertical="center" wrapText="1"/>
    </xf>
    <xf numFmtId="3" fontId="61" fillId="33" borderId="50" xfId="0" applyNumberFormat="1" applyFont="1" applyFill="1" applyBorder="1" applyAlignment="1">
      <alignment vertical="center"/>
    </xf>
    <xf numFmtId="0" fontId="1" fillId="34" borderId="94" xfId="92" applyFont="1"/>
    <xf numFmtId="0" fontId="0" fillId="34" borderId="94" xfId="92" applyFont="1"/>
    <xf numFmtId="2" fontId="0" fillId="34" borderId="94" xfId="92" applyNumberFormat="1" applyFont="1"/>
    <xf numFmtId="170" fontId="56" fillId="33" borderId="0" xfId="0" applyNumberFormat="1" applyFont="1" applyFill="1" applyBorder="1" applyAlignment="1">
      <alignment horizontal="center" vertical="center"/>
    </xf>
    <xf numFmtId="9" fontId="51" fillId="33" borderId="0" xfId="0" applyNumberFormat="1" applyFont="1" applyFill="1" applyBorder="1" applyAlignment="1">
      <alignment vertical="center"/>
    </xf>
    <xf numFmtId="3" fontId="61" fillId="33" borderId="0" xfId="0" applyNumberFormat="1" applyFont="1" applyFill="1" applyBorder="1" applyAlignment="1">
      <alignment vertical="center"/>
    </xf>
    <xf numFmtId="9" fontId="72" fillId="33" borderId="0" xfId="0" applyNumberFormat="1" applyFont="1" applyFill="1" applyBorder="1"/>
    <xf numFmtId="3" fontId="10" fillId="33" borderId="39" xfId="0" applyNumberFormat="1" applyFont="1" applyFill="1" applyBorder="1" applyAlignment="1">
      <alignment horizontal="left" vertical="center"/>
    </xf>
    <xf numFmtId="3" fontId="56" fillId="33" borderId="81" xfId="0" applyNumberFormat="1" applyFont="1" applyFill="1" applyBorder="1" applyAlignment="1">
      <alignment horizontal="center" vertical="center"/>
    </xf>
    <xf numFmtId="3" fontId="56" fillId="35" borderId="0" xfId="0" applyNumberFormat="1" applyFont="1" applyFill="1" applyBorder="1" applyAlignment="1">
      <alignment vertical="center" wrapText="1"/>
    </xf>
    <xf numFmtId="3" fontId="10" fillId="35" borderId="40" xfId="0" applyNumberFormat="1" applyFont="1" applyFill="1" applyBorder="1" applyAlignment="1">
      <alignment horizontal="left" vertical="center"/>
    </xf>
    <xf numFmtId="3" fontId="10" fillId="33" borderId="81" xfId="0" applyNumberFormat="1" applyFont="1" applyFill="1" applyBorder="1" applyAlignment="1">
      <alignment horizontal="left" vertical="center"/>
    </xf>
    <xf numFmtId="0" fontId="72" fillId="33" borderId="12" xfId="0" applyNumberFormat="1" applyFont="1" applyFill="1" applyBorder="1" applyAlignment="1">
      <alignment horizontal="center" vertical="top"/>
    </xf>
    <xf numFmtId="9" fontId="72" fillId="33" borderId="0" xfId="0" applyNumberFormat="1" applyFont="1" applyFill="1" applyBorder="1" applyAlignment="1">
      <alignment horizontal="center" vertical="center"/>
    </xf>
    <xf numFmtId="9" fontId="72" fillId="33" borderId="13" xfId="0" applyNumberFormat="1" applyFont="1" applyFill="1" applyBorder="1"/>
    <xf numFmtId="3" fontId="56" fillId="33" borderId="86" xfId="0" applyNumberFormat="1" applyFont="1" applyFill="1" applyBorder="1" applyAlignment="1">
      <alignment horizontal="center" vertical="center"/>
    </xf>
    <xf numFmtId="3" fontId="1" fillId="34" borderId="94" xfId="92" applyNumberFormat="1" applyFont="1"/>
    <xf numFmtId="3" fontId="52" fillId="34" borderId="94" xfId="92" applyNumberFormat="1" applyFont="1" applyAlignment="1">
      <alignment horizontal="center" vertical="center"/>
    </xf>
    <xf numFmtId="38" fontId="56" fillId="33" borderId="0" xfId="71" applyNumberFormat="1" applyFont="1" applyFill="1" applyBorder="1" applyAlignment="1">
      <alignment horizontal="center" vertical="center"/>
    </xf>
    <xf numFmtId="10" fontId="56" fillId="33" borderId="0" xfId="72" applyNumberFormat="1" applyFont="1" applyFill="1" applyBorder="1" applyAlignment="1">
      <alignment horizontal="center" vertical="center"/>
    </xf>
    <xf numFmtId="38" fontId="79" fillId="33" borderId="0" xfId="71" applyNumberFormat="1" applyFont="1" applyFill="1" applyBorder="1" applyAlignment="1">
      <alignment horizontal="center" vertical="center"/>
    </xf>
    <xf numFmtId="0" fontId="56" fillId="33" borderId="0" xfId="0" applyFont="1" applyFill="1" applyBorder="1" applyAlignment="1">
      <alignment horizontal="right" vertical="center"/>
    </xf>
    <xf numFmtId="10" fontId="51" fillId="33" borderId="0" xfId="72" applyNumberFormat="1" applyFont="1" applyFill="1" applyBorder="1" applyAlignment="1">
      <alignment horizontal="center"/>
    </xf>
    <xf numFmtId="3" fontId="51" fillId="33" borderId="2" xfId="0" applyNumberFormat="1" applyFont="1" applyFill="1" applyBorder="1" applyAlignment="1" applyProtection="1">
      <alignment horizontal="center"/>
      <protection locked="0"/>
    </xf>
    <xf numFmtId="3" fontId="51" fillId="33" borderId="2" xfId="0" applyNumberFormat="1" applyFont="1" applyFill="1" applyBorder="1" applyAlignment="1">
      <alignment horizontal="center"/>
    </xf>
    <xf numFmtId="3" fontId="51" fillId="33" borderId="37" xfId="0" applyNumberFormat="1" applyFont="1" applyFill="1" applyBorder="1" applyAlignment="1">
      <alignment horizontal="center"/>
    </xf>
    <xf numFmtId="38" fontId="51" fillId="33" borderId="37" xfId="0" applyNumberFormat="1" applyFont="1" applyFill="1" applyBorder="1" applyAlignment="1">
      <alignment horizontal="center"/>
    </xf>
    <xf numFmtId="10" fontId="56" fillId="33" borderId="6" xfId="72" applyNumberFormat="1" applyFont="1" applyFill="1" applyBorder="1" applyAlignment="1">
      <alignment horizontal="center"/>
    </xf>
    <xf numFmtId="0" fontId="56" fillId="0" borderId="6" xfId="0" applyFont="1" applyFill="1" applyBorder="1"/>
    <xf numFmtId="0" fontId="51" fillId="34" borderId="94" xfId="92" applyFont="1" applyAlignment="1">
      <alignment horizontal="center"/>
    </xf>
    <xf numFmtId="177" fontId="51" fillId="34" borderId="94" xfId="71" applyNumberFormat="1" applyFont="1" applyFill="1" applyBorder="1" applyAlignment="1"/>
    <xf numFmtId="169" fontId="65" fillId="36" borderId="47" xfId="0" applyNumberFormat="1" applyFont="1" applyFill="1" applyBorder="1" applyAlignment="1">
      <alignment horizontal="center" vertical="center" wrapText="1"/>
    </xf>
    <xf numFmtId="170" fontId="51" fillId="33" borderId="2" xfId="0" applyNumberFormat="1" applyFont="1" applyFill="1" applyBorder="1" applyAlignment="1">
      <alignment horizontal="center"/>
    </xf>
    <xf numFmtId="170" fontId="51" fillId="33" borderId="37" xfId="0" applyNumberFormat="1" applyFont="1" applyFill="1" applyBorder="1" applyAlignment="1">
      <alignment horizontal="center"/>
    </xf>
    <xf numFmtId="3" fontId="10" fillId="33" borderId="39" xfId="0" applyNumberFormat="1" applyFont="1" applyFill="1" applyBorder="1" applyAlignment="1">
      <alignment horizontal="left" vertical="center"/>
    </xf>
    <xf numFmtId="169" fontId="65" fillId="33" borderId="50" xfId="6" applyNumberFormat="1" applyFont="1" applyFill="1" applyBorder="1" applyAlignment="1">
      <alignment horizontal="center" vertical="center" wrapText="1"/>
    </xf>
    <xf numFmtId="8" fontId="56" fillId="33" borderId="42" xfId="0" applyNumberFormat="1" applyFont="1" applyFill="1" applyBorder="1" applyAlignment="1">
      <alignment horizontal="center"/>
    </xf>
    <xf numFmtId="8" fontId="56" fillId="33" borderId="43" xfId="0" applyNumberFormat="1" applyFont="1" applyFill="1" applyBorder="1" applyAlignment="1">
      <alignment horizontal="center"/>
    </xf>
    <xf numFmtId="8" fontId="56" fillId="33" borderId="39" xfId="0" applyNumberFormat="1" applyFont="1" applyFill="1" applyBorder="1" applyAlignment="1">
      <alignment horizontal="center"/>
    </xf>
    <xf numFmtId="8" fontId="51" fillId="33" borderId="42" xfId="0" applyNumberFormat="1" applyFont="1" applyFill="1" applyBorder="1" applyAlignment="1">
      <alignment horizontal="center"/>
    </xf>
    <xf numFmtId="8" fontId="51" fillId="33" borderId="43" xfId="0" applyNumberFormat="1" applyFont="1" applyFill="1" applyBorder="1" applyAlignment="1">
      <alignment horizontal="center"/>
    </xf>
    <xf numFmtId="8" fontId="10" fillId="33" borderId="55" xfId="0" applyNumberFormat="1" applyFont="1" applyFill="1" applyBorder="1" applyAlignment="1">
      <alignment horizontal="center"/>
    </xf>
    <xf numFmtId="8" fontId="52" fillId="33" borderId="6" xfId="0" applyNumberFormat="1" applyFont="1" applyFill="1" applyBorder="1" applyAlignment="1">
      <alignment horizontal="center"/>
    </xf>
    <xf numFmtId="3" fontId="56" fillId="33" borderId="0" xfId="0" applyNumberFormat="1" applyFont="1" applyFill="1" applyBorder="1" applyAlignment="1">
      <alignment horizontal="left" vertical="center"/>
    </xf>
    <xf numFmtId="3" fontId="52" fillId="33" borderId="0" xfId="0" applyNumberFormat="1" applyFont="1" applyFill="1" applyBorder="1" applyAlignment="1">
      <alignment horizontal="center" vertical="center"/>
    </xf>
    <xf numFmtId="3" fontId="56" fillId="33" borderId="13" xfId="0" applyNumberFormat="1" applyFont="1" applyFill="1" applyBorder="1" applyAlignment="1">
      <alignment horizontal="center" vertical="center"/>
    </xf>
    <xf numFmtId="3" fontId="56" fillId="33" borderId="6" xfId="0" applyNumberFormat="1" applyFont="1" applyFill="1" applyBorder="1" applyAlignment="1">
      <alignment horizontal="left" vertical="center"/>
    </xf>
    <xf numFmtId="0" fontId="61" fillId="33" borderId="6" xfId="0" applyFont="1" applyFill="1" applyBorder="1" applyAlignment="1">
      <alignment horizontal="center"/>
    </xf>
    <xf numFmtId="39" fontId="52" fillId="33" borderId="6" xfId="0" applyNumberFormat="1" applyFont="1" applyFill="1" applyBorder="1" applyAlignment="1">
      <alignment horizontal="center"/>
    </xf>
    <xf numFmtId="0" fontId="51" fillId="33" borderId="6" xfId="0" applyFont="1" applyFill="1" applyBorder="1" applyAlignment="1">
      <alignment horizontal="center"/>
    </xf>
    <xf numFmtId="0" fontId="51" fillId="33" borderId="7" xfId="0" applyFont="1" applyFill="1" applyBorder="1" applyAlignment="1">
      <alignment horizontal="center"/>
    </xf>
    <xf numFmtId="3" fontId="51" fillId="33" borderId="0" xfId="0" applyNumberFormat="1" applyFont="1" applyFill="1" applyBorder="1" applyAlignment="1">
      <alignment horizontal="center" vertical="center"/>
    </xf>
    <xf numFmtId="3" fontId="10" fillId="33" borderId="13" xfId="0" applyNumberFormat="1" applyFont="1" applyFill="1" applyBorder="1" applyAlignment="1">
      <alignment horizontal="center" vertical="center"/>
    </xf>
    <xf numFmtId="3" fontId="10" fillId="33" borderId="6" xfId="0" applyNumberFormat="1" applyFont="1" applyFill="1" applyBorder="1" applyAlignment="1">
      <alignment horizontal="center" vertical="center"/>
    </xf>
    <xf numFmtId="3" fontId="52" fillId="33" borderId="6" xfId="0" applyNumberFormat="1" applyFont="1" applyFill="1" applyBorder="1" applyAlignment="1">
      <alignment horizontal="center" vertical="center"/>
    </xf>
    <xf numFmtId="3" fontId="10" fillId="33" borderId="7" xfId="0" applyNumberFormat="1" applyFont="1" applyFill="1" applyBorder="1" applyAlignment="1">
      <alignment horizontal="center" vertical="center"/>
    </xf>
    <xf numFmtId="0" fontId="0" fillId="33" borderId="0" xfId="0" applyFill="1" applyBorder="1" applyAlignment="1">
      <alignment horizontal="center"/>
    </xf>
    <xf numFmtId="0" fontId="0" fillId="33" borderId="0" xfId="0" applyFill="1" applyBorder="1"/>
    <xf numFmtId="0" fontId="0" fillId="33" borderId="13" xfId="0" applyFill="1" applyBorder="1"/>
    <xf numFmtId="0" fontId="0" fillId="33" borderId="6" xfId="0" applyFill="1" applyBorder="1" applyAlignment="1">
      <alignment horizontal="center"/>
    </xf>
    <xf numFmtId="0" fontId="0" fillId="33" borderId="6" xfId="0" applyFill="1" applyBorder="1"/>
    <xf numFmtId="0" fontId="0" fillId="33" borderId="7" xfId="0" applyFill="1" applyBorder="1"/>
    <xf numFmtId="3" fontId="56" fillId="33" borderId="87" xfId="0" applyNumberFormat="1" applyFont="1" applyFill="1" applyBorder="1" applyAlignment="1">
      <alignment horizontal="center" vertical="center"/>
    </xf>
    <xf numFmtId="9" fontId="56" fillId="33" borderId="0" xfId="72" applyFont="1" applyFill="1" applyBorder="1" applyAlignment="1">
      <alignment vertical="top"/>
    </xf>
    <xf numFmtId="3" fontId="56" fillId="33" borderId="0" xfId="0" applyNumberFormat="1" applyFont="1" applyFill="1" applyBorder="1" applyAlignment="1">
      <alignment vertical="top"/>
    </xf>
    <xf numFmtId="9" fontId="56" fillId="33" borderId="13" xfId="72" applyFont="1" applyFill="1" applyBorder="1" applyAlignment="1">
      <alignment vertical="top"/>
    </xf>
    <xf numFmtId="0" fontId="56" fillId="33" borderId="12" xfId="0" applyFont="1" applyFill="1" applyBorder="1" applyAlignment="1">
      <alignment vertical="top"/>
    </xf>
    <xf numFmtId="0" fontId="56" fillId="33" borderId="0" xfId="0" applyFont="1" applyFill="1" applyBorder="1" applyAlignment="1">
      <alignment vertical="top" wrapText="1"/>
    </xf>
    <xf numFmtId="0" fontId="56" fillId="33" borderId="0" xfId="0" applyFont="1" applyFill="1" applyBorder="1" applyAlignment="1">
      <alignment horizontal="center" vertical="top" wrapText="1"/>
    </xf>
    <xf numFmtId="3" fontId="61" fillId="33" borderId="12" xfId="0" applyNumberFormat="1" applyFont="1" applyFill="1" applyBorder="1" applyAlignment="1"/>
    <xf numFmtId="3" fontId="56" fillId="33" borderId="0" xfId="0" applyNumberFormat="1" applyFont="1" applyFill="1" applyBorder="1" applyAlignment="1">
      <alignment horizontal="center" vertical="top"/>
    </xf>
    <xf numFmtId="0" fontId="56" fillId="33" borderId="5" xfId="0" applyFont="1" applyFill="1" applyBorder="1" applyAlignment="1">
      <alignment vertical="top"/>
    </xf>
    <xf numFmtId="3" fontId="56" fillId="33" borderId="6" xfId="0" applyNumberFormat="1" applyFont="1" applyFill="1" applyBorder="1" applyAlignment="1">
      <alignment horizontal="center" vertical="top"/>
    </xf>
    <xf numFmtId="9" fontId="56" fillId="33" borderId="7" xfId="72" applyFont="1" applyFill="1" applyBorder="1" applyAlignment="1">
      <alignment vertical="top"/>
    </xf>
    <xf numFmtId="169" fontId="65" fillId="33" borderId="59" xfId="6" applyNumberFormat="1" applyFont="1" applyFill="1" applyBorder="1" applyAlignment="1">
      <alignment horizontal="center" vertical="center" wrapText="1"/>
    </xf>
    <xf numFmtId="3" fontId="56" fillId="29" borderId="95" xfId="0" applyNumberFormat="1" applyFont="1" applyFill="1" applyBorder="1" applyAlignment="1">
      <alignment horizontal="center" vertical="center"/>
    </xf>
    <xf numFmtId="9" fontId="56" fillId="29" borderId="37" xfId="72" applyFont="1" applyFill="1" applyBorder="1" applyAlignment="1">
      <alignment vertical="top"/>
    </xf>
    <xf numFmtId="3" fontId="56" fillId="29" borderId="37" xfId="0" applyNumberFormat="1" applyFont="1" applyFill="1" applyBorder="1" applyAlignment="1">
      <alignment vertical="top"/>
    </xf>
    <xf numFmtId="3" fontId="56" fillId="33" borderId="37" xfId="0" applyNumberFormat="1" applyFont="1" applyFill="1" applyBorder="1" applyAlignment="1">
      <alignment vertical="top"/>
    </xf>
    <xf numFmtId="9" fontId="56" fillId="33" borderId="37" xfId="72" applyFont="1" applyFill="1" applyBorder="1" applyAlignment="1">
      <alignment vertical="top"/>
    </xf>
    <xf numFmtId="182" fontId="52" fillId="35" borderId="0" xfId="0" applyNumberFormat="1" applyFont="1" applyFill="1"/>
    <xf numFmtId="178" fontId="52" fillId="35" borderId="0" xfId="0" applyNumberFormat="1" applyFont="1" applyFill="1"/>
    <xf numFmtId="180" fontId="52" fillId="35" borderId="37" xfId="0" applyNumberFormat="1" applyFont="1" applyFill="1" applyBorder="1" applyAlignment="1">
      <alignment vertical="top"/>
    </xf>
    <xf numFmtId="181" fontId="52" fillId="35" borderId="37" xfId="0" applyNumberFormat="1" applyFont="1" applyFill="1" applyBorder="1" applyAlignment="1">
      <alignment vertical="top"/>
    </xf>
    <xf numFmtId="10" fontId="56" fillId="29" borderId="37" xfId="72" applyNumberFormat="1" applyFont="1" applyFill="1" applyBorder="1" applyAlignment="1">
      <alignment vertical="top"/>
    </xf>
    <xf numFmtId="3" fontId="61" fillId="30" borderId="12" xfId="0" applyNumberFormat="1" applyFont="1" applyFill="1" applyBorder="1" applyAlignment="1">
      <alignment vertical="center"/>
    </xf>
    <xf numFmtId="3" fontId="61" fillId="30" borderId="0" xfId="0" applyNumberFormat="1" applyFont="1" applyFill="1" applyBorder="1" applyAlignment="1">
      <alignment vertical="center"/>
    </xf>
    <xf numFmtId="3" fontId="61" fillId="30" borderId="13" xfId="0" applyNumberFormat="1" applyFont="1" applyFill="1" applyBorder="1" applyAlignment="1">
      <alignment vertical="center"/>
    </xf>
    <xf numFmtId="0" fontId="58" fillId="31" borderId="12" xfId="0" applyFont="1" applyFill="1" applyBorder="1" applyAlignment="1">
      <alignment vertical="center"/>
    </xf>
    <xf numFmtId="0" fontId="58" fillId="31" borderId="0" xfId="0" applyFont="1" applyFill="1" applyBorder="1" applyAlignment="1">
      <alignment vertical="center"/>
    </xf>
    <xf numFmtId="0" fontId="58" fillId="31" borderId="13" xfId="0" applyFont="1" applyFill="1" applyBorder="1" applyAlignment="1">
      <alignment vertical="center"/>
    </xf>
    <xf numFmtId="0" fontId="58" fillId="31" borderId="91" xfId="0" applyFont="1" applyFill="1" applyBorder="1" applyAlignment="1">
      <alignment vertical="center"/>
    </xf>
    <xf numFmtId="0" fontId="58" fillId="31" borderId="62" xfId="0" applyFont="1" applyFill="1" applyBorder="1" applyAlignment="1">
      <alignment vertical="center"/>
    </xf>
    <xf numFmtId="0" fontId="58" fillId="31" borderId="92" xfId="0" applyFont="1" applyFill="1" applyBorder="1" applyAlignment="1">
      <alignment vertical="center"/>
    </xf>
    <xf numFmtId="9" fontId="0" fillId="34" borderId="94" xfId="92" applyNumberFormat="1" applyFont="1"/>
    <xf numFmtId="3" fontId="51" fillId="33" borderId="6" xfId="0" applyNumberFormat="1" applyFont="1" applyFill="1" applyBorder="1" applyAlignment="1">
      <alignment horizontal="center" vertical="center"/>
    </xf>
    <xf numFmtId="3" fontId="10" fillId="34" borderId="94" xfId="92" applyNumberFormat="1" applyFont="1" applyAlignment="1">
      <alignment horizontal="center" vertical="center"/>
    </xf>
    <xf numFmtId="170" fontId="10" fillId="33" borderId="6" xfId="0" applyNumberFormat="1" applyFont="1" applyFill="1" applyBorder="1" applyAlignment="1">
      <alignment horizontal="center" vertical="center"/>
    </xf>
    <xf numFmtId="169" fontId="60" fillId="33" borderId="14" xfId="6" applyNumberFormat="1" applyFont="1" applyFill="1" applyBorder="1" applyAlignment="1">
      <alignment horizontal="center" vertical="center" wrapText="1"/>
    </xf>
    <xf numFmtId="168" fontId="15" fillId="33" borderId="8" xfId="70" applyNumberFormat="1" applyFont="1" applyFill="1" applyBorder="1"/>
    <xf numFmtId="168" fontId="53" fillId="33" borderId="15" xfId="0" applyNumberFormat="1" applyFont="1" applyFill="1" applyBorder="1"/>
    <xf numFmtId="168" fontId="40" fillId="33" borderId="8" xfId="0" applyNumberFormat="1" applyFont="1" applyFill="1" applyBorder="1" applyProtection="1">
      <protection locked="0"/>
    </xf>
    <xf numFmtId="168" fontId="13" fillId="33" borderId="8" xfId="0" applyNumberFormat="1" applyFont="1" applyFill="1" applyBorder="1"/>
    <xf numFmtId="164" fontId="64" fillId="29" borderId="29" xfId="70" applyFont="1" applyFill="1" applyBorder="1" applyAlignment="1">
      <alignment horizontal="center" vertical="center" wrapText="1"/>
    </xf>
    <xf numFmtId="0" fontId="68" fillId="2" borderId="0" xfId="0" applyFont="1" applyFill="1" applyBorder="1" applyAlignment="1">
      <alignment horizontal="center" vertical="center" textRotation="90"/>
    </xf>
    <xf numFmtId="174" fontId="9" fillId="29" borderId="29" xfId="91"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Border="1"/>
    <xf numFmtId="3" fontId="56" fillId="0" borderId="0" xfId="0" applyNumberFormat="1" applyFont="1" applyFill="1" applyBorder="1" applyAlignment="1">
      <alignment horizontal="center" vertical="center"/>
    </xf>
    <xf numFmtId="0" fontId="0" fillId="0" borderId="13" xfId="0" applyFill="1" applyBorder="1"/>
    <xf numFmtId="183" fontId="52" fillId="2" borderId="0" xfId="72" applyNumberFormat="1" applyFont="1" applyFill="1" applyBorder="1" applyAlignment="1">
      <alignment horizontal="center"/>
    </xf>
    <xf numFmtId="170" fontId="52" fillId="2" borderId="37" xfId="0" applyNumberFormat="1" applyFont="1" applyFill="1" applyBorder="1" applyAlignment="1">
      <alignment horizontal="center" wrapText="1"/>
    </xf>
    <xf numFmtId="183" fontId="52" fillId="2" borderId="37" xfId="72" applyNumberFormat="1" applyFont="1" applyFill="1" applyBorder="1" applyAlignment="1">
      <alignment horizontal="center"/>
    </xf>
    <xf numFmtId="8" fontId="52" fillId="33" borderId="37" xfId="0" applyNumberFormat="1" applyFont="1" applyFill="1" applyBorder="1" applyAlignment="1">
      <alignment horizontal="center"/>
    </xf>
    <xf numFmtId="8" fontId="0" fillId="0" borderId="0" xfId="0" applyNumberFormat="1" applyAlignment="1">
      <alignment horizontal="left"/>
    </xf>
    <xf numFmtId="6" fontId="10" fillId="2" borderId="55" xfId="0" applyNumberFormat="1" applyFont="1" applyFill="1" applyBorder="1" applyAlignment="1">
      <alignment horizontal="center"/>
    </xf>
    <xf numFmtId="6" fontId="10" fillId="33" borderId="55" xfId="0" applyNumberFormat="1" applyFont="1" applyFill="1" applyBorder="1" applyAlignment="1">
      <alignment horizontal="center"/>
    </xf>
    <xf numFmtId="6" fontId="52" fillId="2" borderId="83" xfId="0" applyNumberFormat="1" applyFont="1" applyFill="1" applyBorder="1" applyAlignment="1">
      <alignment horizontal="center"/>
    </xf>
    <xf numFmtId="6" fontId="0" fillId="0" borderId="0" xfId="0" applyNumberFormat="1" applyAlignment="1">
      <alignment horizontal="left"/>
    </xf>
    <xf numFmtId="6" fontId="0" fillId="0" borderId="0" xfId="0" applyNumberFormat="1"/>
    <xf numFmtId="6" fontId="0" fillId="34" borderId="94" xfId="92" applyNumberFormat="1" applyFont="1"/>
    <xf numFmtId="6" fontId="0" fillId="34" borderId="94" xfId="92" applyNumberFormat="1" applyFont="1" applyAlignment="1">
      <alignment horizontal="right"/>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33" borderId="0" xfId="0" applyFont="1" applyFill="1" applyBorder="1" applyAlignment="1">
      <alignment horizont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43"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4" fontId="64" fillId="29" borderId="0" xfId="40" applyNumberFormat="1" applyFont="1" applyFill="1" applyBorder="1" applyAlignment="1">
      <alignment horizontal="left" vertical="top"/>
    </xf>
    <xf numFmtId="174"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10" fillId="33" borderId="39" xfId="0" applyNumberFormat="1" applyFont="1" applyFill="1" applyBorder="1" applyAlignment="1">
      <alignment horizontal="left" vertical="center"/>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0" fontId="65" fillId="27" borderId="84" xfId="0" applyNumberFormat="1" applyFont="1" applyFill="1" applyBorder="1" applyAlignment="1">
      <alignment horizontal="center" vertical="center" wrapText="1"/>
    </xf>
    <xf numFmtId="3" fontId="61" fillId="26" borderId="0" xfId="0" applyNumberFormat="1" applyFont="1" applyFill="1" applyBorder="1" applyAlignment="1">
      <alignment horizontal="left" vertical="center"/>
    </xf>
    <xf numFmtId="3" fontId="10" fillId="33" borderId="81" xfId="0" applyNumberFormat="1" applyFont="1" applyFill="1" applyBorder="1" applyAlignment="1">
      <alignment horizontal="left" vertical="center"/>
    </xf>
    <xf numFmtId="3" fontId="56" fillId="33" borderId="0" xfId="0" applyNumberFormat="1" applyFont="1" applyFill="1" applyBorder="1" applyAlignment="1">
      <alignment horizontal="left" vertical="center"/>
    </xf>
    <xf numFmtId="3" fontId="56" fillId="33" borderId="6" xfId="0" applyNumberFormat="1" applyFont="1" applyFill="1" applyBorder="1" applyAlignment="1">
      <alignment horizontal="left" vertical="center"/>
    </xf>
    <xf numFmtId="0" fontId="68" fillId="2" borderId="13" xfId="0" applyFont="1" applyFill="1" applyBorder="1" applyAlignment="1">
      <alignment horizontal="center" vertical="center" textRotation="90"/>
    </xf>
    <xf numFmtId="0" fontId="86" fillId="2" borderId="13" xfId="0" applyFont="1" applyFill="1" applyBorder="1" applyAlignment="1">
      <alignment horizontal="center" vertical="center" textRotation="255"/>
    </xf>
    <xf numFmtId="3" fontId="56" fillId="0" borderId="0"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6" fillId="2" borderId="0" xfId="0" applyFont="1" applyFill="1" applyAlignment="1">
      <alignment horizontal="left" vertical="top" wrapText="1"/>
    </xf>
    <xf numFmtId="0" fontId="65" fillId="27" borderId="88" xfId="0" applyFont="1" applyFill="1" applyBorder="1" applyAlignment="1">
      <alignment horizontal="center" vertical="center" wrapText="1"/>
    </xf>
    <xf numFmtId="0" fontId="65" fillId="27" borderId="90" xfId="0" applyFont="1" applyFill="1" applyBorder="1" applyAlignment="1">
      <alignment horizontal="center" vertical="center" wrapText="1"/>
    </xf>
    <xf numFmtId="169" fontId="65" fillId="27" borderId="70" xfId="6" applyNumberFormat="1" applyFont="1" applyFill="1" applyBorder="1" applyAlignment="1">
      <alignment horizontal="center" vertical="center"/>
    </xf>
    <xf numFmtId="169" fontId="65" fillId="27" borderId="89" xfId="6" applyNumberFormat="1" applyFont="1" applyFill="1" applyBorder="1" applyAlignment="1">
      <alignment horizontal="center" vertical="center"/>
    </xf>
    <xf numFmtId="0" fontId="57" fillId="2" borderId="0" xfId="0" applyFont="1" applyFill="1" applyAlignment="1">
      <alignment horizontal="center" wrapText="1"/>
    </xf>
    <xf numFmtId="174" fontId="64" fillId="29" borderId="0" xfId="4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69" fontId="65" fillId="27" borderId="50" xfId="6" applyNumberFormat="1" applyFont="1" applyFill="1" applyBorder="1" applyAlignment="1">
      <alignment horizontal="center" vertical="center"/>
    </xf>
    <xf numFmtId="169" fontId="65" fillId="27" borderId="41" xfId="6" applyNumberFormat="1" applyFont="1" applyFill="1" applyBorder="1" applyAlignment="1">
      <alignment horizontal="center" vertical="center"/>
    </xf>
    <xf numFmtId="174"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4"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3">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xfId="91" builtinId="27"/>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xfId="92" builtinId="10"/>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1565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9900" y="0"/>
          <a:ext cx="89217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105900" cy="21092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9274032" cy="1890416"/>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975360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6521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TL_2017_IRM_RateGen_Model_Version%201%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2011-2014%20Final%20Results%20Report_HCNiagara-on-the-Lake%20Hydro%20In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Final%202015%20Annual%20Verified%20Results%20Report_Niagara-on-the-Lake%20Hydro%20Inc._201606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NOTL%20Persistence%20savings%202011-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hilip's%20Files/RATE%20APPLICATIONS/RATE%20SETTING%20IRM%202017/LRAM/From%20Brodie/Final%202015%20Annual%20Verified%20Results%20Report%20-%20Annual%20Persistence_Niagara-on-the-Lake%20Hydro%20Inc._2016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sheetData sheetId="1"/>
      <sheetData sheetId="2"/>
      <sheetData sheetId="3">
        <row r="42">
          <cell r="BQ42">
            <v>653.85052526847062</v>
          </cell>
          <cell r="BR42">
            <v>217.95017508949022</v>
          </cell>
          <cell r="BT42">
            <v>62033.009344635677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6">
          <cell r="E26">
            <v>6.6169999999999996E-3</v>
          </cell>
        </row>
        <row r="107">
          <cell r="E107">
            <v>1E-4</v>
          </cell>
        </row>
        <row r="141">
          <cell r="E141">
            <v>1E-4</v>
          </cell>
        </row>
        <row r="177">
          <cell r="E177">
            <v>-2.0000000000000001E-4</v>
          </cell>
        </row>
        <row r="209">
          <cell r="E209">
            <v>1E-4</v>
          </cell>
        </row>
      </sheetData>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I7">
            <v>6.85</v>
          </cell>
          <cell r="J7">
            <v>4.5380000000000003</v>
          </cell>
          <cell r="K7">
            <v>1.8140000000000001</v>
          </cell>
          <cell r="L7">
            <v>1.069</v>
          </cell>
          <cell r="N7">
            <v>46772.048999999999</v>
          </cell>
          <cell r="O7">
            <v>27028.694</v>
          </cell>
          <cell r="P7">
            <v>12709.263999999999</v>
          </cell>
          <cell r="Q7">
            <v>7429.2060000000001</v>
          </cell>
        </row>
        <row r="8">
          <cell r="I8">
            <v>0.27300000000000002</v>
          </cell>
          <cell r="J8">
            <v>0.38500000000000001</v>
          </cell>
          <cell r="K8">
            <v>1.2430000000000001</v>
          </cell>
          <cell r="L8">
            <v>2.694</v>
          </cell>
          <cell r="N8">
            <v>289.10199999999998</v>
          </cell>
          <cell r="O8">
            <v>683.49599999999998</v>
          </cell>
          <cell r="P8">
            <v>2216.6390000000001</v>
          </cell>
          <cell r="Q8">
            <v>4802.7179999999998</v>
          </cell>
        </row>
        <row r="9">
          <cell r="I9">
            <v>48.585999999999999</v>
          </cell>
          <cell r="J9">
            <v>32.122</v>
          </cell>
          <cell r="K9">
            <v>30.553999999999998</v>
          </cell>
          <cell r="L9">
            <v>30.597000000000001</v>
          </cell>
          <cell r="N9">
            <v>86998.285000000003</v>
          </cell>
          <cell r="O9">
            <v>53256.94</v>
          </cell>
          <cell r="P9">
            <v>51559.853999999999</v>
          </cell>
          <cell r="Q9">
            <v>56704.470999999998</v>
          </cell>
        </row>
        <row r="10">
          <cell r="I10">
            <v>2.0489999999999999</v>
          </cell>
          <cell r="J10">
            <v>0.36499999999999999</v>
          </cell>
          <cell r="K10">
            <v>0.81899999999999995</v>
          </cell>
          <cell r="L10">
            <v>3.6920000000000002</v>
          </cell>
          <cell r="N10">
            <v>32224.924999999999</v>
          </cell>
          <cell r="O10">
            <v>2217.2399999999998</v>
          </cell>
          <cell r="P10">
            <v>12222.512000000001</v>
          </cell>
          <cell r="Q10">
            <v>48382.211000000003</v>
          </cell>
        </row>
        <row r="11">
          <cell r="I11">
            <v>2.6659999999999999</v>
          </cell>
          <cell r="J11">
            <v>2.347</v>
          </cell>
          <cell r="K11">
            <v>1.877</v>
          </cell>
          <cell r="L11">
            <v>12.755000000000001</v>
          </cell>
          <cell r="N11">
            <v>46602.048999999999</v>
          </cell>
          <cell r="O11">
            <v>42469.832999999999</v>
          </cell>
          <cell r="P11">
            <v>27243.441999999999</v>
          </cell>
          <cell r="Q11">
            <v>194896.70699999999</v>
          </cell>
        </row>
        <row r="12">
          <cell r="I12">
            <v>0</v>
          </cell>
          <cell r="J12">
            <v>0</v>
          </cell>
          <cell r="K12">
            <v>0</v>
          </cell>
          <cell r="L12">
            <v>0</v>
          </cell>
          <cell r="N12">
            <v>0</v>
          </cell>
          <cell r="O12">
            <v>0</v>
          </cell>
          <cell r="P12">
            <v>0</v>
          </cell>
          <cell r="Q12">
            <v>0</v>
          </cell>
        </row>
        <row r="13">
          <cell r="I13">
            <v>0</v>
          </cell>
          <cell r="J13">
            <v>0</v>
          </cell>
          <cell r="K13">
            <v>9.6850000000000005</v>
          </cell>
          <cell r="L13">
            <v>21.457000000000001</v>
          </cell>
          <cell r="N13">
            <v>0</v>
          </cell>
          <cell r="O13">
            <v>0</v>
          </cell>
          <cell r="P13">
            <v>0</v>
          </cell>
          <cell r="Q13">
            <v>0</v>
          </cell>
        </row>
        <row r="14">
          <cell r="I14">
            <v>0</v>
          </cell>
          <cell r="J14">
            <v>0</v>
          </cell>
          <cell r="K14">
            <v>0</v>
          </cell>
          <cell r="L14">
            <v>0</v>
          </cell>
          <cell r="N14">
            <v>0</v>
          </cell>
          <cell r="O14">
            <v>0</v>
          </cell>
          <cell r="P14">
            <v>0</v>
          </cell>
          <cell r="Q14">
            <v>0</v>
          </cell>
        </row>
        <row r="15">
          <cell r="J15">
            <v>0</v>
          </cell>
          <cell r="K15">
            <v>0</v>
          </cell>
          <cell r="L15">
            <v>0</v>
          </cell>
          <cell r="O15">
            <v>0</v>
          </cell>
          <cell r="P15">
            <v>0</v>
          </cell>
          <cell r="Q15">
            <v>0</v>
          </cell>
        </row>
        <row r="19">
          <cell r="I19">
            <v>15.294</v>
          </cell>
          <cell r="J19">
            <v>76.393000000000001</v>
          </cell>
          <cell r="K19">
            <v>98.622</v>
          </cell>
          <cell r="L19">
            <v>58.697000000000003</v>
          </cell>
          <cell r="N19">
            <v>78073.766000000003</v>
          </cell>
          <cell r="O19">
            <v>411292.58</v>
          </cell>
          <cell r="P19">
            <v>499514.505</v>
          </cell>
          <cell r="Q19">
            <v>511988.179</v>
          </cell>
        </row>
        <row r="20">
          <cell r="I20">
            <v>170.977</v>
          </cell>
          <cell r="J20">
            <v>71.92</v>
          </cell>
          <cell r="K20">
            <v>35.722000000000001</v>
          </cell>
          <cell r="L20">
            <v>40.621000000000002</v>
          </cell>
          <cell r="N20">
            <v>451696.234</v>
          </cell>
          <cell r="O20">
            <v>287393.27299999999</v>
          </cell>
          <cell r="P20">
            <v>131977.73300000001</v>
          </cell>
          <cell r="Q20">
            <v>150534.802</v>
          </cell>
        </row>
        <row r="21">
          <cell r="I21">
            <v>0</v>
          </cell>
          <cell r="J21">
            <v>0</v>
          </cell>
          <cell r="L21">
            <v>0</v>
          </cell>
          <cell r="N21">
            <v>0</v>
          </cell>
          <cell r="O21">
            <v>0</v>
          </cell>
          <cell r="P21">
            <v>0</v>
          </cell>
          <cell r="Q21">
            <v>0</v>
          </cell>
        </row>
        <row r="22">
          <cell r="I22">
            <v>4.6349999999999998</v>
          </cell>
          <cell r="J22">
            <v>3.5649999999999999</v>
          </cell>
          <cell r="K22">
            <v>22.206</v>
          </cell>
          <cell r="L22">
            <v>112.125</v>
          </cell>
          <cell r="N22">
            <v>22210.92</v>
          </cell>
          <cell r="O22">
            <v>13122.69</v>
          </cell>
          <cell r="P22">
            <v>194104.71900000001</v>
          </cell>
          <cell r="Q22">
            <v>525099.63</v>
          </cell>
        </row>
        <row r="23">
          <cell r="I23">
            <v>0</v>
          </cell>
          <cell r="J23">
            <v>5.1769999999999996</v>
          </cell>
          <cell r="L23">
            <v>0</v>
          </cell>
          <cell r="N23">
            <v>0</v>
          </cell>
          <cell r="O23">
            <v>25176.254000000001</v>
          </cell>
          <cell r="P23">
            <v>0</v>
          </cell>
          <cell r="Q23">
            <v>0</v>
          </cell>
        </row>
        <row r="24">
          <cell r="I24">
            <v>0</v>
          </cell>
          <cell r="J24">
            <v>0</v>
          </cell>
          <cell r="K24">
            <v>0</v>
          </cell>
          <cell r="L24">
            <v>1.1140000000000001</v>
          </cell>
          <cell r="N24">
            <v>0</v>
          </cell>
          <cell r="O24">
            <v>0</v>
          </cell>
          <cell r="P24">
            <v>0</v>
          </cell>
          <cell r="Q24">
            <v>0</v>
          </cell>
        </row>
        <row r="25">
          <cell r="I25">
            <v>0</v>
          </cell>
          <cell r="J25">
            <v>0</v>
          </cell>
          <cell r="K25">
            <v>0</v>
          </cell>
          <cell r="L25">
            <v>0</v>
          </cell>
          <cell r="N25">
            <v>0</v>
          </cell>
          <cell r="O25">
            <v>0</v>
          </cell>
          <cell r="P25">
            <v>0</v>
          </cell>
          <cell r="Q25">
            <v>0</v>
          </cell>
        </row>
        <row r="26">
          <cell r="J26">
            <v>0</v>
          </cell>
          <cell r="K26">
            <v>91.269000000000005</v>
          </cell>
          <cell r="L26">
            <v>91.177999999999997</v>
          </cell>
          <cell r="O26">
            <v>0</v>
          </cell>
          <cell r="P26">
            <v>1555.588</v>
          </cell>
          <cell r="Q26">
            <v>0</v>
          </cell>
        </row>
        <row r="30">
          <cell r="I30">
            <v>0</v>
          </cell>
          <cell r="J30">
            <v>0</v>
          </cell>
          <cell r="K30">
            <v>0</v>
          </cell>
          <cell r="L30">
            <v>0</v>
          </cell>
          <cell r="N30">
            <v>0</v>
          </cell>
          <cell r="O30">
            <v>0</v>
          </cell>
          <cell r="P30">
            <v>0</v>
          </cell>
          <cell r="Q30">
            <v>0</v>
          </cell>
        </row>
        <row r="31">
          <cell r="I31">
            <v>0</v>
          </cell>
          <cell r="J31">
            <v>0</v>
          </cell>
          <cell r="K31">
            <v>0</v>
          </cell>
          <cell r="L31">
            <v>0</v>
          </cell>
          <cell r="N31">
            <v>0</v>
          </cell>
          <cell r="O31">
            <v>0</v>
          </cell>
          <cell r="P31">
            <v>0</v>
          </cell>
          <cell r="Q31">
            <v>0</v>
          </cell>
        </row>
        <row r="32">
          <cell r="I32">
            <v>0</v>
          </cell>
          <cell r="J32">
            <v>0</v>
          </cell>
          <cell r="K32">
            <v>0</v>
          </cell>
          <cell r="L32">
            <v>3.677</v>
          </cell>
          <cell r="N32">
            <v>0</v>
          </cell>
          <cell r="O32">
            <v>0</v>
          </cell>
          <cell r="P32">
            <v>0</v>
          </cell>
          <cell r="Q32">
            <v>372587.14399999997</v>
          </cell>
        </row>
        <row r="33">
          <cell r="I33">
            <v>0</v>
          </cell>
          <cell r="J33">
            <v>0</v>
          </cell>
          <cell r="K33">
            <v>0</v>
          </cell>
          <cell r="L33">
            <v>0</v>
          </cell>
          <cell r="N33">
            <v>0</v>
          </cell>
          <cell r="O33">
            <v>0</v>
          </cell>
          <cell r="P33">
            <v>0</v>
          </cell>
          <cell r="Q33">
            <v>0</v>
          </cell>
        </row>
        <row r="34">
          <cell r="I34">
            <v>0</v>
          </cell>
          <cell r="J34">
            <v>0</v>
          </cell>
          <cell r="K34">
            <v>73.239000000000004</v>
          </cell>
          <cell r="L34">
            <v>175.58199999999999</v>
          </cell>
          <cell r="N34">
            <v>0</v>
          </cell>
          <cell r="O34">
            <v>0</v>
          </cell>
          <cell r="P34">
            <v>1667.6880000000001</v>
          </cell>
          <cell r="Q34">
            <v>0</v>
          </cell>
        </row>
        <row r="38">
          <cell r="I38">
            <v>0</v>
          </cell>
          <cell r="J38">
            <v>7.6999999999999999E-2</v>
          </cell>
          <cell r="K38">
            <v>2.1030000000000002</v>
          </cell>
          <cell r="L38">
            <v>0</v>
          </cell>
          <cell r="N38">
            <v>0</v>
          </cell>
          <cell r="O38">
            <v>1484.164</v>
          </cell>
          <cell r="P38">
            <v>15763.512000000001</v>
          </cell>
          <cell r="Q38">
            <v>0</v>
          </cell>
        </row>
        <row r="47">
          <cell r="I47">
            <v>30.131</v>
          </cell>
          <cell r="J47">
            <v>0</v>
          </cell>
          <cell r="K47">
            <v>0</v>
          </cell>
          <cell r="L47">
            <v>0</v>
          </cell>
          <cell r="N47">
            <v>165617.94899999999</v>
          </cell>
          <cell r="O47">
            <v>0</v>
          </cell>
          <cell r="P47">
            <v>0</v>
          </cell>
          <cell r="Q47">
            <v>0</v>
          </cell>
        </row>
        <row r="48">
          <cell r="I48">
            <v>17.989000000000001</v>
          </cell>
          <cell r="J48">
            <v>0.17899999999999999</v>
          </cell>
          <cell r="K48">
            <v>0</v>
          </cell>
          <cell r="L48">
            <v>0</v>
          </cell>
          <cell r="N48">
            <v>92389.58</v>
          </cell>
          <cell r="O48">
            <v>173.60900000000001</v>
          </cell>
          <cell r="P48">
            <v>0</v>
          </cell>
          <cell r="Q48">
            <v>0</v>
          </cell>
        </row>
        <row r="49">
          <cell r="I49">
            <v>0</v>
          </cell>
          <cell r="J49">
            <v>0</v>
          </cell>
          <cell r="K49">
            <v>0</v>
          </cell>
          <cell r="L49">
            <v>0</v>
          </cell>
          <cell r="N49">
            <v>0</v>
          </cell>
          <cell r="O49">
            <v>0</v>
          </cell>
          <cell r="P49">
            <v>0</v>
          </cell>
          <cell r="Q49">
            <v>0</v>
          </cell>
        </row>
        <row r="50">
          <cell r="I50">
            <v>0</v>
          </cell>
          <cell r="J50">
            <v>0</v>
          </cell>
          <cell r="K50">
            <v>0</v>
          </cell>
          <cell r="L50">
            <v>0</v>
          </cell>
          <cell r="N50">
            <v>0</v>
          </cell>
          <cell r="O50">
            <v>0</v>
          </cell>
          <cell r="P50">
            <v>0</v>
          </cell>
          <cell r="Q50">
            <v>0</v>
          </cell>
        </row>
        <row r="51">
          <cell r="J51">
            <v>0</v>
          </cell>
          <cell r="K51">
            <v>0</v>
          </cell>
          <cell r="L51">
            <v>0</v>
          </cell>
          <cell r="O51">
            <v>0</v>
          </cell>
          <cell r="P51">
            <v>0</v>
          </cell>
          <cell r="Q51">
            <v>0</v>
          </cell>
        </row>
        <row r="55">
          <cell r="J55">
            <v>0</v>
          </cell>
          <cell r="K55">
            <v>0</v>
          </cell>
          <cell r="L55">
            <v>0</v>
          </cell>
          <cell r="O55">
            <v>0</v>
          </cell>
          <cell r="P55">
            <v>0</v>
          </cell>
          <cell r="Q55">
            <v>0</v>
          </cell>
        </row>
        <row r="56">
          <cell r="J56">
            <v>0</v>
          </cell>
          <cell r="K56">
            <v>0</v>
          </cell>
          <cell r="L56">
            <v>99.7</v>
          </cell>
          <cell r="O56">
            <v>0</v>
          </cell>
          <cell r="P56">
            <v>0</v>
          </cell>
          <cell r="Q56">
            <v>0</v>
          </cell>
        </row>
      </sheetData>
      <sheetData sheetId="4">
        <row r="16">
          <cell r="I16">
            <v>-5.9649999999999999</v>
          </cell>
          <cell r="J16">
            <v>0.879</v>
          </cell>
          <cell r="K16">
            <v>0.66100000000000003</v>
          </cell>
          <cell r="N16">
            <v>-7332.66</v>
          </cell>
          <cell r="O16">
            <v>1788.7940000000001</v>
          </cell>
          <cell r="P16">
            <v>1176.4518084000001</v>
          </cell>
        </row>
        <row r="27">
          <cell r="I27">
            <v>-0.89200000000000002</v>
          </cell>
          <cell r="J27">
            <v>11.536000000000001</v>
          </cell>
          <cell r="K27">
            <v>0</v>
          </cell>
          <cell r="N27">
            <v>22.83</v>
          </cell>
          <cell r="O27">
            <v>56165.661</v>
          </cell>
          <cell r="P27">
            <v>0</v>
          </cell>
        </row>
        <row r="35">
          <cell r="I35">
            <v>0</v>
          </cell>
          <cell r="J35">
            <v>0</v>
          </cell>
          <cell r="K35">
            <v>27.45</v>
          </cell>
          <cell r="N35">
            <v>0</v>
          </cell>
          <cell r="O35">
            <v>0</v>
          </cell>
          <cell r="P35">
            <v>19773</v>
          </cell>
        </row>
        <row r="39">
          <cell r="I39">
            <v>0</v>
          </cell>
          <cell r="J39">
            <v>0</v>
          </cell>
          <cell r="K39">
            <v>0</v>
          </cell>
          <cell r="N39">
            <v>0</v>
          </cell>
          <cell r="O39">
            <v>0</v>
          </cell>
          <cell r="P39">
            <v>0</v>
          </cell>
        </row>
        <row r="52">
          <cell r="I52">
            <v>4.1929999999999996</v>
          </cell>
          <cell r="J52">
            <v>0</v>
          </cell>
          <cell r="K52">
            <v>0</v>
          </cell>
          <cell r="N52">
            <v>21537.171999999999</v>
          </cell>
          <cell r="O52">
            <v>0</v>
          </cell>
          <cell r="P52">
            <v>0</v>
          </cell>
        </row>
        <row r="58">
          <cell r="J58">
            <v>59.597999999999999</v>
          </cell>
          <cell r="K58">
            <v>0</v>
          </cell>
          <cell r="O58">
            <v>32506.14</v>
          </cell>
          <cell r="P58">
            <v>0</v>
          </cell>
        </row>
      </sheetData>
      <sheetData sheetId="5"/>
      <sheetData sheetId="6">
        <row r="7">
          <cell r="B7">
            <v>0.29899999999999999</v>
          </cell>
          <cell r="C7">
            <v>0.29899999999999999</v>
          </cell>
          <cell r="D7">
            <v>0.29099999999999998</v>
          </cell>
          <cell r="E7">
            <v>0.23</v>
          </cell>
        </row>
        <row r="8">
          <cell r="B8">
            <v>-3.0000000000000001E-3</v>
          </cell>
          <cell r="C8">
            <v>0.19400000000000001</v>
          </cell>
          <cell r="D8">
            <v>0.19400000000000001</v>
          </cell>
          <cell r="E8">
            <v>0.192</v>
          </cell>
        </row>
        <row r="9">
          <cell r="B9">
            <v>0</v>
          </cell>
          <cell r="C9">
            <v>1.2E-2</v>
          </cell>
          <cell r="D9">
            <v>0.38100000000000001</v>
          </cell>
          <cell r="E9">
            <v>0.20699999999999999</v>
          </cell>
        </row>
        <row r="10">
          <cell r="B10">
            <v>0</v>
          </cell>
          <cell r="C10">
            <v>0.06</v>
          </cell>
          <cell r="D10">
            <v>8.7999999999999995E-2</v>
          </cell>
          <cell r="E10">
            <v>0.74299999999999999</v>
          </cell>
        </row>
        <row r="19">
          <cell r="B19">
            <v>1.0229999999999999</v>
          </cell>
          <cell r="C19">
            <v>1.0229999999999999</v>
          </cell>
          <cell r="D19">
            <v>0.998</v>
          </cell>
          <cell r="E19">
            <v>0.82899999999999996</v>
          </cell>
        </row>
        <row r="20">
          <cell r="B20">
            <v>1.4E-2</v>
          </cell>
          <cell r="C20">
            <v>0.879</v>
          </cell>
          <cell r="D20">
            <v>0.879</v>
          </cell>
          <cell r="E20">
            <v>0.87</v>
          </cell>
        </row>
        <row r="21">
          <cell r="B21">
            <v>0</v>
          </cell>
          <cell r="C21">
            <v>5.6000000000000001E-2</v>
          </cell>
          <cell r="D21">
            <v>1.0069999999999999</v>
          </cell>
          <cell r="E21">
            <v>1.004</v>
          </cell>
        </row>
        <row r="22">
          <cell r="B22">
            <v>0</v>
          </cell>
          <cell r="C22">
            <v>3.4000000000000002E-2</v>
          </cell>
          <cell r="D22">
            <v>5.5E-2</v>
          </cell>
          <cell r="E22">
            <v>1.9279999999999999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Progress"/>
      <sheetName val="Province-Wide Progress"/>
      <sheetName val="IESO Value Added Services Costs"/>
      <sheetName val="Methodology"/>
      <sheetName val="Reference Tables"/>
      <sheetName val="Glossary"/>
      <sheetName val="Graph Data"/>
    </sheetNames>
    <sheetDataSet>
      <sheetData sheetId="0" refreshError="1"/>
      <sheetData sheetId="1" refreshError="1"/>
      <sheetData sheetId="2" refreshError="1"/>
      <sheetData sheetId="3" refreshError="1"/>
      <sheetData sheetId="4">
        <row r="8">
          <cell r="BK8">
            <v>85913</v>
          </cell>
          <cell r="CK8">
            <v>6</v>
          </cell>
        </row>
        <row r="9">
          <cell r="BK9">
            <v>146333</v>
          </cell>
          <cell r="CK9">
            <v>10</v>
          </cell>
        </row>
        <row r="10">
          <cell r="BK10">
            <v>3267</v>
          </cell>
          <cell r="CK10">
            <v>1</v>
          </cell>
        </row>
        <row r="11">
          <cell r="BK11">
            <v>65698</v>
          </cell>
          <cell r="CK11">
            <v>35</v>
          </cell>
        </row>
        <row r="12">
          <cell r="BK12">
            <v>0</v>
          </cell>
        </row>
        <row r="16">
          <cell r="BK16">
            <v>71357</v>
          </cell>
          <cell r="CK16">
            <v>15</v>
          </cell>
        </row>
        <row r="17">
          <cell r="BK17">
            <v>1703597</v>
          </cell>
          <cell r="CK17">
            <v>249</v>
          </cell>
        </row>
        <row r="18">
          <cell r="BK18">
            <v>113027</v>
          </cell>
          <cell r="CK18">
            <v>26</v>
          </cell>
        </row>
        <row r="19">
          <cell r="BK19">
            <v>425850</v>
          </cell>
          <cell r="CK19">
            <v>66</v>
          </cell>
        </row>
        <row r="20">
          <cell r="BK20">
            <v>57642</v>
          </cell>
          <cell r="CK20">
            <v>18</v>
          </cell>
        </row>
        <row r="26">
          <cell r="BK26">
            <v>283809</v>
          </cell>
          <cell r="CK26">
            <v>44</v>
          </cell>
        </row>
        <row r="30">
          <cell r="BK30">
            <v>2983</v>
          </cell>
          <cell r="CK30">
            <v>0</v>
          </cell>
        </row>
        <row r="42">
          <cell r="BK42">
            <v>40750</v>
          </cell>
          <cell r="CK42">
            <v>5</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sheetName val="2012"/>
      <sheetName val="2013"/>
      <sheetName val="2014"/>
    </sheetNames>
    <sheetDataSet>
      <sheetData sheetId="0">
        <row r="22">
          <cell r="R22">
            <v>0.22750144482339474</v>
          </cell>
          <cell r="S22">
            <v>0.22305211082685339</v>
          </cell>
          <cell r="T22">
            <v>0.16286233761481234</v>
          </cell>
          <cell r="U22">
            <v>0.15364186736929367</v>
          </cell>
          <cell r="V22">
            <v>0.14799908538535403</v>
          </cell>
          <cell r="W22">
            <v>0.14610506879445689</v>
          </cell>
          <cell r="AV22">
            <v>806.84951109399674</v>
          </cell>
          <cell r="AW22">
            <v>768.39947997842512</v>
          </cell>
          <cell r="AX22">
            <v>604.88047540008893</v>
          </cell>
          <cell r="AY22">
            <v>566.71525514234781</v>
          </cell>
          <cell r="AZ22">
            <v>562.64148755843689</v>
          </cell>
          <cell r="BA22">
            <v>521.73660813532149</v>
          </cell>
        </row>
      </sheetData>
      <sheetData sheetId="1">
        <row r="28">
          <cell r="Q28">
            <v>0.16712734100679758</v>
          </cell>
          <cell r="R28">
            <v>0.15900144924287787</v>
          </cell>
          <cell r="S28">
            <v>0.12886055104973035</v>
          </cell>
          <cell r="T28">
            <v>0.12415758565192467</v>
          </cell>
          <cell r="U28">
            <v>0.12400946862373699</v>
          </cell>
          <cell r="V28">
            <v>0.1235973194292135</v>
          </cell>
          <cell r="AU28">
            <v>759.56808893487118</v>
          </cell>
          <cell r="AV28">
            <v>716.33475519427373</v>
          </cell>
          <cell r="AW28">
            <v>587.23811415646946</v>
          </cell>
          <cell r="AX28">
            <v>550.15434386218237</v>
          </cell>
          <cell r="AY28">
            <v>549.96240380935467</v>
          </cell>
          <cell r="AZ28">
            <v>546.50624265159001</v>
          </cell>
        </row>
      </sheetData>
      <sheetData sheetId="2">
        <row r="22">
          <cell r="R22">
            <v>0.20564244522601735</v>
          </cell>
          <cell r="S22">
            <v>0.19770728725401734</v>
          </cell>
          <cell r="T22">
            <v>0.18034343867480931</v>
          </cell>
          <cell r="U22">
            <v>0.17757987065955436</v>
          </cell>
          <cell r="V22">
            <v>0.17751323401555433</v>
          </cell>
          <cell r="W22">
            <v>0.17657088731655432</v>
          </cell>
          <cell r="AV22">
            <v>997.20899527554241</v>
          </cell>
          <cell r="AW22">
            <v>955.16284960774328</v>
          </cell>
          <cell r="AX22">
            <v>892.29361134567671</v>
          </cell>
          <cell r="AY22">
            <v>874.7730604377997</v>
          </cell>
          <cell r="AZ22">
            <v>873.49026136553368</v>
          </cell>
          <cell r="BA22">
            <v>865.1033831757087</v>
          </cell>
        </row>
      </sheetData>
      <sheetData sheetId="3">
        <row r="31">
          <cell r="R31">
            <v>0.35018715403573236</v>
          </cell>
          <cell r="S31">
            <v>0.34618932931073237</v>
          </cell>
          <cell r="T31">
            <v>0.33470372787073238</v>
          </cell>
          <cell r="U31">
            <v>0.32545157602365438</v>
          </cell>
          <cell r="V31">
            <v>0.32473072618099996</v>
          </cell>
          <cell r="W31">
            <v>0.31977634497099999</v>
          </cell>
          <cell r="AV31">
            <v>1891.6323163966058</v>
          </cell>
          <cell r="AW31">
            <v>1862.8937565012059</v>
          </cell>
          <cell r="AX31">
            <v>1823.9655395112056</v>
          </cell>
          <cell r="AY31">
            <v>1796.84941211518</v>
          </cell>
          <cell r="AZ31">
            <v>1772.9364755690999</v>
          </cell>
          <cell r="BA31">
            <v>1743.6753481691001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How to Use this Report"/>
      <sheetName val="Energy Savings"/>
      <sheetName val="Demand Savings"/>
    </sheetNames>
    <sheetDataSet>
      <sheetData sheetId="0"/>
      <sheetData sheetId="1"/>
      <sheetData sheetId="2">
        <row r="33">
          <cell r="F33">
            <v>3000226</v>
          </cell>
          <cell r="G33">
            <v>2979232</v>
          </cell>
          <cell r="H33">
            <v>2730378</v>
          </cell>
          <cell r="I33">
            <v>2672644</v>
          </cell>
          <cell r="J33">
            <v>2600462</v>
          </cell>
          <cell r="K33">
            <v>2598020</v>
          </cell>
        </row>
      </sheetData>
      <sheetData sheetId="3">
        <row r="33">
          <cell r="F33">
            <v>475</v>
          </cell>
          <cell r="G33">
            <v>471</v>
          </cell>
          <cell r="H33">
            <v>431</v>
          </cell>
          <cell r="I33">
            <v>413</v>
          </cell>
          <cell r="J33">
            <v>397</v>
          </cell>
          <cell r="K33">
            <v>397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C29" sqref="C29"/>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650" t="s">
        <v>340</v>
      </c>
      <c r="C3" s="650"/>
    </row>
    <row r="4" spans="1:3" ht="21" customHeight="1" x14ac:dyDescent="0.25"/>
    <row r="5" spans="1:3" s="73" customFormat="1" ht="25.5" customHeight="1" x14ac:dyDescent="0.2">
      <c r="B5" s="436" t="s">
        <v>374</v>
      </c>
      <c r="C5" s="436" t="s">
        <v>339</v>
      </c>
    </row>
    <row r="6" spans="1:3" s="80" customFormat="1" ht="32.25" customHeight="1" x14ac:dyDescent="0.25">
      <c r="A6" s="43"/>
      <c r="B6" s="437" t="s">
        <v>335</v>
      </c>
      <c r="C6" s="438" t="s">
        <v>457</v>
      </c>
    </row>
    <row r="7" spans="1:3" s="80" customFormat="1" ht="9.75" customHeight="1" x14ac:dyDescent="0.25">
      <c r="B7" s="91"/>
      <c r="C7" s="93"/>
    </row>
    <row r="8" spans="1:3" s="80" customFormat="1" x14ac:dyDescent="0.25">
      <c r="B8" s="294" t="s">
        <v>330</v>
      </c>
      <c r="C8" s="93" t="s">
        <v>346</v>
      </c>
    </row>
    <row r="9" spans="1:3" s="80" customFormat="1" ht="14.25" x14ac:dyDescent="0.25">
      <c r="B9" s="91"/>
      <c r="C9" s="93"/>
    </row>
    <row r="10" spans="1:3" s="80" customFormat="1" x14ac:dyDescent="0.25">
      <c r="B10" s="294" t="s">
        <v>331</v>
      </c>
      <c r="C10" s="93" t="s">
        <v>348</v>
      </c>
    </row>
    <row r="11" spans="1:3" s="80" customFormat="1" ht="14.25" x14ac:dyDescent="0.25">
      <c r="B11" s="91"/>
      <c r="C11" s="93"/>
    </row>
    <row r="12" spans="1:3" s="80" customFormat="1" ht="30" customHeight="1" x14ac:dyDescent="0.25">
      <c r="B12" s="294" t="s">
        <v>332</v>
      </c>
      <c r="C12" s="431" t="s">
        <v>458</v>
      </c>
    </row>
    <row r="13" spans="1:3" s="80" customFormat="1" ht="14.25" x14ac:dyDescent="0.25">
      <c r="B13" s="91"/>
      <c r="C13" s="93"/>
    </row>
    <row r="14" spans="1:3" s="80" customFormat="1" x14ac:dyDescent="0.25">
      <c r="B14" s="294" t="s">
        <v>499</v>
      </c>
      <c r="C14" s="93" t="s">
        <v>478</v>
      </c>
    </row>
    <row r="15" spans="1:3" s="80" customFormat="1" hidden="1" x14ac:dyDescent="0.25">
      <c r="B15" s="294" t="s">
        <v>466</v>
      </c>
      <c r="C15" s="93" t="s">
        <v>479</v>
      </c>
    </row>
    <row r="16" spans="1:3" s="80" customFormat="1" ht="14.25" hidden="1" x14ac:dyDescent="0.25">
      <c r="B16" s="91"/>
      <c r="C16" s="93"/>
    </row>
    <row r="17" spans="2:8" s="80" customFormat="1" hidden="1" x14ac:dyDescent="0.25">
      <c r="B17" s="294" t="s">
        <v>467</v>
      </c>
      <c r="C17" s="93" t="s">
        <v>480</v>
      </c>
    </row>
    <row r="18" spans="2:8" s="80" customFormat="1" ht="14.25" hidden="1" x14ac:dyDescent="0.25">
      <c r="B18" s="91"/>
      <c r="C18" s="93"/>
    </row>
    <row r="19" spans="2:8" s="80" customFormat="1" hidden="1" x14ac:dyDescent="0.25">
      <c r="B19" s="294" t="s">
        <v>468</v>
      </c>
      <c r="C19" s="93" t="s">
        <v>481</v>
      </c>
      <c r="E19" s="651" t="s">
        <v>463</v>
      </c>
      <c r="F19" s="651"/>
      <c r="G19" s="651"/>
      <c r="H19" s="651"/>
    </row>
    <row r="20" spans="2:8" s="80" customFormat="1" ht="14.25" hidden="1" x14ac:dyDescent="0.25">
      <c r="B20" s="91"/>
      <c r="C20" s="93"/>
      <c r="E20" s="651"/>
      <c r="F20" s="651"/>
      <c r="G20" s="651"/>
      <c r="H20" s="651"/>
    </row>
    <row r="21" spans="2:8" s="80" customFormat="1" hidden="1" x14ac:dyDescent="0.25">
      <c r="B21" s="294" t="s">
        <v>469</v>
      </c>
      <c r="C21" s="93" t="s">
        <v>482</v>
      </c>
      <c r="E21" s="651"/>
      <c r="F21" s="651"/>
      <c r="G21" s="651"/>
      <c r="H21" s="651"/>
    </row>
    <row r="22" spans="2:8" s="80" customFormat="1" ht="14.25" hidden="1" x14ac:dyDescent="0.25">
      <c r="B22" s="91"/>
      <c r="C22" s="93"/>
    </row>
    <row r="23" spans="2:8" s="80" customFormat="1" hidden="1" x14ac:dyDescent="0.25">
      <c r="B23" s="294" t="s">
        <v>470</v>
      </c>
      <c r="C23" s="93" t="s">
        <v>483</v>
      </c>
    </row>
    <row r="24" spans="2:8" s="80" customFormat="1" ht="14.25" x14ac:dyDescent="0.25">
      <c r="B24" s="91"/>
      <c r="C24" s="93"/>
    </row>
    <row r="25" spans="2:8" s="80" customFormat="1" x14ac:dyDescent="0.25">
      <c r="B25" s="294" t="s">
        <v>465</v>
      </c>
      <c r="C25" s="431" t="s">
        <v>487</v>
      </c>
    </row>
    <row r="26" spans="2:8" s="80" customFormat="1" ht="14.25" x14ac:dyDescent="0.25">
      <c r="B26" s="294"/>
      <c r="C26" s="431"/>
    </row>
    <row r="27" spans="2:8" s="80" customFormat="1" x14ac:dyDescent="0.25">
      <c r="B27" s="294" t="s">
        <v>333</v>
      </c>
      <c r="C27" s="93" t="s">
        <v>361</v>
      </c>
    </row>
    <row r="28" spans="2:8" s="80" customFormat="1" ht="14.25" x14ac:dyDescent="0.25">
      <c r="B28" s="92"/>
      <c r="C28" s="92"/>
    </row>
    <row r="29" spans="2:8" s="81" customFormat="1" x14ac:dyDescent="0.25">
      <c r="B29" s="206"/>
    </row>
    <row r="30" spans="2:8" s="81" customFormat="1" x14ac:dyDescent="0.25">
      <c r="B30" s="153"/>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747" t="s">
        <v>280</v>
      </c>
      <c r="C2" s="747"/>
      <c r="D2" s="747"/>
      <c r="E2" s="747"/>
      <c r="F2" s="747"/>
      <c r="G2" s="747"/>
      <c r="H2" s="747"/>
      <c r="I2" s="747"/>
      <c r="J2" s="747"/>
      <c r="K2" s="747"/>
      <c r="L2" s="747"/>
      <c r="M2" s="747"/>
      <c r="N2" s="747"/>
      <c r="O2" s="747"/>
      <c r="P2" s="747"/>
    </row>
    <row r="3" spans="1:18" ht="18.75" outlineLevel="1" x14ac:dyDescent="0.3">
      <c r="B3" s="414"/>
      <c r="C3" s="415"/>
      <c r="D3" s="415"/>
      <c r="E3" s="415"/>
      <c r="F3" s="415"/>
      <c r="G3" s="415"/>
      <c r="H3" s="415"/>
      <c r="I3" s="415"/>
      <c r="J3" s="415"/>
      <c r="K3" s="415"/>
      <c r="L3" s="415"/>
      <c r="M3" s="415"/>
      <c r="N3" s="415"/>
      <c r="O3" s="415"/>
      <c r="P3" s="415"/>
    </row>
    <row r="4" spans="1:18" ht="35.25" customHeight="1" outlineLevel="1" x14ac:dyDescent="0.3">
      <c r="A4" s="65"/>
      <c r="B4" s="414"/>
      <c r="C4" s="354" t="s">
        <v>399</v>
      </c>
      <c r="D4" s="415"/>
      <c r="E4" s="746" t="s">
        <v>362</v>
      </c>
      <c r="F4" s="746"/>
      <c r="G4" s="746"/>
      <c r="H4" s="746"/>
      <c r="I4" s="746"/>
      <c r="J4" s="746"/>
      <c r="K4" s="746"/>
      <c r="L4" s="746"/>
      <c r="M4" s="746"/>
      <c r="N4" s="746"/>
      <c r="O4" s="746"/>
      <c r="P4" s="746"/>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16"/>
      <c r="D8" s="415"/>
      <c r="E8" s="357"/>
      <c r="F8" s="415"/>
      <c r="G8" s="415"/>
      <c r="H8" s="415"/>
      <c r="I8" s="415"/>
      <c r="J8" s="415"/>
      <c r="K8" s="415"/>
      <c r="L8" s="415"/>
      <c r="M8" s="415"/>
      <c r="N8" s="415"/>
      <c r="O8" s="415"/>
      <c r="P8" s="415"/>
    </row>
    <row r="9" spans="1:18" ht="18.75" customHeight="1" outlineLevel="1" x14ac:dyDescent="0.3">
      <c r="B9" s="414"/>
      <c r="C9" s="229" t="s">
        <v>337</v>
      </c>
      <c r="D9" s="414"/>
      <c r="E9" s="727" t="s">
        <v>363</v>
      </c>
      <c r="F9" s="727"/>
      <c r="G9" s="414"/>
      <c r="H9" s="414"/>
      <c r="I9" s="414"/>
      <c r="J9" s="414"/>
      <c r="K9" s="414"/>
      <c r="L9" s="414"/>
      <c r="M9" s="414"/>
      <c r="N9" s="414"/>
      <c r="O9" s="414"/>
      <c r="P9" s="414"/>
      <c r="R9" s="82"/>
    </row>
    <row r="10" spans="1:18" ht="18.75" customHeight="1" outlineLevel="1" x14ac:dyDescent="0.3">
      <c r="B10" s="414"/>
      <c r="C10" s="414"/>
      <c r="D10" s="414"/>
      <c r="E10" s="662" t="s">
        <v>338</v>
      </c>
      <c r="F10" s="662"/>
      <c r="G10" s="414"/>
      <c r="H10" s="414"/>
      <c r="I10" s="414"/>
      <c r="J10" s="414"/>
      <c r="K10" s="414"/>
      <c r="L10" s="414"/>
      <c r="M10" s="414"/>
      <c r="N10" s="414"/>
      <c r="O10" s="414"/>
      <c r="P10" s="414"/>
    </row>
    <row r="11" spans="1:18" ht="18.75" customHeight="1" x14ac:dyDescent="0.3">
      <c r="B11" s="414"/>
      <c r="C11" s="414"/>
      <c r="D11" s="414"/>
      <c r="E11" s="135"/>
      <c r="G11" s="414"/>
      <c r="H11" s="414"/>
      <c r="I11" s="414"/>
      <c r="J11" s="414"/>
      <c r="K11" s="414"/>
      <c r="L11" s="414"/>
      <c r="M11" s="414"/>
      <c r="N11" s="414"/>
      <c r="O11" s="414"/>
      <c r="P11" s="414"/>
    </row>
    <row r="12" spans="1:18" x14ac:dyDescent="0.25">
      <c r="A12" s="48"/>
      <c r="B12" s="417" t="s">
        <v>475</v>
      </c>
      <c r="C12" s="418"/>
      <c r="D12" s="419"/>
      <c r="E12" s="419"/>
    </row>
    <row r="13" spans="1:18" ht="45" x14ac:dyDescent="0.25">
      <c r="B13" s="730" t="s">
        <v>58</v>
      </c>
      <c r="C13" s="732" t="s">
        <v>0</v>
      </c>
      <c r="D13" s="732" t="s">
        <v>44</v>
      </c>
      <c r="E13" s="732" t="s">
        <v>206</v>
      </c>
      <c r="F13" s="232" t="s">
        <v>203</v>
      </c>
      <c r="G13" s="232" t="s">
        <v>45</v>
      </c>
      <c r="H13" s="734" t="s">
        <v>59</v>
      </c>
      <c r="I13" s="734"/>
      <c r="J13" s="734"/>
      <c r="K13" s="734"/>
      <c r="L13" s="734"/>
      <c r="M13" s="734"/>
      <c r="N13" s="734"/>
      <c r="O13" s="734"/>
      <c r="P13" s="735"/>
    </row>
    <row r="14" spans="1:18" ht="60" x14ac:dyDescent="0.25">
      <c r="B14" s="731"/>
      <c r="C14" s="733"/>
      <c r="D14" s="733"/>
      <c r="E14" s="733"/>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38" t="s">
        <v>142</v>
      </c>
      <c r="C15" s="739"/>
      <c r="D15" s="739"/>
      <c r="E15" s="739"/>
      <c r="F15" s="739"/>
      <c r="G15" s="739"/>
      <c r="H15" s="739"/>
      <c r="I15" s="739"/>
      <c r="J15" s="739"/>
      <c r="K15" s="739"/>
      <c r="L15" s="739"/>
      <c r="M15" s="739"/>
      <c r="N15" s="739"/>
      <c r="O15" s="739"/>
      <c r="P15" s="740"/>
    </row>
    <row r="16" spans="1:18" ht="26.25" customHeight="1" x14ac:dyDescent="0.25">
      <c r="A16" s="50"/>
      <c r="B16" s="741" t="s">
        <v>143</v>
      </c>
      <c r="C16" s="742"/>
      <c r="D16" s="742"/>
      <c r="E16" s="742"/>
      <c r="F16" s="742"/>
      <c r="G16" s="742"/>
      <c r="H16" s="742"/>
      <c r="I16" s="742"/>
      <c r="J16" s="742"/>
      <c r="K16" s="742"/>
      <c r="L16" s="742"/>
      <c r="M16" s="742"/>
      <c r="N16" s="742"/>
      <c r="O16" s="742"/>
      <c r="P16" s="743"/>
    </row>
    <row r="17" spans="1:16" x14ac:dyDescent="0.25">
      <c r="A17" s="50"/>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7"/>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50"/>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50"/>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50"/>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50"/>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50"/>
      <c r="B23" s="405" t="s">
        <v>281</v>
      </c>
      <c r="C23" s="388"/>
      <c r="D23" s="247" t="s">
        <v>254</v>
      </c>
      <c r="E23" s="391"/>
      <c r="F23" s="290"/>
      <c r="G23" s="290"/>
      <c r="H23" s="400"/>
      <c r="I23" s="390"/>
      <c r="J23" s="390"/>
      <c r="K23" s="390"/>
      <c r="L23" s="390"/>
      <c r="M23" s="390"/>
      <c r="N23" s="390"/>
      <c r="O23" s="390"/>
      <c r="P23" s="404">
        <f t="shared" si="0"/>
        <v>0</v>
      </c>
    </row>
    <row r="24" spans="1:16" x14ac:dyDescent="0.25">
      <c r="A24" s="50"/>
      <c r="B24" s="403"/>
      <c r="C24" s="388"/>
      <c r="D24" s="247"/>
      <c r="E24" s="391"/>
      <c r="F24" s="290"/>
      <c r="G24" s="290"/>
      <c r="H24" s="400"/>
      <c r="I24" s="390"/>
      <c r="J24" s="390"/>
      <c r="K24" s="390"/>
      <c r="L24" s="390"/>
      <c r="M24" s="390"/>
      <c r="N24" s="390"/>
      <c r="O24" s="390"/>
      <c r="P24" s="404">
        <f t="shared" si="0"/>
        <v>0</v>
      </c>
    </row>
    <row r="25" spans="1:16" x14ac:dyDescent="0.25">
      <c r="A25" s="50"/>
      <c r="B25" s="403"/>
      <c r="C25" s="388"/>
      <c r="D25" s="247"/>
      <c r="E25" s="391"/>
      <c r="F25" s="290"/>
      <c r="G25" s="290"/>
      <c r="H25" s="400"/>
      <c r="I25" s="390"/>
      <c r="J25" s="390"/>
      <c r="K25" s="390"/>
      <c r="L25" s="390"/>
      <c r="M25" s="390"/>
      <c r="N25" s="390"/>
      <c r="O25" s="390"/>
      <c r="P25" s="404">
        <f t="shared" si="0"/>
        <v>0</v>
      </c>
    </row>
    <row r="26" spans="1:16" x14ac:dyDescent="0.25">
      <c r="A26" s="50"/>
      <c r="B26" s="403"/>
      <c r="C26" s="388"/>
      <c r="D26" s="247"/>
      <c r="E26" s="391"/>
      <c r="F26" s="290"/>
      <c r="G26" s="290"/>
      <c r="H26" s="400"/>
      <c r="I26" s="390"/>
      <c r="J26" s="390"/>
      <c r="K26" s="390"/>
      <c r="L26" s="390"/>
      <c r="M26" s="390"/>
      <c r="N26" s="390"/>
      <c r="O26" s="390"/>
      <c r="P26" s="404">
        <f t="shared" si="0"/>
        <v>0</v>
      </c>
    </row>
    <row r="27" spans="1:16" ht="25.5" customHeight="1" x14ac:dyDescent="0.25">
      <c r="A27" s="50"/>
      <c r="B27" s="741" t="s">
        <v>150</v>
      </c>
      <c r="C27" s="742"/>
      <c r="D27" s="742"/>
      <c r="E27" s="742"/>
      <c r="F27" s="742"/>
      <c r="G27" s="742"/>
      <c r="H27" s="742"/>
      <c r="I27" s="742"/>
      <c r="J27" s="742"/>
      <c r="K27" s="742"/>
      <c r="L27" s="742"/>
      <c r="M27" s="742"/>
      <c r="N27" s="742"/>
      <c r="O27" s="742"/>
      <c r="P27" s="743"/>
    </row>
    <row r="28" spans="1:16" x14ac:dyDescent="0.25">
      <c r="A28" s="50"/>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50"/>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50"/>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50"/>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50"/>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50"/>
      <c r="B33" s="405" t="s">
        <v>281</v>
      </c>
      <c r="C33" s="388"/>
      <c r="D33" s="247" t="s">
        <v>254</v>
      </c>
      <c r="E33" s="391"/>
      <c r="F33" s="290"/>
      <c r="G33" s="290"/>
      <c r="H33" s="390"/>
      <c r="I33" s="390"/>
      <c r="J33" s="390"/>
      <c r="K33" s="390"/>
      <c r="L33" s="390"/>
      <c r="M33" s="390"/>
      <c r="N33" s="390"/>
      <c r="O33" s="390"/>
      <c r="P33" s="404">
        <f t="shared" si="0"/>
        <v>0</v>
      </c>
    </row>
    <row r="34" spans="1:16" x14ac:dyDescent="0.25">
      <c r="A34" s="50"/>
      <c r="B34" s="403"/>
      <c r="C34" s="388"/>
      <c r="D34" s="247"/>
      <c r="E34" s="391"/>
      <c r="F34" s="290"/>
      <c r="G34" s="290"/>
      <c r="H34" s="390"/>
      <c r="I34" s="390"/>
      <c r="J34" s="390"/>
      <c r="K34" s="390"/>
      <c r="L34" s="390"/>
      <c r="M34" s="390"/>
      <c r="N34" s="390"/>
      <c r="O34" s="390"/>
      <c r="P34" s="404">
        <f t="shared" si="0"/>
        <v>0</v>
      </c>
    </row>
    <row r="35" spans="1:16" x14ac:dyDescent="0.25">
      <c r="A35" s="50"/>
      <c r="B35" s="403"/>
      <c r="C35" s="388"/>
      <c r="D35" s="247"/>
      <c r="E35" s="391"/>
      <c r="F35" s="290"/>
      <c r="G35" s="290"/>
      <c r="H35" s="390"/>
      <c r="I35" s="390"/>
      <c r="J35" s="390"/>
      <c r="K35" s="390"/>
      <c r="L35" s="390"/>
      <c r="M35" s="390"/>
      <c r="N35" s="390"/>
      <c r="O35" s="390"/>
      <c r="P35" s="404">
        <f t="shared" si="0"/>
        <v>0</v>
      </c>
    </row>
    <row r="36" spans="1:16" x14ac:dyDescent="0.25">
      <c r="A36" s="50"/>
      <c r="B36" s="403"/>
      <c r="C36" s="388"/>
      <c r="D36" s="247"/>
      <c r="E36" s="391"/>
      <c r="F36" s="290"/>
      <c r="G36" s="290"/>
      <c r="H36" s="390"/>
      <c r="I36" s="390"/>
      <c r="J36" s="390"/>
      <c r="K36" s="390"/>
      <c r="L36" s="390"/>
      <c r="M36" s="390"/>
      <c r="N36" s="390"/>
      <c r="O36" s="390"/>
      <c r="P36" s="404">
        <f t="shared" si="0"/>
        <v>0</v>
      </c>
    </row>
    <row r="37" spans="1:16" ht="26.25" customHeight="1" x14ac:dyDescent="0.25">
      <c r="A37" s="50"/>
      <c r="B37" s="741" t="s">
        <v>11</v>
      </c>
      <c r="C37" s="742"/>
      <c r="D37" s="742"/>
      <c r="E37" s="742"/>
      <c r="F37" s="742"/>
      <c r="G37" s="742"/>
      <c r="H37" s="742"/>
      <c r="I37" s="742"/>
      <c r="J37" s="742"/>
      <c r="K37" s="742"/>
      <c r="L37" s="742"/>
      <c r="M37" s="742"/>
      <c r="N37" s="742"/>
      <c r="O37" s="742"/>
      <c r="P37" s="743"/>
    </row>
    <row r="38" spans="1:16" ht="28.5" x14ac:dyDescent="0.25">
      <c r="A38" s="50"/>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50"/>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50"/>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50"/>
      <c r="B41" s="405" t="s">
        <v>281</v>
      </c>
      <c r="C41" s="388"/>
      <c r="D41" s="247" t="s">
        <v>254</v>
      </c>
      <c r="E41" s="391"/>
      <c r="F41" s="290"/>
      <c r="G41" s="290"/>
      <c r="H41" s="390"/>
      <c r="I41" s="390"/>
      <c r="J41" s="390"/>
      <c r="K41" s="390"/>
      <c r="L41" s="390"/>
      <c r="M41" s="390"/>
      <c r="N41" s="390"/>
      <c r="O41" s="390"/>
      <c r="P41" s="404">
        <f t="shared" si="0"/>
        <v>0</v>
      </c>
    </row>
    <row r="42" spans="1:16" x14ac:dyDescent="0.25">
      <c r="A42" s="50"/>
      <c r="B42" s="403"/>
      <c r="C42" s="388"/>
      <c r="D42" s="247"/>
      <c r="E42" s="391"/>
      <c r="F42" s="290"/>
      <c r="G42" s="290"/>
      <c r="H42" s="390"/>
      <c r="I42" s="390"/>
      <c r="J42" s="390"/>
      <c r="K42" s="390"/>
      <c r="L42" s="390"/>
      <c r="M42" s="390"/>
      <c r="N42" s="390"/>
      <c r="O42" s="390"/>
      <c r="P42" s="404">
        <f t="shared" si="0"/>
        <v>0</v>
      </c>
    </row>
    <row r="43" spans="1:16" x14ac:dyDescent="0.25">
      <c r="A43" s="50"/>
      <c r="B43" s="403"/>
      <c r="C43" s="388"/>
      <c r="D43" s="247"/>
      <c r="E43" s="391"/>
      <c r="F43" s="290"/>
      <c r="G43" s="290"/>
      <c r="H43" s="390"/>
      <c r="I43" s="390"/>
      <c r="J43" s="390"/>
      <c r="K43" s="390"/>
      <c r="L43" s="390"/>
      <c r="M43" s="390"/>
      <c r="N43" s="390"/>
      <c r="O43" s="390"/>
      <c r="P43" s="404">
        <f t="shared" si="0"/>
        <v>0</v>
      </c>
    </row>
    <row r="44" spans="1:16" x14ac:dyDescent="0.25">
      <c r="A44" s="50"/>
      <c r="B44" s="403"/>
      <c r="C44" s="388"/>
      <c r="D44" s="247"/>
      <c r="E44" s="391"/>
      <c r="F44" s="290"/>
      <c r="G44" s="290"/>
      <c r="H44" s="390"/>
      <c r="I44" s="390"/>
      <c r="J44" s="390"/>
      <c r="K44" s="390"/>
      <c r="L44" s="390"/>
      <c r="M44" s="390"/>
      <c r="N44" s="390"/>
      <c r="O44" s="390"/>
      <c r="P44" s="404">
        <f t="shared" si="0"/>
        <v>0</v>
      </c>
    </row>
    <row r="45" spans="1:16" ht="24" customHeight="1" x14ac:dyDescent="0.25">
      <c r="A45" s="50"/>
      <c r="B45" s="741" t="s">
        <v>159</v>
      </c>
      <c r="C45" s="742"/>
      <c r="D45" s="742"/>
      <c r="E45" s="742"/>
      <c r="F45" s="742"/>
      <c r="G45" s="742"/>
      <c r="H45" s="742"/>
      <c r="I45" s="742"/>
      <c r="J45" s="742"/>
      <c r="K45" s="742"/>
      <c r="L45" s="742"/>
      <c r="M45" s="742"/>
      <c r="N45" s="742"/>
      <c r="O45" s="742"/>
      <c r="P45" s="743"/>
    </row>
    <row r="46" spans="1:16" x14ac:dyDescent="0.25">
      <c r="A46" s="50"/>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50"/>
      <c r="B47" s="405" t="s">
        <v>281</v>
      </c>
      <c r="C47" s="388"/>
      <c r="D47" s="247" t="s">
        <v>254</v>
      </c>
      <c r="E47" s="391"/>
      <c r="F47" s="290"/>
      <c r="G47" s="290"/>
      <c r="H47" s="400"/>
      <c r="I47" s="390"/>
      <c r="J47" s="390"/>
      <c r="K47" s="390"/>
      <c r="L47" s="390"/>
      <c r="M47" s="390"/>
      <c r="N47" s="390"/>
      <c r="O47" s="390"/>
      <c r="P47" s="404">
        <f t="shared" si="0"/>
        <v>0</v>
      </c>
    </row>
    <row r="48" spans="1:16" x14ac:dyDescent="0.25">
      <c r="A48" s="50"/>
      <c r="B48" s="403"/>
      <c r="C48" s="388"/>
      <c r="D48" s="247"/>
      <c r="E48" s="391"/>
      <c r="F48" s="290"/>
      <c r="G48" s="290"/>
      <c r="H48" s="400"/>
      <c r="I48" s="390"/>
      <c r="J48" s="390"/>
      <c r="K48" s="390"/>
      <c r="L48" s="390"/>
      <c r="M48" s="390"/>
      <c r="N48" s="390"/>
      <c r="O48" s="390"/>
      <c r="P48" s="404">
        <f t="shared" si="0"/>
        <v>0</v>
      </c>
    </row>
    <row r="49" spans="1:16" x14ac:dyDescent="0.25">
      <c r="A49" s="50"/>
      <c r="B49" s="403"/>
      <c r="C49" s="388"/>
      <c r="D49" s="247"/>
      <c r="E49" s="391"/>
      <c r="F49" s="290"/>
      <c r="G49" s="290"/>
      <c r="H49" s="400"/>
      <c r="I49" s="390"/>
      <c r="J49" s="390"/>
      <c r="K49" s="390"/>
      <c r="L49" s="390"/>
      <c r="M49" s="390"/>
      <c r="N49" s="390"/>
      <c r="O49" s="390"/>
      <c r="P49" s="404"/>
    </row>
    <row r="50" spans="1:16" x14ac:dyDescent="0.25">
      <c r="A50" s="50"/>
      <c r="B50" s="403"/>
      <c r="C50" s="388"/>
      <c r="D50" s="247"/>
      <c r="E50" s="391"/>
      <c r="F50" s="290"/>
      <c r="G50" s="290"/>
      <c r="H50" s="400"/>
      <c r="I50" s="390"/>
      <c r="J50" s="390"/>
      <c r="K50" s="390"/>
      <c r="L50" s="390"/>
      <c r="M50" s="390"/>
      <c r="N50" s="390"/>
      <c r="O50" s="390"/>
      <c r="P50" s="404">
        <f t="shared" si="0"/>
        <v>0</v>
      </c>
    </row>
    <row r="51" spans="1:16" ht="21" customHeight="1" x14ac:dyDescent="0.25">
      <c r="A51" s="48"/>
      <c r="B51" s="741" t="s">
        <v>161</v>
      </c>
      <c r="C51" s="742"/>
      <c r="D51" s="742"/>
      <c r="E51" s="742"/>
      <c r="F51" s="742"/>
      <c r="G51" s="742"/>
      <c r="H51" s="742"/>
      <c r="I51" s="742"/>
      <c r="J51" s="742"/>
      <c r="K51" s="742"/>
      <c r="L51" s="742"/>
      <c r="M51" s="742"/>
      <c r="N51" s="742"/>
      <c r="O51" s="742"/>
      <c r="P51" s="743"/>
    </row>
    <row r="52" spans="1:16" x14ac:dyDescent="0.25">
      <c r="A52" s="50"/>
      <c r="B52" s="403">
        <v>16</v>
      </c>
      <c r="C52" s="388" t="s">
        <v>162</v>
      </c>
      <c r="D52" s="247" t="s">
        <v>33</v>
      </c>
      <c r="E52" s="391"/>
      <c r="F52" s="290"/>
      <c r="G52" s="290"/>
      <c r="H52" s="390"/>
      <c r="I52" s="390"/>
      <c r="J52" s="390"/>
      <c r="K52" s="390"/>
      <c r="L52" s="390"/>
      <c r="M52" s="390"/>
      <c r="N52" s="390"/>
      <c r="O52" s="390"/>
      <c r="P52" s="404">
        <f t="shared" si="0"/>
        <v>0</v>
      </c>
    </row>
    <row r="53" spans="1:16" x14ac:dyDescent="0.25">
      <c r="A53" s="50"/>
      <c r="B53" s="403">
        <v>17</v>
      </c>
      <c r="C53" s="388" t="s">
        <v>163</v>
      </c>
      <c r="D53" s="247" t="s">
        <v>33</v>
      </c>
      <c r="E53" s="391"/>
      <c r="F53" s="290"/>
      <c r="G53" s="290"/>
      <c r="H53" s="390"/>
      <c r="I53" s="390"/>
      <c r="J53" s="390"/>
      <c r="K53" s="390"/>
      <c r="L53" s="390"/>
      <c r="M53" s="390"/>
      <c r="N53" s="390"/>
      <c r="O53" s="390"/>
      <c r="P53" s="404">
        <f t="shared" si="0"/>
        <v>0</v>
      </c>
    </row>
    <row r="54" spans="1:16" x14ac:dyDescent="0.25">
      <c r="A54" s="50"/>
      <c r="B54" s="403">
        <v>18</v>
      </c>
      <c r="C54" s="388" t="s">
        <v>164</v>
      </c>
      <c r="D54" s="247" t="s">
        <v>33</v>
      </c>
      <c r="E54" s="391"/>
      <c r="F54" s="290"/>
      <c r="G54" s="290"/>
      <c r="H54" s="390"/>
      <c r="I54" s="390"/>
      <c r="J54" s="390"/>
      <c r="K54" s="390"/>
      <c r="L54" s="390"/>
      <c r="M54" s="390"/>
      <c r="N54" s="390"/>
      <c r="O54" s="390"/>
      <c r="P54" s="404">
        <f t="shared" si="0"/>
        <v>0</v>
      </c>
    </row>
    <row r="55" spans="1:16" x14ac:dyDescent="0.25">
      <c r="A55" s="50"/>
      <c r="B55" s="403">
        <v>19</v>
      </c>
      <c r="C55" s="388" t="s">
        <v>165</v>
      </c>
      <c r="D55" s="247" t="s">
        <v>33</v>
      </c>
      <c r="E55" s="391"/>
      <c r="F55" s="290"/>
      <c r="G55" s="290"/>
      <c r="H55" s="390"/>
      <c r="I55" s="390"/>
      <c r="J55" s="390"/>
      <c r="K55" s="390"/>
      <c r="L55" s="390"/>
      <c r="M55" s="390"/>
      <c r="N55" s="390"/>
      <c r="O55" s="390"/>
      <c r="P55" s="404">
        <f t="shared" si="0"/>
        <v>0</v>
      </c>
    </row>
    <row r="56" spans="1:16" x14ac:dyDescent="0.25">
      <c r="A56" s="50"/>
      <c r="B56" s="405" t="s">
        <v>281</v>
      </c>
      <c r="C56" s="388"/>
      <c r="D56" s="247" t="s">
        <v>254</v>
      </c>
      <c r="E56" s="391"/>
      <c r="F56" s="290"/>
      <c r="G56" s="290"/>
      <c r="H56" s="390"/>
      <c r="I56" s="390"/>
      <c r="J56" s="390"/>
      <c r="K56" s="390"/>
      <c r="L56" s="390"/>
      <c r="M56" s="390"/>
      <c r="N56" s="390"/>
      <c r="O56" s="390"/>
      <c r="P56" s="404">
        <f t="shared" si="0"/>
        <v>0</v>
      </c>
    </row>
    <row r="57" spans="1:16" x14ac:dyDescent="0.25">
      <c r="A57" s="50"/>
      <c r="B57" s="405"/>
      <c r="C57" s="388"/>
      <c r="D57" s="247"/>
      <c r="E57" s="391"/>
      <c r="F57" s="290"/>
      <c r="G57" s="290"/>
      <c r="H57" s="390"/>
      <c r="I57" s="390"/>
      <c r="J57" s="390"/>
      <c r="K57" s="390"/>
      <c r="L57" s="390"/>
      <c r="M57" s="390"/>
      <c r="N57" s="390"/>
      <c r="O57" s="390"/>
      <c r="P57" s="404"/>
    </row>
    <row r="58" spans="1:16" x14ac:dyDescent="0.25">
      <c r="A58" s="50"/>
      <c r="B58" s="405"/>
      <c r="C58" s="388"/>
      <c r="D58" s="247"/>
      <c r="E58" s="391"/>
      <c r="F58" s="290"/>
      <c r="G58" s="290"/>
      <c r="H58" s="390"/>
      <c r="I58" s="390"/>
      <c r="J58" s="390"/>
      <c r="K58" s="390"/>
      <c r="L58" s="390"/>
      <c r="M58" s="390"/>
      <c r="N58" s="390"/>
      <c r="O58" s="390"/>
      <c r="P58" s="404"/>
    </row>
    <row r="59" spans="1:16" x14ac:dyDescent="0.25">
      <c r="A59" s="48"/>
      <c r="B59" s="406"/>
      <c r="C59" s="392"/>
      <c r="D59" s="393"/>
      <c r="E59" s="393"/>
      <c r="F59" s="290"/>
      <c r="G59" s="290"/>
      <c r="H59" s="394"/>
      <c r="I59" s="394"/>
      <c r="J59" s="394"/>
      <c r="K59" s="394"/>
      <c r="L59" s="394"/>
      <c r="M59" s="394"/>
      <c r="N59" s="394"/>
      <c r="O59" s="394"/>
      <c r="P59" s="404"/>
    </row>
    <row r="60" spans="1:16" ht="27" customHeight="1" x14ac:dyDescent="0.25">
      <c r="B60" s="738" t="s">
        <v>166</v>
      </c>
      <c r="C60" s="739"/>
      <c r="D60" s="739"/>
      <c r="E60" s="739"/>
      <c r="F60" s="739"/>
      <c r="G60" s="739"/>
      <c r="H60" s="739"/>
      <c r="I60" s="739"/>
      <c r="J60" s="739"/>
      <c r="K60" s="739"/>
      <c r="L60" s="739"/>
      <c r="M60" s="739"/>
      <c r="N60" s="739"/>
      <c r="O60" s="739"/>
      <c r="P60" s="740"/>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50"/>
      <c r="B62" s="744" t="s">
        <v>167</v>
      </c>
      <c r="C62" s="711"/>
      <c r="D62" s="711"/>
      <c r="E62" s="711"/>
      <c r="F62" s="711"/>
      <c r="G62" s="711"/>
      <c r="H62" s="711"/>
      <c r="I62" s="711"/>
      <c r="J62" s="711"/>
      <c r="K62" s="711"/>
      <c r="L62" s="711"/>
      <c r="M62" s="711"/>
      <c r="N62" s="711"/>
      <c r="O62" s="711"/>
      <c r="P62" s="745"/>
    </row>
    <row r="63" spans="1:16" x14ac:dyDescent="0.25">
      <c r="A63" s="50"/>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50"/>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50"/>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50"/>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50"/>
      <c r="B67" s="405" t="s">
        <v>281</v>
      </c>
      <c r="C67" s="388"/>
      <c r="D67" s="247" t="s">
        <v>254</v>
      </c>
      <c r="E67" s="391"/>
      <c r="F67" s="290"/>
      <c r="G67" s="290"/>
      <c r="H67" s="400"/>
      <c r="I67" s="390"/>
      <c r="J67" s="390"/>
      <c r="K67" s="390"/>
      <c r="L67" s="390"/>
      <c r="M67" s="390"/>
      <c r="N67" s="390"/>
      <c r="O67" s="390"/>
      <c r="P67" s="404"/>
    </row>
    <row r="68" spans="1:16" x14ac:dyDescent="0.25">
      <c r="A68" s="50"/>
      <c r="B68" s="403"/>
      <c r="C68" s="388"/>
      <c r="D68" s="247"/>
      <c r="E68" s="391"/>
      <c r="F68" s="290"/>
      <c r="G68" s="290"/>
      <c r="H68" s="400"/>
      <c r="I68" s="390"/>
      <c r="J68" s="390"/>
      <c r="K68" s="390"/>
      <c r="L68" s="390"/>
      <c r="M68" s="390"/>
      <c r="N68" s="390"/>
      <c r="O68" s="390"/>
      <c r="P68" s="404"/>
    </row>
    <row r="69" spans="1:16" x14ac:dyDescent="0.25">
      <c r="A69" s="50"/>
      <c r="B69" s="403"/>
      <c r="C69" s="388"/>
      <c r="D69" s="247"/>
      <c r="E69" s="391"/>
      <c r="F69" s="290"/>
      <c r="G69" s="290"/>
      <c r="H69" s="400"/>
      <c r="I69" s="390"/>
      <c r="J69" s="390"/>
      <c r="K69" s="390"/>
      <c r="L69" s="390"/>
      <c r="M69" s="390"/>
      <c r="N69" s="390"/>
      <c r="O69" s="390"/>
      <c r="P69" s="404"/>
    </row>
    <row r="70" spans="1:16" x14ac:dyDescent="0.25">
      <c r="A70" s="50"/>
      <c r="B70" s="403"/>
      <c r="C70" s="388"/>
      <c r="D70" s="247"/>
      <c r="E70" s="391"/>
      <c r="F70" s="290"/>
      <c r="G70" s="290"/>
      <c r="H70" s="390"/>
      <c r="I70" s="390"/>
      <c r="J70" s="390"/>
      <c r="K70" s="390"/>
      <c r="L70" s="390"/>
      <c r="M70" s="390"/>
      <c r="N70" s="390"/>
      <c r="O70" s="390"/>
      <c r="P70" s="404">
        <f t="shared" si="0"/>
        <v>0</v>
      </c>
    </row>
    <row r="71" spans="1:16" ht="28.5" customHeight="1" x14ac:dyDescent="0.25">
      <c r="A71" s="50"/>
      <c r="B71" s="744" t="s">
        <v>172</v>
      </c>
      <c r="C71" s="711"/>
      <c r="D71" s="711"/>
      <c r="E71" s="711"/>
      <c r="F71" s="711"/>
      <c r="G71" s="711"/>
      <c r="H71" s="711"/>
      <c r="I71" s="711"/>
      <c r="J71" s="711"/>
      <c r="K71" s="711"/>
      <c r="L71" s="711"/>
      <c r="M71" s="711"/>
      <c r="N71" s="711"/>
      <c r="O71" s="711"/>
      <c r="P71" s="745"/>
    </row>
    <row r="72" spans="1:16" x14ac:dyDescent="0.25">
      <c r="A72" s="50"/>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50"/>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50"/>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50"/>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50"/>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50"/>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50"/>
      <c r="B78" s="403">
        <v>31</v>
      </c>
      <c r="C78" s="388" t="s">
        <v>179</v>
      </c>
      <c r="D78" s="247" t="s">
        <v>33</v>
      </c>
      <c r="E78" s="391"/>
      <c r="F78" s="290"/>
      <c r="G78" s="290"/>
      <c r="H78" s="390"/>
      <c r="I78" s="390"/>
      <c r="J78" s="390"/>
      <c r="K78" s="390"/>
      <c r="L78" s="390"/>
      <c r="M78" s="390"/>
      <c r="N78" s="390"/>
      <c r="O78" s="390"/>
      <c r="P78" s="404">
        <f t="shared" si="0"/>
        <v>0</v>
      </c>
    </row>
    <row r="79" spans="1:16" x14ac:dyDescent="0.25">
      <c r="A79" s="50"/>
      <c r="B79" s="403">
        <v>32</v>
      </c>
      <c r="C79" s="388" t="s">
        <v>180</v>
      </c>
      <c r="D79" s="247" t="s">
        <v>33</v>
      </c>
      <c r="E79" s="391"/>
      <c r="F79" s="290"/>
      <c r="G79" s="290"/>
      <c r="H79" s="390"/>
      <c r="I79" s="390"/>
      <c r="J79" s="390"/>
      <c r="K79" s="390"/>
      <c r="L79" s="390"/>
      <c r="M79" s="390"/>
      <c r="N79" s="390"/>
      <c r="O79" s="390"/>
      <c r="P79" s="404">
        <f t="shared" si="0"/>
        <v>0</v>
      </c>
    </row>
    <row r="80" spans="1:16" x14ac:dyDescent="0.25">
      <c r="A80" s="50"/>
      <c r="B80" s="405" t="s">
        <v>281</v>
      </c>
      <c r="C80" s="388"/>
      <c r="D80" s="247" t="s">
        <v>254</v>
      </c>
      <c r="E80" s="391"/>
      <c r="F80" s="290"/>
      <c r="G80" s="290"/>
      <c r="H80" s="390"/>
      <c r="I80" s="390"/>
      <c r="J80" s="390"/>
      <c r="K80" s="390"/>
      <c r="L80" s="390"/>
      <c r="M80" s="390"/>
      <c r="N80" s="390"/>
      <c r="O80" s="390"/>
      <c r="P80" s="404"/>
    </row>
    <row r="81" spans="1:16" x14ac:dyDescent="0.25">
      <c r="A81" s="50"/>
      <c r="B81" s="403"/>
      <c r="C81" s="388"/>
      <c r="D81" s="247"/>
      <c r="E81" s="391"/>
      <c r="F81" s="290"/>
      <c r="G81" s="290"/>
      <c r="H81" s="390"/>
      <c r="I81" s="390"/>
      <c r="J81" s="390"/>
      <c r="K81" s="390"/>
      <c r="L81" s="390"/>
      <c r="M81" s="390"/>
      <c r="N81" s="390"/>
      <c r="O81" s="390"/>
      <c r="P81" s="404"/>
    </row>
    <row r="82" spans="1:16" x14ac:dyDescent="0.25">
      <c r="A82" s="50"/>
      <c r="B82" s="403"/>
      <c r="C82" s="388"/>
      <c r="D82" s="247"/>
      <c r="E82" s="391"/>
      <c r="F82" s="290"/>
      <c r="G82" s="290"/>
      <c r="H82" s="390"/>
      <c r="I82" s="390"/>
      <c r="J82" s="390"/>
      <c r="K82" s="390"/>
      <c r="L82" s="390"/>
      <c r="M82" s="390"/>
      <c r="N82" s="390"/>
      <c r="O82" s="390"/>
      <c r="P82" s="404"/>
    </row>
    <row r="83" spans="1:16" x14ac:dyDescent="0.25">
      <c r="A83" s="50"/>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50"/>
      <c r="B84" s="744" t="s">
        <v>181</v>
      </c>
      <c r="C84" s="711"/>
      <c r="D84" s="711"/>
      <c r="E84" s="711"/>
      <c r="F84" s="711"/>
      <c r="G84" s="711"/>
      <c r="H84" s="711"/>
      <c r="I84" s="711"/>
      <c r="J84" s="711"/>
      <c r="K84" s="711"/>
      <c r="L84" s="711"/>
      <c r="M84" s="711"/>
      <c r="N84" s="711"/>
      <c r="O84" s="711"/>
      <c r="P84" s="745"/>
    </row>
    <row r="85" spans="1:16" x14ac:dyDescent="0.25">
      <c r="A85" s="50"/>
      <c r="B85" s="403">
        <v>33</v>
      </c>
      <c r="C85" s="388" t="s">
        <v>182</v>
      </c>
      <c r="D85" s="247" t="s">
        <v>33</v>
      </c>
      <c r="E85" s="391"/>
      <c r="F85" s="290"/>
      <c r="G85" s="290"/>
      <c r="H85" s="396"/>
      <c r="I85" s="396"/>
      <c r="J85" s="396"/>
      <c r="K85" s="396"/>
      <c r="L85" s="396"/>
      <c r="M85" s="396"/>
      <c r="N85" s="396"/>
      <c r="O85" s="396"/>
      <c r="P85" s="404">
        <f t="shared" si="1"/>
        <v>0</v>
      </c>
    </row>
    <row r="86" spans="1:16" x14ac:dyDescent="0.25">
      <c r="A86" s="50"/>
      <c r="B86" s="403">
        <v>34</v>
      </c>
      <c r="C86" s="388" t="s">
        <v>183</v>
      </c>
      <c r="D86" s="247" t="s">
        <v>33</v>
      </c>
      <c r="E86" s="391"/>
      <c r="F86" s="290"/>
      <c r="G86" s="290"/>
      <c r="H86" s="396"/>
      <c r="I86" s="396"/>
      <c r="J86" s="396"/>
      <c r="K86" s="396"/>
      <c r="L86" s="396"/>
      <c r="M86" s="396"/>
      <c r="N86" s="396"/>
      <c r="O86" s="396"/>
      <c r="P86" s="404">
        <f t="shared" si="1"/>
        <v>0</v>
      </c>
    </row>
    <row r="87" spans="1:16" x14ac:dyDescent="0.25">
      <c r="A87" s="50"/>
      <c r="B87" s="403">
        <v>35</v>
      </c>
      <c r="C87" s="388" t="s">
        <v>184</v>
      </c>
      <c r="D87" s="247" t="s">
        <v>33</v>
      </c>
      <c r="E87" s="391"/>
      <c r="F87" s="290"/>
      <c r="G87" s="290"/>
      <c r="H87" s="396"/>
      <c r="I87" s="396"/>
      <c r="J87" s="396"/>
      <c r="K87" s="396"/>
      <c r="L87" s="396"/>
      <c r="M87" s="396"/>
      <c r="N87" s="396"/>
      <c r="O87" s="396"/>
      <c r="P87" s="404">
        <f t="shared" si="1"/>
        <v>0</v>
      </c>
    </row>
    <row r="88" spans="1:16" x14ac:dyDescent="0.25">
      <c r="A88" s="50"/>
      <c r="B88" s="405" t="s">
        <v>281</v>
      </c>
      <c r="C88" s="388"/>
      <c r="D88" s="247" t="s">
        <v>254</v>
      </c>
      <c r="E88" s="391"/>
      <c r="F88" s="290"/>
      <c r="G88" s="290"/>
      <c r="H88" s="396"/>
      <c r="I88" s="396"/>
      <c r="J88" s="396"/>
      <c r="K88" s="396"/>
      <c r="L88" s="396"/>
      <c r="M88" s="396"/>
      <c r="N88" s="396"/>
      <c r="O88" s="396"/>
      <c r="P88" s="404"/>
    </row>
    <row r="89" spans="1:16" x14ac:dyDescent="0.25">
      <c r="A89" s="50"/>
      <c r="B89" s="403"/>
      <c r="C89" s="388"/>
      <c r="D89" s="247"/>
      <c r="E89" s="391"/>
      <c r="F89" s="290"/>
      <c r="G89" s="290"/>
      <c r="H89" s="396"/>
      <c r="I89" s="396"/>
      <c r="J89" s="396"/>
      <c r="K89" s="396"/>
      <c r="L89" s="396"/>
      <c r="M89" s="396"/>
      <c r="N89" s="396"/>
      <c r="O89" s="396"/>
      <c r="P89" s="404"/>
    </row>
    <row r="90" spans="1:16" x14ac:dyDescent="0.25">
      <c r="A90" s="50"/>
      <c r="B90" s="403"/>
      <c r="C90" s="388"/>
      <c r="D90" s="247"/>
      <c r="E90" s="391"/>
      <c r="F90" s="290"/>
      <c r="G90" s="290"/>
      <c r="H90" s="396"/>
      <c r="I90" s="396"/>
      <c r="J90" s="396"/>
      <c r="K90" s="396"/>
      <c r="L90" s="396"/>
      <c r="M90" s="396"/>
      <c r="N90" s="396"/>
      <c r="O90" s="396"/>
      <c r="P90" s="404"/>
    </row>
    <row r="91" spans="1:16" x14ac:dyDescent="0.25">
      <c r="A91" s="50"/>
      <c r="B91" s="403"/>
      <c r="C91" s="388"/>
      <c r="D91" s="247"/>
      <c r="E91" s="391"/>
      <c r="F91" s="396"/>
      <c r="G91" s="396"/>
      <c r="H91" s="396"/>
      <c r="I91" s="396"/>
      <c r="J91" s="396"/>
      <c r="K91" s="396"/>
      <c r="L91" s="396"/>
      <c r="M91" s="396"/>
      <c r="N91" s="396"/>
      <c r="O91" s="396"/>
      <c r="P91" s="404">
        <f t="shared" si="1"/>
        <v>0</v>
      </c>
    </row>
    <row r="92" spans="1:16" ht="24" customHeight="1" x14ac:dyDescent="0.25">
      <c r="A92" s="50"/>
      <c r="B92" s="744" t="s">
        <v>185</v>
      </c>
      <c r="C92" s="711"/>
      <c r="D92" s="711"/>
      <c r="E92" s="711"/>
      <c r="F92" s="711"/>
      <c r="G92" s="711"/>
      <c r="H92" s="711"/>
      <c r="I92" s="711"/>
      <c r="J92" s="711"/>
      <c r="K92" s="711"/>
      <c r="L92" s="711"/>
      <c r="M92" s="711"/>
      <c r="N92" s="711"/>
      <c r="O92" s="711"/>
      <c r="P92" s="745"/>
    </row>
    <row r="93" spans="1:16" ht="42.75" x14ac:dyDescent="0.25">
      <c r="A93" s="50"/>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50"/>
      <c r="B94" s="403">
        <v>37</v>
      </c>
      <c r="C94" s="388" t="s">
        <v>187</v>
      </c>
      <c r="D94" s="247" t="s">
        <v>33</v>
      </c>
      <c r="E94" s="391"/>
      <c r="F94" s="290"/>
      <c r="G94" s="290"/>
      <c r="H94" s="396"/>
      <c r="I94" s="396"/>
      <c r="J94" s="396"/>
      <c r="K94" s="396"/>
      <c r="L94" s="396"/>
      <c r="M94" s="396"/>
      <c r="N94" s="396"/>
      <c r="O94" s="396"/>
      <c r="P94" s="404">
        <f t="shared" si="1"/>
        <v>0</v>
      </c>
    </row>
    <row r="95" spans="1:16" x14ac:dyDescent="0.25">
      <c r="A95" s="50"/>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50"/>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50"/>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50"/>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50"/>
      <c r="B99" s="403">
        <v>42</v>
      </c>
      <c r="C99" s="388" t="s">
        <v>192</v>
      </c>
      <c r="D99" s="247" t="s">
        <v>33</v>
      </c>
      <c r="E99" s="391"/>
      <c r="F99" s="290"/>
      <c r="G99" s="290"/>
      <c r="H99" s="396"/>
      <c r="I99" s="396"/>
      <c r="J99" s="396"/>
      <c r="K99" s="396"/>
      <c r="L99" s="396"/>
      <c r="M99" s="396"/>
      <c r="N99" s="396"/>
      <c r="O99" s="396"/>
      <c r="P99" s="404">
        <f t="shared" si="1"/>
        <v>0</v>
      </c>
    </row>
    <row r="100" spans="1:16" x14ac:dyDescent="0.25">
      <c r="A100" s="50"/>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50"/>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50"/>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50"/>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50"/>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50"/>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50"/>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50"/>
      <c r="B107" s="405" t="s">
        <v>281</v>
      </c>
      <c r="C107" s="388"/>
      <c r="D107" s="247" t="s">
        <v>254</v>
      </c>
      <c r="E107" s="391"/>
      <c r="F107" s="290"/>
      <c r="G107" s="290"/>
      <c r="H107" s="396"/>
      <c r="I107" s="396"/>
      <c r="J107" s="396"/>
      <c r="K107" s="396"/>
      <c r="L107" s="396"/>
      <c r="M107" s="396"/>
      <c r="N107" s="396"/>
      <c r="O107" s="396"/>
      <c r="P107" s="404"/>
    </row>
    <row r="108" spans="1:16" x14ac:dyDescent="0.25">
      <c r="A108" s="50"/>
      <c r="B108" s="403"/>
      <c r="C108" s="388"/>
      <c r="D108" s="247"/>
      <c r="E108" s="391"/>
      <c r="F108" s="290"/>
      <c r="G108" s="290"/>
      <c r="H108" s="396"/>
      <c r="I108" s="396"/>
      <c r="J108" s="396"/>
      <c r="K108" s="396"/>
      <c r="L108" s="396"/>
      <c r="M108" s="396"/>
      <c r="N108" s="396"/>
      <c r="O108" s="396"/>
      <c r="P108" s="404"/>
    </row>
    <row r="109" spans="1:16" x14ac:dyDescent="0.25">
      <c r="A109" s="50"/>
      <c r="B109" s="403"/>
      <c r="C109" s="388"/>
      <c r="D109" s="247"/>
      <c r="E109" s="391"/>
      <c r="F109" s="290"/>
      <c r="G109" s="290"/>
      <c r="H109" s="396"/>
      <c r="I109" s="396"/>
      <c r="J109" s="396"/>
      <c r="K109" s="396"/>
      <c r="L109" s="396"/>
      <c r="M109" s="396"/>
      <c r="N109" s="396"/>
      <c r="O109" s="396"/>
      <c r="P109" s="404"/>
    </row>
    <row r="110" spans="1:16" x14ac:dyDescent="0.25">
      <c r="A110" s="50"/>
      <c r="B110" s="403"/>
      <c r="C110" s="388"/>
      <c r="D110" s="247"/>
      <c r="E110" s="391"/>
      <c r="F110" s="290"/>
      <c r="G110" s="290"/>
      <c r="H110" s="396"/>
      <c r="I110" s="396"/>
      <c r="J110" s="396"/>
      <c r="K110" s="396"/>
      <c r="L110" s="396"/>
      <c r="M110" s="396"/>
      <c r="N110" s="396"/>
      <c r="O110" s="396"/>
      <c r="P110" s="404"/>
    </row>
    <row r="111" spans="1:16" x14ac:dyDescent="0.25">
      <c r="B111" s="338"/>
      <c r="C111" s="697" t="s">
        <v>222</v>
      </c>
      <c r="D111" s="697"/>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698" t="s">
        <v>261</v>
      </c>
      <c r="D112" s="69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98" t="s">
        <v>262</v>
      </c>
      <c r="D113" s="698"/>
      <c r="E113" s="262"/>
      <c r="F113" s="260"/>
      <c r="G113" s="260"/>
      <c r="H113" s="262"/>
      <c r="I113" s="262"/>
      <c r="J113" s="263">
        <f>J112-(E32*G32*J32)</f>
        <v>0</v>
      </c>
      <c r="K113" s="262">
        <f>K112-(E32*G32*K32)</f>
        <v>0</v>
      </c>
      <c r="L113" s="262"/>
      <c r="M113" s="262"/>
      <c r="N113" s="262"/>
      <c r="O113" s="262"/>
      <c r="P113" s="269"/>
    </row>
    <row r="114" spans="2:16" x14ac:dyDescent="0.25">
      <c r="B114" s="338"/>
      <c r="C114" s="697"/>
      <c r="D114" s="697"/>
      <c r="E114" s="339"/>
      <c r="F114" s="340"/>
      <c r="G114" s="340"/>
      <c r="H114" s="339"/>
      <c r="I114" s="339"/>
      <c r="J114" s="339"/>
      <c r="K114" s="339"/>
      <c r="L114" s="339"/>
      <c r="M114" s="339"/>
      <c r="N114" s="339"/>
      <c r="O114" s="339"/>
      <c r="P114" s="343"/>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0" t="s">
        <v>327</v>
      </c>
      <c r="D116" s="700"/>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0" t="s">
        <v>282</v>
      </c>
      <c r="D117" s="700"/>
      <c r="E117" s="255"/>
      <c r="F117" s="257"/>
      <c r="G117" s="257"/>
      <c r="H117" s="341"/>
      <c r="I117" s="341"/>
      <c r="J117" s="341"/>
      <c r="K117" s="341"/>
      <c r="L117" s="341"/>
      <c r="M117" s="341"/>
      <c r="N117" s="341"/>
      <c r="O117" s="247"/>
      <c r="P117" s="272">
        <f>SUM(H117:O117)</f>
        <v>0</v>
      </c>
    </row>
    <row r="118" spans="2:16" x14ac:dyDescent="0.25">
      <c r="B118" s="366"/>
      <c r="C118" s="700" t="s">
        <v>283</v>
      </c>
      <c r="D118" s="700"/>
      <c r="E118" s="255"/>
      <c r="F118" s="257"/>
      <c r="G118" s="257"/>
      <c r="H118" s="341"/>
      <c r="I118" s="341"/>
      <c r="J118" s="341"/>
      <c r="K118" s="341"/>
      <c r="L118" s="341"/>
      <c r="M118" s="341"/>
      <c r="N118" s="341"/>
      <c r="O118" s="247"/>
      <c r="P118" s="272">
        <f>SUM(H118:O118)</f>
        <v>0</v>
      </c>
    </row>
    <row r="119" spans="2:16" x14ac:dyDescent="0.25">
      <c r="B119" s="366"/>
      <c r="C119" s="700" t="s">
        <v>284</v>
      </c>
      <c r="D119" s="700"/>
      <c r="E119" s="255"/>
      <c r="F119" s="257"/>
      <c r="G119" s="257"/>
      <c r="H119" s="341"/>
      <c r="I119" s="341"/>
      <c r="J119" s="341"/>
      <c r="K119" s="341"/>
      <c r="L119" s="341"/>
      <c r="M119" s="341"/>
      <c r="N119" s="341"/>
      <c r="O119" s="247"/>
      <c r="P119" s="272">
        <f t="shared" ref="P119" si="2">SUM(H119:O119)</f>
        <v>0</v>
      </c>
    </row>
    <row r="120" spans="2:16" x14ac:dyDescent="0.25">
      <c r="B120" s="366"/>
      <c r="C120" s="700" t="s">
        <v>285</v>
      </c>
      <c r="D120" s="700"/>
      <c r="E120" s="255"/>
      <c r="F120" s="257"/>
      <c r="G120" s="257"/>
      <c r="H120" s="341"/>
      <c r="I120" s="341"/>
      <c r="J120" s="341"/>
      <c r="K120" s="341"/>
      <c r="L120" s="341"/>
      <c r="M120" s="341"/>
      <c r="N120" s="341"/>
      <c r="O120" s="247"/>
      <c r="P120" s="272">
        <f>SUM(H120:O120)</f>
        <v>0</v>
      </c>
    </row>
    <row r="121" spans="2:16" x14ac:dyDescent="0.25">
      <c r="B121" s="366"/>
      <c r="C121" s="700" t="s">
        <v>286</v>
      </c>
      <c r="D121" s="700"/>
      <c r="E121" s="255"/>
      <c r="F121" s="257"/>
      <c r="G121" s="257"/>
      <c r="H121" s="363" t="e">
        <f>'5.  2015 LRAM'!H128*H116</f>
        <v>#REF!</v>
      </c>
      <c r="I121" s="363" t="e">
        <f>'5.  2015 LRAM'!I128*I116</f>
        <v>#REF!</v>
      </c>
      <c r="J121" s="363" t="e">
        <f>'5.  2015 LRAM'!J128*J116</f>
        <v>#REF!</v>
      </c>
      <c r="K121" s="363" t="e">
        <f>'5.  2015 LRAM'!K128*K116</f>
        <v>#REF!</v>
      </c>
      <c r="L121" s="363" t="e">
        <f>'5.  2015 LRAM'!L128*L116</f>
        <v>#REF!</v>
      </c>
      <c r="M121" s="363" t="e">
        <f>'5.  2015 LRAM'!M128*M116</f>
        <v>#REF!</v>
      </c>
      <c r="N121" s="363" t="e">
        <f>'5.  2015 LRAM'!N128*N116</f>
        <v>#REF!</v>
      </c>
      <c r="O121" s="247"/>
      <c r="P121" s="272" t="e">
        <f t="shared" ref="P121:P122" si="3">SUM(H121:O121)</f>
        <v>#REF!</v>
      </c>
    </row>
    <row r="122" spans="2:16" x14ac:dyDescent="0.25">
      <c r="B122" s="366"/>
      <c r="C122" s="700" t="s">
        <v>287</v>
      </c>
      <c r="D122" s="700"/>
      <c r="E122" s="255"/>
      <c r="F122" s="257"/>
      <c r="G122" s="257"/>
      <c r="H122" s="363" t="e">
        <f>'5-b. 2016 LRAM'!H126*H116</f>
        <v>#DIV/0!</v>
      </c>
      <c r="I122" s="363" t="e">
        <f>'5-b. 2016 LRAM'!I126*I116</f>
        <v>#DIV/0!</v>
      </c>
      <c r="J122" s="363" t="e">
        <f>'5-b. 2016 LRAM'!J126*J116</f>
        <v>#DIV/0!</v>
      </c>
      <c r="K122" s="363" t="e">
        <f>'5-b. 2016 LRAM'!K126*K116</f>
        <v>#DIV/0!</v>
      </c>
      <c r="L122" s="363" t="e">
        <f>'5-b. 2016 LRAM'!L126*L116</f>
        <v>#REF!</v>
      </c>
      <c r="M122" s="363" t="e">
        <f>'5-b. 2016 LRAM'!M126*M116</f>
        <v>#REF!</v>
      </c>
      <c r="N122" s="363" t="e">
        <f>'5-b. 2016 LRAM'!N126*N116</f>
        <v>#REF!</v>
      </c>
      <c r="O122" s="247"/>
      <c r="P122" s="272" t="e">
        <f t="shared" si="3"/>
        <v>#DIV/0!</v>
      </c>
    </row>
    <row r="123" spans="2:16" x14ac:dyDescent="0.25">
      <c r="B123" s="366"/>
      <c r="C123" s="700" t="s">
        <v>288</v>
      </c>
      <c r="D123" s="700"/>
      <c r="E123" s="255"/>
      <c r="F123" s="257"/>
      <c r="G123" s="257"/>
      <c r="H123" s="363" t="e">
        <f>'5-c.  2017 LRAM'!H127*H116</f>
        <v>#DIV/0!</v>
      </c>
      <c r="I123" s="363" t="e">
        <f>'5-c.  2017 LRAM'!I127*I116</f>
        <v>#DIV/0!</v>
      </c>
      <c r="J123" s="363" t="e">
        <f>'5-c.  2017 LRAM'!J127*J116</f>
        <v>#DIV/0!</v>
      </c>
      <c r="K123" s="363" t="e">
        <f>'5-c.  2017 LRAM'!K127*K116</f>
        <v>#DIV/0!</v>
      </c>
      <c r="L123" s="363" t="e">
        <f>'5-c.  2017 LRAM'!L127*L116</f>
        <v>#REF!</v>
      </c>
      <c r="M123" s="363" t="e">
        <f>'5-c.  2017 LRAM'!M127*M116</f>
        <v>#REF!</v>
      </c>
      <c r="N123" s="363" t="e">
        <f>'5-c.  2017 LRAM'!N127*N116</f>
        <v>#DIV/0!</v>
      </c>
      <c r="O123" s="247"/>
      <c r="P123" s="272" t="e">
        <f>SUM(H123:O123)</f>
        <v>#DIV/0!</v>
      </c>
    </row>
    <row r="124" spans="2:16" x14ac:dyDescent="0.25">
      <c r="B124" s="366"/>
      <c r="C124" s="700" t="s">
        <v>289</v>
      </c>
      <c r="D124" s="700"/>
      <c r="E124" s="255"/>
      <c r="F124" s="257"/>
      <c r="G124" s="257"/>
      <c r="H124" s="363" t="e">
        <f>H111*H116</f>
        <v>#REF!</v>
      </c>
      <c r="I124" s="363" t="e">
        <f>I111*I116</f>
        <v>#REF!</v>
      </c>
      <c r="J124" s="363" t="e">
        <f>J112*J116</f>
        <v>#REF!</v>
      </c>
      <c r="K124" s="363" t="e">
        <f>K112*K116</f>
        <v>#REF!</v>
      </c>
      <c r="L124" s="363" t="e">
        <f>L112*L116</f>
        <v>#REF!</v>
      </c>
      <c r="M124" s="363" t="e">
        <f>M112*M116</f>
        <v>#REF!</v>
      </c>
      <c r="N124" s="363" t="e">
        <f>N111*N116</f>
        <v>#REF!</v>
      </c>
      <c r="O124" s="247"/>
      <c r="P124" s="272" t="e">
        <f>SUM(H124:O124)</f>
        <v>#REF!</v>
      </c>
    </row>
    <row r="125" spans="2:16" x14ac:dyDescent="0.25">
      <c r="B125" s="270"/>
      <c r="C125" s="364" t="s">
        <v>290</v>
      </c>
      <c r="D125" s="255"/>
      <c r="E125" s="255"/>
      <c r="F125" s="253"/>
      <c r="G125" s="253"/>
      <c r="H125" s="259" t="e">
        <f t="shared" ref="H125:N125" si="4">SUM(H117:H124)</f>
        <v>#REF!</v>
      </c>
      <c r="I125" s="259" t="e">
        <f t="shared" si="4"/>
        <v>#REF!</v>
      </c>
      <c r="J125" s="259" t="e">
        <f>SUM(J117:J124)</f>
        <v>#REF!</v>
      </c>
      <c r="K125" s="259" t="e">
        <f t="shared" si="4"/>
        <v>#REF!</v>
      </c>
      <c r="L125" s="259" t="e">
        <f t="shared" si="4"/>
        <v>#REF!</v>
      </c>
      <c r="M125" s="259" t="e">
        <f t="shared" si="4"/>
        <v>#REF!</v>
      </c>
      <c r="N125" s="259" t="e">
        <f t="shared" si="4"/>
        <v>#REF!</v>
      </c>
      <c r="O125" s="255"/>
      <c r="P125" s="273" t="e">
        <f>SUM(P117:P124)</f>
        <v>#REF!</v>
      </c>
    </row>
    <row r="126" spans="2:16" x14ac:dyDescent="0.25">
      <c r="B126" s="270"/>
      <c r="C126" s="364"/>
      <c r="D126" s="255"/>
      <c r="E126" s="255"/>
      <c r="F126" s="253"/>
      <c r="G126" s="253"/>
      <c r="H126" s="259"/>
      <c r="I126" s="259"/>
      <c r="J126" s="259"/>
      <c r="K126" s="259"/>
      <c r="L126" s="259"/>
      <c r="M126" s="259"/>
      <c r="N126" s="259"/>
      <c r="O126" s="255"/>
      <c r="P126" s="273"/>
    </row>
    <row r="127" spans="2:16" x14ac:dyDescent="0.25">
      <c r="B127" s="397"/>
      <c r="C127" s="700" t="s">
        <v>291</v>
      </c>
      <c r="D127" s="700"/>
      <c r="E127" s="389"/>
      <c r="F127" s="154"/>
      <c r="G127" s="154"/>
      <c r="H127" s="290" t="e">
        <f>$H$111*'6.  Persistence Rates'!$H$47</f>
        <v>#DIV/0!</v>
      </c>
      <c r="I127" s="290" t="e">
        <f>$H$111*'6.  Persistence Rates'!$H$47</f>
        <v>#DIV/0!</v>
      </c>
      <c r="J127" s="290" t="e">
        <f>J112*'6.  Persistence Rates'!$U$47</f>
        <v>#DIV/0!</v>
      </c>
      <c r="K127" s="290" t="e">
        <f>K112*'6.  Persistence Rates'!$U$47</f>
        <v>#DIV/0!</v>
      </c>
      <c r="L127" s="290">
        <f>L112*'6.  Persistence Rates'!$R$44</f>
        <v>0</v>
      </c>
      <c r="M127" s="290">
        <f>M112*'6.  Persistence Rates'!$R$44</f>
        <v>0</v>
      </c>
      <c r="N127" s="290">
        <f>N111*'6.  Persistence Rates'!$E$44</f>
        <v>0</v>
      </c>
      <c r="O127" s="154"/>
      <c r="P127" s="336"/>
    </row>
    <row r="128" spans="2:16" x14ac:dyDescent="0.25">
      <c r="B128" s="398"/>
      <c r="C128" s="728" t="s">
        <v>292</v>
      </c>
      <c r="D128" s="728"/>
      <c r="E128" s="399"/>
      <c r="F128" s="317"/>
      <c r="G128" s="317"/>
      <c r="H128" s="290" t="e">
        <f>H111*'6.  Persistence Rates'!$I$47</f>
        <v>#DIV/0!</v>
      </c>
      <c r="I128" s="290" t="e">
        <f>I111*'6.  Persistence Rates'!$I$47</f>
        <v>#DIV/0!</v>
      </c>
      <c r="J128" s="290" t="e">
        <f>$J$113*'6.  Persistence Rates'!$V$47</f>
        <v>#DIV/0!</v>
      </c>
      <c r="K128" s="290" t="e">
        <f>$K$113*'6.  Persistence Rates'!$V$47</f>
        <v>#DIV/0!</v>
      </c>
      <c r="L128" s="290"/>
      <c r="M128" s="290"/>
      <c r="N128" s="290" t="e">
        <f>N111*'6.  Persistence Rates'!$I$47</f>
        <v>#DIV/0!</v>
      </c>
      <c r="O128" s="317"/>
      <c r="P128" s="38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747" t="s">
        <v>293</v>
      </c>
      <c r="C2" s="747"/>
      <c r="D2" s="747"/>
      <c r="E2" s="747"/>
      <c r="F2" s="747"/>
      <c r="G2" s="747"/>
      <c r="H2" s="747"/>
      <c r="I2" s="747"/>
      <c r="J2" s="747"/>
      <c r="K2" s="747"/>
      <c r="L2" s="747"/>
      <c r="M2" s="747"/>
      <c r="N2" s="747"/>
      <c r="O2" s="747"/>
      <c r="P2" s="747"/>
    </row>
    <row r="3" spans="1:18" ht="18.75" outlineLevel="1" x14ac:dyDescent="0.3">
      <c r="B3" s="414"/>
      <c r="C3" s="414"/>
      <c r="D3" s="414"/>
      <c r="E3" s="414"/>
      <c r="F3" s="414"/>
      <c r="G3" s="414"/>
      <c r="H3" s="414"/>
      <c r="I3" s="414"/>
      <c r="J3" s="414"/>
      <c r="K3" s="414"/>
      <c r="L3" s="414"/>
      <c r="M3" s="414"/>
      <c r="N3" s="414"/>
      <c r="O3" s="414"/>
      <c r="P3" s="414"/>
    </row>
    <row r="4" spans="1:18" ht="35.25" customHeight="1" outlineLevel="1" x14ac:dyDescent="0.3">
      <c r="A4" s="323"/>
      <c r="B4" s="414"/>
      <c r="C4" s="354" t="s">
        <v>399</v>
      </c>
      <c r="D4" s="415"/>
      <c r="E4" s="746" t="s">
        <v>362</v>
      </c>
      <c r="F4" s="746"/>
      <c r="G4" s="746"/>
      <c r="H4" s="746"/>
      <c r="I4" s="746"/>
      <c r="J4" s="746"/>
      <c r="K4" s="746"/>
      <c r="L4" s="746"/>
      <c r="M4" s="746"/>
      <c r="N4" s="746"/>
      <c r="O4" s="746"/>
      <c r="P4" s="746"/>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20"/>
      <c r="D8" s="414"/>
      <c r="E8" s="165"/>
      <c r="F8" s="414"/>
      <c r="G8" s="414"/>
      <c r="H8" s="414"/>
      <c r="I8" s="414"/>
      <c r="J8" s="414"/>
      <c r="K8" s="414"/>
      <c r="L8" s="414"/>
      <c r="M8" s="414"/>
      <c r="N8" s="414"/>
      <c r="O8" s="414"/>
      <c r="P8" s="414"/>
    </row>
    <row r="9" spans="1:18" ht="18.75" customHeight="1" outlineLevel="1" x14ac:dyDescent="0.3">
      <c r="B9" s="414"/>
      <c r="C9" s="229" t="s">
        <v>337</v>
      </c>
      <c r="D9" s="414"/>
      <c r="E9" s="727" t="s">
        <v>363</v>
      </c>
      <c r="F9" s="727"/>
      <c r="G9" s="414"/>
      <c r="H9" s="414"/>
      <c r="I9" s="414"/>
      <c r="J9" s="414"/>
      <c r="K9" s="414"/>
      <c r="L9" s="414"/>
      <c r="M9" s="414"/>
      <c r="N9" s="414"/>
      <c r="O9" s="414"/>
      <c r="P9" s="414"/>
      <c r="R9" s="82"/>
    </row>
    <row r="10" spans="1:18" ht="18.75" customHeight="1" outlineLevel="1" x14ac:dyDescent="0.3">
      <c r="B10" s="414"/>
      <c r="C10" s="414"/>
      <c r="D10" s="414"/>
      <c r="E10" s="748" t="s">
        <v>338</v>
      </c>
      <c r="F10" s="748"/>
      <c r="G10" s="414"/>
      <c r="H10" s="414"/>
      <c r="I10" s="414"/>
      <c r="J10" s="414"/>
      <c r="K10" s="414"/>
      <c r="L10" s="414"/>
      <c r="M10" s="414"/>
      <c r="N10" s="414"/>
      <c r="O10" s="414"/>
      <c r="P10" s="414"/>
    </row>
    <row r="11" spans="1:18" x14ac:dyDescent="0.25">
      <c r="A11" s="421"/>
      <c r="C11" s="418"/>
      <c r="D11" s="419"/>
      <c r="E11" s="419"/>
    </row>
    <row r="12" spans="1:18" x14ac:dyDescent="0.25">
      <c r="A12" s="421"/>
      <c r="B12" s="417" t="s">
        <v>476</v>
      </c>
      <c r="C12" s="418"/>
      <c r="D12" s="419"/>
      <c r="E12" s="419"/>
    </row>
    <row r="13" spans="1:18" ht="45" x14ac:dyDescent="0.25">
      <c r="A13" s="421"/>
      <c r="B13" s="730" t="s">
        <v>58</v>
      </c>
      <c r="C13" s="732" t="s">
        <v>0</v>
      </c>
      <c r="D13" s="732" t="s">
        <v>44</v>
      </c>
      <c r="E13" s="732" t="s">
        <v>206</v>
      </c>
      <c r="F13" s="232" t="s">
        <v>203</v>
      </c>
      <c r="G13" s="232" t="s">
        <v>45</v>
      </c>
      <c r="H13" s="734" t="s">
        <v>59</v>
      </c>
      <c r="I13" s="734"/>
      <c r="J13" s="734"/>
      <c r="K13" s="734"/>
      <c r="L13" s="734"/>
      <c r="M13" s="734"/>
      <c r="N13" s="734"/>
      <c r="O13" s="734"/>
      <c r="P13" s="735"/>
    </row>
    <row r="14" spans="1:18" ht="60" x14ac:dyDescent="0.25">
      <c r="A14" s="421"/>
      <c r="B14" s="731"/>
      <c r="C14" s="733"/>
      <c r="D14" s="733"/>
      <c r="E14" s="733"/>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38" t="s">
        <v>142</v>
      </c>
      <c r="C15" s="739"/>
      <c r="D15" s="739"/>
      <c r="E15" s="739"/>
      <c r="F15" s="739"/>
      <c r="G15" s="739"/>
      <c r="H15" s="739"/>
      <c r="I15" s="739"/>
      <c r="J15" s="739"/>
      <c r="K15" s="739"/>
      <c r="L15" s="739"/>
      <c r="M15" s="739"/>
      <c r="N15" s="739"/>
      <c r="O15" s="739"/>
      <c r="P15" s="740"/>
    </row>
    <row r="16" spans="1:18" ht="26.25" customHeight="1" x14ac:dyDescent="0.25">
      <c r="A16" s="422"/>
      <c r="B16" s="741" t="s">
        <v>143</v>
      </c>
      <c r="C16" s="742"/>
      <c r="D16" s="742"/>
      <c r="E16" s="742"/>
      <c r="F16" s="742"/>
      <c r="G16" s="742"/>
      <c r="H16" s="742"/>
      <c r="I16" s="742"/>
      <c r="J16" s="742"/>
      <c r="K16" s="742"/>
      <c r="L16" s="742"/>
      <c r="M16" s="742"/>
      <c r="N16" s="742"/>
      <c r="O16" s="742"/>
      <c r="P16" s="743"/>
    </row>
    <row r="17" spans="1:16" x14ac:dyDescent="0.25">
      <c r="A17" s="422"/>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0"/>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422"/>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422"/>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422"/>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422"/>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422"/>
      <c r="B23" s="405" t="s">
        <v>294</v>
      </c>
      <c r="C23" s="388"/>
      <c r="D23" s="247" t="s">
        <v>254</v>
      </c>
      <c r="E23" s="391"/>
      <c r="F23" s="290"/>
      <c r="G23" s="290"/>
      <c r="H23" s="400"/>
      <c r="I23" s="390"/>
      <c r="J23" s="390"/>
      <c r="K23" s="390"/>
      <c r="L23" s="390"/>
      <c r="M23" s="390"/>
      <c r="N23" s="390"/>
      <c r="O23" s="390"/>
      <c r="P23" s="404">
        <f t="shared" si="0"/>
        <v>0</v>
      </c>
    </row>
    <row r="24" spans="1:16" x14ac:dyDescent="0.25">
      <c r="A24" s="422"/>
      <c r="B24" s="403"/>
      <c r="C24" s="388"/>
      <c r="D24" s="247"/>
      <c r="E24" s="391"/>
      <c r="F24" s="290"/>
      <c r="G24" s="290"/>
      <c r="H24" s="400"/>
      <c r="I24" s="390"/>
      <c r="J24" s="390"/>
      <c r="K24" s="390"/>
      <c r="L24" s="390"/>
      <c r="M24" s="390"/>
      <c r="N24" s="390"/>
      <c r="O24" s="390"/>
      <c r="P24" s="404">
        <f t="shared" si="0"/>
        <v>0</v>
      </c>
    </row>
    <row r="25" spans="1:16" x14ac:dyDescent="0.25">
      <c r="A25" s="422"/>
      <c r="B25" s="403"/>
      <c r="C25" s="388"/>
      <c r="D25" s="247"/>
      <c r="E25" s="391"/>
      <c r="F25" s="290"/>
      <c r="G25" s="290"/>
      <c r="H25" s="400"/>
      <c r="I25" s="390"/>
      <c r="J25" s="390"/>
      <c r="K25" s="390"/>
      <c r="L25" s="390"/>
      <c r="M25" s="390"/>
      <c r="N25" s="390"/>
      <c r="O25" s="390"/>
      <c r="P25" s="404">
        <f t="shared" si="0"/>
        <v>0</v>
      </c>
    </row>
    <row r="26" spans="1:16" x14ac:dyDescent="0.25">
      <c r="A26" s="422"/>
      <c r="B26" s="403"/>
      <c r="C26" s="388"/>
      <c r="D26" s="247"/>
      <c r="E26" s="391"/>
      <c r="F26" s="290"/>
      <c r="G26" s="290"/>
      <c r="H26" s="400"/>
      <c r="I26" s="390"/>
      <c r="J26" s="390"/>
      <c r="K26" s="390"/>
      <c r="L26" s="390"/>
      <c r="M26" s="390"/>
      <c r="N26" s="390"/>
      <c r="O26" s="390"/>
      <c r="P26" s="404">
        <f t="shared" si="0"/>
        <v>0</v>
      </c>
    </row>
    <row r="27" spans="1:16" ht="25.5" customHeight="1" x14ac:dyDescent="0.25">
      <c r="A27" s="422"/>
      <c r="B27" s="741" t="s">
        <v>150</v>
      </c>
      <c r="C27" s="742"/>
      <c r="D27" s="742"/>
      <c r="E27" s="742"/>
      <c r="F27" s="742"/>
      <c r="G27" s="742"/>
      <c r="H27" s="742"/>
      <c r="I27" s="742"/>
      <c r="J27" s="742"/>
      <c r="K27" s="742"/>
      <c r="L27" s="742"/>
      <c r="M27" s="742"/>
      <c r="N27" s="742"/>
      <c r="O27" s="742"/>
      <c r="P27" s="743"/>
    </row>
    <row r="28" spans="1:16" x14ac:dyDescent="0.25">
      <c r="A28" s="422"/>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422"/>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422"/>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422"/>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422"/>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422"/>
      <c r="B33" s="405" t="s">
        <v>294</v>
      </c>
      <c r="C33" s="388"/>
      <c r="D33" s="247" t="s">
        <v>254</v>
      </c>
      <c r="E33" s="391"/>
      <c r="F33" s="290"/>
      <c r="G33" s="290"/>
      <c r="H33" s="390"/>
      <c r="I33" s="390"/>
      <c r="J33" s="390"/>
      <c r="K33" s="390"/>
      <c r="L33" s="390"/>
      <c r="M33" s="390"/>
      <c r="N33" s="390"/>
      <c r="O33" s="390"/>
      <c r="P33" s="404">
        <f t="shared" si="0"/>
        <v>0</v>
      </c>
    </row>
    <row r="34" spans="1:16" x14ac:dyDescent="0.25">
      <c r="A34" s="422"/>
      <c r="B34" s="403"/>
      <c r="C34" s="388"/>
      <c r="D34" s="247"/>
      <c r="E34" s="391"/>
      <c r="F34" s="290"/>
      <c r="G34" s="290"/>
      <c r="H34" s="390"/>
      <c r="I34" s="390"/>
      <c r="J34" s="390"/>
      <c r="K34" s="390"/>
      <c r="L34" s="390"/>
      <c r="M34" s="390"/>
      <c r="N34" s="390"/>
      <c r="O34" s="390"/>
      <c r="P34" s="404">
        <f t="shared" si="0"/>
        <v>0</v>
      </c>
    </row>
    <row r="35" spans="1:16" x14ac:dyDescent="0.25">
      <c r="A35" s="422"/>
      <c r="B35" s="403"/>
      <c r="C35" s="388"/>
      <c r="D35" s="247"/>
      <c r="E35" s="391"/>
      <c r="F35" s="290"/>
      <c r="G35" s="290"/>
      <c r="H35" s="390"/>
      <c r="I35" s="390"/>
      <c r="J35" s="390"/>
      <c r="K35" s="390"/>
      <c r="L35" s="390"/>
      <c r="M35" s="390"/>
      <c r="N35" s="390"/>
      <c r="O35" s="390"/>
      <c r="P35" s="404">
        <f t="shared" si="0"/>
        <v>0</v>
      </c>
    </row>
    <row r="36" spans="1:16" x14ac:dyDescent="0.25">
      <c r="A36" s="422"/>
      <c r="B36" s="403"/>
      <c r="C36" s="388"/>
      <c r="D36" s="247"/>
      <c r="E36" s="391"/>
      <c r="F36" s="290"/>
      <c r="G36" s="290"/>
      <c r="H36" s="390"/>
      <c r="I36" s="390"/>
      <c r="J36" s="390"/>
      <c r="K36" s="390"/>
      <c r="L36" s="390"/>
      <c r="M36" s="390"/>
      <c r="N36" s="390"/>
      <c r="O36" s="390"/>
      <c r="P36" s="404">
        <f t="shared" si="0"/>
        <v>0</v>
      </c>
    </row>
    <row r="37" spans="1:16" ht="26.25" customHeight="1" x14ac:dyDescent="0.25">
      <c r="A37" s="422"/>
      <c r="B37" s="741" t="s">
        <v>11</v>
      </c>
      <c r="C37" s="742"/>
      <c r="D37" s="742"/>
      <c r="E37" s="742"/>
      <c r="F37" s="742"/>
      <c r="G37" s="742"/>
      <c r="H37" s="742"/>
      <c r="I37" s="742"/>
      <c r="J37" s="742"/>
      <c r="K37" s="742"/>
      <c r="L37" s="742"/>
      <c r="M37" s="742"/>
      <c r="N37" s="742"/>
      <c r="O37" s="742"/>
      <c r="P37" s="743"/>
    </row>
    <row r="38" spans="1:16" ht="28.5" x14ac:dyDescent="0.25">
      <c r="A38" s="422"/>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422"/>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422"/>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422"/>
      <c r="B41" s="405" t="s">
        <v>294</v>
      </c>
      <c r="C41" s="388"/>
      <c r="D41" s="247" t="s">
        <v>254</v>
      </c>
      <c r="E41" s="391"/>
      <c r="F41" s="290"/>
      <c r="G41" s="290"/>
      <c r="H41" s="390"/>
      <c r="I41" s="390"/>
      <c r="J41" s="390"/>
      <c r="K41" s="390"/>
      <c r="L41" s="390"/>
      <c r="M41" s="390"/>
      <c r="N41" s="390"/>
      <c r="O41" s="390"/>
      <c r="P41" s="404">
        <f t="shared" si="0"/>
        <v>0</v>
      </c>
    </row>
    <row r="42" spans="1:16" x14ac:dyDescent="0.25">
      <c r="A42" s="422"/>
      <c r="B42" s="403"/>
      <c r="C42" s="388"/>
      <c r="D42" s="247"/>
      <c r="E42" s="391"/>
      <c r="F42" s="290"/>
      <c r="G42" s="290"/>
      <c r="H42" s="390"/>
      <c r="I42" s="390"/>
      <c r="J42" s="390"/>
      <c r="K42" s="390"/>
      <c r="L42" s="390"/>
      <c r="M42" s="390"/>
      <c r="N42" s="390"/>
      <c r="O42" s="390"/>
      <c r="P42" s="404">
        <f t="shared" si="0"/>
        <v>0</v>
      </c>
    </row>
    <row r="43" spans="1:16" x14ac:dyDescent="0.25">
      <c r="A43" s="422"/>
      <c r="B43" s="403"/>
      <c r="C43" s="388"/>
      <c r="D43" s="247"/>
      <c r="E43" s="391"/>
      <c r="F43" s="290"/>
      <c r="G43" s="290"/>
      <c r="H43" s="390"/>
      <c r="I43" s="390"/>
      <c r="J43" s="390"/>
      <c r="K43" s="390"/>
      <c r="L43" s="390"/>
      <c r="M43" s="390"/>
      <c r="N43" s="390"/>
      <c r="O43" s="390"/>
      <c r="P43" s="404">
        <f t="shared" si="0"/>
        <v>0</v>
      </c>
    </row>
    <row r="44" spans="1:16" x14ac:dyDescent="0.25">
      <c r="A44" s="422"/>
      <c r="B44" s="403"/>
      <c r="C44" s="388"/>
      <c r="D44" s="247"/>
      <c r="E44" s="391"/>
      <c r="F44" s="290"/>
      <c r="G44" s="290"/>
      <c r="H44" s="390"/>
      <c r="I44" s="390"/>
      <c r="J44" s="390"/>
      <c r="K44" s="390"/>
      <c r="L44" s="390"/>
      <c r="M44" s="390"/>
      <c r="N44" s="390"/>
      <c r="O44" s="390"/>
      <c r="P44" s="404">
        <f t="shared" si="0"/>
        <v>0</v>
      </c>
    </row>
    <row r="45" spans="1:16" ht="24" customHeight="1" x14ac:dyDescent="0.25">
      <c r="A45" s="422"/>
      <c r="B45" s="741" t="s">
        <v>159</v>
      </c>
      <c r="C45" s="742"/>
      <c r="D45" s="742"/>
      <c r="E45" s="742"/>
      <c r="F45" s="742"/>
      <c r="G45" s="742"/>
      <c r="H45" s="742"/>
      <c r="I45" s="742"/>
      <c r="J45" s="742"/>
      <c r="K45" s="742"/>
      <c r="L45" s="742"/>
      <c r="M45" s="742"/>
      <c r="N45" s="742"/>
      <c r="O45" s="742"/>
      <c r="P45" s="743"/>
    </row>
    <row r="46" spans="1:16" x14ac:dyDescent="0.25">
      <c r="A46" s="422"/>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422"/>
      <c r="B47" s="405" t="s">
        <v>294</v>
      </c>
      <c r="C47" s="388"/>
      <c r="D47" s="247" t="s">
        <v>254</v>
      </c>
      <c r="E47" s="391"/>
      <c r="F47" s="290"/>
      <c r="G47" s="290"/>
      <c r="H47" s="400"/>
      <c r="I47" s="390"/>
      <c r="J47" s="390"/>
      <c r="K47" s="390"/>
      <c r="L47" s="390"/>
      <c r="M47" s="390"/>
      <c r="N47" s="390"/>
      <c r="O47" s="390"/>
      <c r="P47" s="404">
        <f t="shared" si="0"/>
        <v>0</v>
      </c>
    </row>
    <row r="48" spans="1:16" x14ac:dyDescent="0.25">
      <c r="A48" s="422"/>
      <c r="B48" s="403"/>
      <c r="C48" s="388"/>
      <c r="D48" s="247"/>
      <c r="E48" s="391"/>
      <c r="F48" s="290"/>
      <c r="G48" s="290"/>
      <c r="H48" s="400"/>
      <c r="I48" s="390"/>
      <c r="J48" s="390"/>
      <c r="K48" s="390"/>
      <c r="L48" s="390"/>
      <c r="M48" s="390"/>
      <c r="N48" s="390"/>
      <c r="O48" s="390"/>
      <c r="P48" s="404">
        <f t="shared" si="0"/>
        <v>0</v>
      </c>
    </row>
    <row r="49" spans="1:16" x14ac:dyDescent="0.25">
      <c r="A49" s="422"/>
      <c r="B49" s="403"/>
      <c r="C49" s="388"/>
      <c r="D49" s="247"/>
      <c r="E49" s="391"/>
      <c r="F49" s="290"/>
      <c r="G49" s="290"/>
      <c r="H49" s="400"/>
      <c r="I49" s="390"/>
      <c r="J49" s="390"/>
      <c r="K49" s="390"/>
      <c r="L49" s="390"/>
      <c r="M49" s="390"/>
      <c r="N49" s="390"/>
      <c r="O49" s="390"/>
      <c r="P49" s="404"/>
    </row>
    <row r="50" spans="1:16" x14ac:dyDescent="0.25">
      <c r="A50" s="422"/>
      <c r="B50" s="403"/>
      <c r="C50" s="388"/>
      <c r="D50" s="247"/>
      <c r="E50" s="391"/>
      <c r="F50" s="290"/>
      <c r="G50" s="290"/>
      <c r="H50" s="400"/>
      <c r="I50" s="390"/>
      <c r="J50" s="390"/>
      <c r="K50" s="390"/>
      <c r="L50" s="390"/>
      <c r="M50" s="390"/>
      <c r="N50" s="390"/>
      <c r="O50" s="390"/>
      <c r="P50" s="404">
        <f t="shared" si="0"/>
        <v>0</v>
      </c>
    </row>
    <row r="51" spans="1:16" ht="21" customHeight="1" x14ac:dyDescent="0.25">
      <c r="A51" s="421"/>
      <c r="B51" s="741" t="s">
        <v>161</v>
      </c>
      <c r="C51" s="742"/>
      <c r="D51" s="742"/>
      <c r="E51" s="742"/>
      <c r="F51" s="742"/>
      <c r="G51" s="742"/>
      <c r="H51" s="742"/>
      <c r="I51" s="742"/>
      <c r="J51" s="742"/>
      <c r="K51" s="742"/>
      <c r="L51" s="742"/>
      <c r="M51" s="742"/>
      <c r="N51" s="742"/>
      <c r="O51" s="742"/>
      <c r="P51" s="743"/>
    </row>
    <row r="52" spans="1:16" x14ac:dyDescent="0.25">
      <c r="A52" s="422"/>
      <c r="B52" s="403">
        <v>16</v>
      </c>
      <c r="C52" s="388" t="s">
        <v>162</v>
      </c>
      <c r="D52" s="247" t="s">
        <v>33</v>
      </c>
      <c r="E52" s="391"/>
      <c r="F52" s="290"/>
      <c r="G52" s="290"/>
      <c r="H52" s="390"/>
      <c r="I52" s="390"/>
      <c r="J52" s="390"/>
      <c r="K52" s="390"/>
      <c r="L52" s="390"/>
      <c r="M52" s="390"/>
      <c r="N52" s="390"/>
      <c r="O52" s="390"/>
      <c r="P52" s="404">
        <f t="shared" si="0"/>
        <v>0</v>
      </c>
    </row>
    <row r="53" spans="1:16" x14ac:dyDescent="0.25">
      <c r="A53" s="422"/>
      <c r="B53" s="403">
        <v>17</v>
      </c>
      <c r="C53" s="388" t="s">
        <v>163</v>
      </c>
      <c r="D53" s="247" t="s">
        <v>33</v>
      </c>
      <c r="E53" s="391"/>
      <c r="F53" s="290"/>
      <c r="G53" s="290"/>
      <c r="H53" s="390"/>
      <c r="I53" s="390"/>
      <c r="J53" s="390"/>
      <c r="K53" s="390"/>
      <c r="L53" s="390"/>
      <c r="M53" s="390"/>
      <c r="N53" s="390"/>
      <c r="O53" s="390"/>
      <c r="P53" s="404">
        <f t="shared" si="0"/>
        <v>0</v>
      </c>
    </row>
    <row r="54" spans="1:16" x14ac:dyDescent="0.25">
      <c r="A54" s="422"/>
      <c r="B54" s="403">
        <v>18</v>
      </c>
      <c r="C54" s="388" t="s">
        <v>164</v>
      </c>
      <c r="D54" s="247" t="s">
        <v>33</v>
      </c>
      <c r="E54" s="391"/>
      <c r="F54" s="290"/>
      <c r="G54" s="290"/>
      <c r="H54" s="390"/>
      <c r="I54" s="390"/>
      <c r="J54" s="390"/>
      <c r="K54" s="390"/>
      <c r="L54" s="390"/>
      <c r="M54" s="390"/>
      <c r="N54" s="390"/>
      <c r="O54" s="390"/>
      <c r="P54" s="404">
        <f t="shared" si="0"/>
        <v>0</v>
      </c>
    </row>
    <row r="55" spans="1:16" x14ac:dyDescent="0.25">
      <c r="A55" s="422"/>
      <c r="B55" s="403">
        <v>19</v>
      </c>
      <c r="C55" s="388" t="s">
        <v>165</v>
      </c>
      <c r="D55" s="247" t="s">
        <v>33</v>
      </c>
      <c r="E55" s="391"/>
      <c r="F55" s="290"/>
      <c r="G55" s="290"/>
      <c r="H55" s="390"/>
      <c r="I55" s="390"/>
      <c r="J55" s="390"/>
      <c r="K55" s="390"/>
      <c r="L55" s="390"/>
      <c r="M55" s="390"/>
      <c r="N55" s="390"/>
      <c r="O55" s="390"/>
      <c r="P55" s="404">
        <f t="shared" si="0"/>
        <v>0</v>
      </c>
    </row>
    <row r="56" spans="1:16" x14ac:dyDescent="0.25">
      <c r="A56" s="422"/>
      <c r="B56" s="405" t="s">
        <v>294</v>
      </c>
      <c r="C56" s="388"/>
      <c r="D56" s="247" t="s">
        <v>254</v>
      </c>
      <c r="E56" s="391"/>
      <c r="F56" s="290"/>
      <c r="G56" s="290"/>
      <c r="H56" s="390"/>
      <c r="I56" s="390"/>
      <c r="J56" s="390"/>
      <c r="K56" s="390"/>
      <c r="L56" s="390"/>
      <c r="M56" s="390"/>
      <c r="N56" s="390"/>
      <c r="O56" s="390"/>
      <c r="P56" s="404">
        <f t="shared" si="0"/>
        <v>0</v>
      </c>
    </row>
    <row r="57" spans="1:16" x14ac:dyDescent="0.25">
      <c r="A57" s="422"/>
      <c r="B57" s="405"/>
      <c r="C57" s="388"/>
      <c r="D57" s="247"/>
      <c r="E57" s="391"/>
      <c r="F57" s="290"/>
      <c r="G57" s="290"/>
      <c r="H57" s="390"/>
      <c r="I57" s="390"/>
      <c r="J57" s="390"/>
      <c r="K57" s="390"/>
      <c r="L57" s="390"/>
      <c r="M57" s="390"/>
      <c r="N57" s="390"/>
      <c r="O57" s="390"/>
      <c r="P57" s="404"/>
    </row>
    <row r="58" spans="1:16" x14ac:dyDescent="0.25">
      <c r="A58" s="422"/>
      <c r="B58" s="405"/>
      <c r="C58" s="388"/>
      <c r="D58" s="247"/>
      <c r="E58" s="391"/>
      <c r="F58" s="290"/>
      <c r="G58" s="290"/>
      <c r="H58" s="390"/>
      <c r="I58" s="390"/>
      <c r="J58" s="390"/>
      <c r="K58" s="390"/>
      <c r="L58" s="390"/>
      <c r="M58" s="390"/>
      <c r="N58" s="390"/>
      <c r="O58" s="390"/>
      <c r="P58" s="404"/>
    </row>
    <row r="59" spans="1:16" x14ac:dyDescent="0.25">
      <c r="A59" s="421"/>
      <c r="B59" s="406"/>
      <c r="C59" s="392"/>
      <c r="D59" s="393"/>
      <c r="E59" s="393"/>
      <c r="F59" s="290"/>
      <c r="G59" s="290"/>
      <c r="H59" s="394"/>
      <c r="I59" s="394"/>
      <c r="J59" s="394"/>
      <c r="K59" s="394"/>
      <c r="L59" s="394"/>
      <c r="M59" s="394"/>
      <c r="N59" s="394"/>
      <c r="O59" s="394"/>
      <c r="P59" s="404"/>
    </row>
    <row r="60" spans="1:16" ht="27" customHeight="1" x14ac:dyDescent="0.25">
      <c r="B60" s="738" t="s">
        <v>166</v>
      </c>
      <c r="C60" s="739"/>
      <c r="D60" s="739"/>
      <c r="E60" s="739"/>
      <c r="F60" s="739"/>
      <c r="G60" s="739"/>
      <c r="H60" s="739"/>
      <c r="I60" s="739"/>
      <c r="J60" s="739"/>
      <c r="K60" s="739"/>
      <c r="L60" s="739"/>
      <c r="M60" s="739"/>
      <c r="N60" s="739"/>
      <c r="O60" s="739"/>
      <c r="P60" s="740"/>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422"/>
      <c r="B62" s="744" t="s">
        <v>167</v>
      </c>
      <c r="C62" s="711"/>
      <c r="D62" s="711"/>
      <c r="E62" s="711"/>
      <c r="F62" s="711"/>
      <c r="G62" s="711"/>
      <c r="H62" s="711"/>
      <c r="I62" s="711"/>
      <c r="J62" s="711"/>
      <c r="K62" s="711"/>
      <c r="L62" s="711"/>
      <c r="M62" s="711"/>
      <c r="N62" s="711"/>
      <c r="O62" s="711"/>
      <c r="P62" s="745"/>
    </row>
    <row r="63" spans="1:16" x14ac:dyDescent="0.25">
      <c r="A63" s="422"/>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422"/>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422"/>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422"/>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422"/>
      <c r="B67" s="405" t="s">
        <v>294</v>
      </c>
      <c r="C67" s="388"/>
      <c r="D67" s="247" t="s">
        <v>254</v>
      </c>
      <c r="E67" s="391"/>
      <c r="F67" s="290"/>
      <c r="G67" s="290"/>
      <c r="H67" s="400"/>
      <c r="I67" s="390"/>
      <c r="J67" s="390"/>
      <c r="K67" s="390"/>
      <c r="L67" s="390"/>
      <c r="M67" s="390"/>
      <c r="N67" s="390"/>
      <c r="O67" s="390"/>
      <c r="P67" s="404"/>
    </row>
    <row r="68" spans="1:16" x14ac:dyDescent="0.25">
      <c r="A68" s="422"/>
      <c r="B68" s="403"/>
      <c r="C68" s="388"/>
      <c r="D68" s="247"/>
      <c r="E68" s="391"/>
      <c r="F68" s="290"/>
      <c r="G68" s="290"/>
      <c r="H68" s="400"/>
      <c r="I68" s="390"/>
      <c r="J68" s="390"/>
      <c r="K68" s="390"/>
      <c r="L68" s="390"/>
      <c r="M68" s="390"/>
      <c r="N68" s="390"/>
      <c r="O68" s="390"/>
      <c r="P68" s="404"/>
    </row>
    <row r="69" spans="1:16" x14ac:dyDescent="0.25">
      <c r="A69" s="422"/>
      <c r="B69" s="403"/>
      <c r="C69" s="388"/>
      <c r="D69" s="247"/>
      <c r="E69" s="391"/>
      <c r="F69" s="290"/>
      <c r="G69" s="290"/>
      <c r="H69" s="400"/>
      <c r="I69" s="390"/>
      <c r="J69" s="390"/>
      <c r="K69" s="390"/>
      <c r="L69" s="390"/>
      <c r="M69" s="390"/>
      <c r="N69" s="390"/>
      <c r="O69" s="390"/>
      <c r="P69" s="404"/>
    </row>
    <row r="70" spans="1:16" x14ac:dyDescent="0.25">
      <c r="A70" s="422"/>
      <c r="B70" s="403"/>
      <c r="C70" s="388"/>
      <c r="D70" s="247"/>
      <c r="E70" s="391"/>
      <c r="F70" s="290"/>
      <c r="G70" s="290"/>
      <c r="H70" s="390"/>
      <c r="I70" s="390"/>
      <c r="J70" s="390"/>
      <c r="K70" s="390"/>
      <c r="L70" s="390"/>
      <c r="M70" s="390"/>
      <c r="N70" s="390"/>
      <c r="O70" s="390"/>
      <c r="P70" s="404">
        <f t="shared" si="0"/>
        <v>0</v>
      </c>
    </row>
    <row r="71" spans="1:16" ht="28.5" customHeight="1" x14ac:dyDescent="0.25">
      <c r="A71" s="422"/>
      <c r="B71" s="744" t="s">
        <v>172</v>
      </c>
      <c r="C71" s="711"/>
      <c r="D71" s="711"/>
      <c r="E71" s="711"/>
      <c r="F71" s="711"/>
      <c r="G71" s="711"/>
      <c r="H71" s="711"/>
      <c r="I71" s="711"/>
      <c r="J71" s="711"/>
      <c r="K71" s="711"/>
      <c r="L71" s="711"/>
      <c r="M71" s="711"/>
      <c r="N71" s="711"/>
      <c r="O71" s="711"/>
      <c r="P71" s="745"/>
    </row>
    <row r="72" spans="1:16" x14ac:dyDescent="0.25">
      <c r="A72" s="422"/>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422"/>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422"/>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422"/>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422"/>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422"/>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422"/>
      <c r="B78" s="403">
        <v>31</v>
      </c>
      <c r="C78" s="388" t="s">
        <v>179</v>
      </c>
      <c r="D78" s="247" t="s">
        <v>33</v>
      </c>
      <c r="E78" s="391"/>
      <c r="F78" s="290"/>
      <c r="G78" s="290"/>
      <c r="H78" s="390"/>
      <c r="I78" s="390"/>
      <c r="J78" s="390"/>
      <c r="K78" s="390"/>
      <c r="L78" s="390"/>
      <c r="M78" s="390"/>
      <c r="N78" s="390"/>
      <c r="O78" s="390"/>
      <c r="P78" s="404">
        <f t="shared" si="0"/>
        <v>0</v>
      </c>
    </row>
    <row r="79" spans="1:16" x14ac:dyDescent="0.25">
      <c r="A79" s="422"/>
      <c r="B79" s="403">
        <v>32</v>
      </c>
      <c r="C79" s="388" t="s">
        <v>180</v>
      </c>
      <c r="D79" s="247" t="s">
        <v>33</v>
      </c>
      <c r="E79" s="391"/>
      <c r="F79" s="290"/>
      <c r="G79" s="290"/>
      <c r="H79" s="390"/>
      <c r="I79" s="390"/>
      <c r="J79" s="390"/>
      <c r="K79" s="390"/>
      <c r="L79" s="390"/>
      <c r="M79" s="390"/>
      <c r="N79" s="390"/>
      <c r="O79" s="390"/>
      <c r="P79" s="404">
        <f t="shared" si="0"/>
        <v>0</v>
      </c>
    </row>
    <row r="80" spans="1:16" x14ac:dyDescent="0.25">
      <c r="A80" s="422"/>
      <c r="B80" s="405" t="s">
        <v>294</v>
      </c>
      <c r="C80" s="388"/>
      <c r="D80" s="247" t="s">
        <v>254</v>
      </c>
      <c r="E80" s="391"/>
      <c r="F80" s="290"/>
      <c r="G80" s="290"/>
      <c r="H80" s="390"/>
      <c r="I80" s="390"/>
      <c r="J80" s="390"/>
      <c r="K80" s="390"/>
      <c r="L80" s="390"/>
      <c r="M80" s="390"/>
      <c r="N80" s="390"/>
      <c r="O80" s="390"/>
      <c r="P80" s="404"/>
    </row>
    <row r="81" spans="1:16" x14ac:dyDescent="0.25">
      <c r="A81" s="422"/>
      <c r="B81" s="403"/>
      <c r="C81" s="388"/>
      <c r="D81" s="247"/>
      <c r="E81" s="391"/>
      <c r="F81" s="290"/>
      <c r="G81" s="290"/>
      <c r="H81" s="390"/>
      <c r="I81" s="390"/>
      <c r="J81" s="390"/>
      <c r="K81" s="390"/>
      <c r="L81" s="390"/>
      <c r="M81" s="390"/>
      <c r="N81" s="390"/>
      <c r="O81" s="390"/>
      <c r="P81" s="404"/>
    </row>
    <row r="82" spans="1:16" x14ac:dyDescent="0.25">
      <c r="A82" s="422"/>
      <c r="B82" s="403"/>
      <c r="C82" s="388"/>
      <c r="D82" s="247"/>
      <c r="E82" s="391"/>
      <c r="F82" s="290"/>
      <c r="G82" s="290"/>
      <c r="H82" s="390"/>
      <c r="I82" s="390"/>
      <c r="J82" s="390"/>
      <c r="K82" s="390"/>
      <c r="L82" s="390"/>
      <c r="M82" s="390"/>
      <c r="N82" s="390"/>
      <c r="O82" s="390"/>
      <c r="P82" s="404"/>
    </row>
    <row r="83" spans="1:16" x14ac:dyDescent="0.25">
      <c r="A83" s="422"/>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422"/>
      <c r="B84" s="744" t="s">
        <v>181</v>
      </c>
      <c r="C84" s="711"/>
      <c r="D84" s="711"/>
      <c r="E84" s="711"/>
      <c r="F84" s="711"/>
      <c r="G84" s="711"/>
      <c r="H84" s="711"/>
      <c r="I84" s="711"/>
      <c r="J84" s="711"/>
      <c r="K84" s="711"/>
      <c r="L84" s="711"/>
      <c r="M84" s="711"/>
      <c r="N84" s="711"/>
      <c r="O84" s="711"/>
      <c r="P84" s="745"/>
    </row>
    <row r="85" spans="1:16" x14ac:dyDescent="0.25">
      <c r="A85" s="422"/>
      <c r="B85" s="403">
        <v>33</v>
      </c>
      <c r="C85" s="388" t="s">
        <v>182</v>
      </c>
      <c r="D85" s="247" t="s">
        <v>33</v>
      </c>
      <c r="E85" s="391"/>
      <c r="F85" s="290"/>
      <c r="G85" s="290"/>
      <c r="H85" s="396"/>
      <c r="I85" s="396"/>
      <c r="J85" s="396"/>
      <c r="K85" s="396"/>
      <c r="L85" s="396"/>
      <c r="M85" s="396"/>
      <c r="N85" s="396"/>
      <c r="O85" s="396"/>
      <c r="P85" s="404">
        <f t="shared" si="1"/>
        <v>0</v>
      </c>
    </row>
    <row r="86" spans="1:16" x14ac:dyDescent="0.25">
      <c r="A86" s="422"/>
      <c r="B86" s="403">
        <v>34</v>
      </c>
      <c r="C86" s="388" t="s">
        <v>183</v>
      </c>
      <c r="D86" s="247" t="s">
        <v>33</v>
      </c>
      <c r="E86" s="391"/>
      <c r="F86" s="290"/>
      <c r="G86" s="290"/>
      <c r="H86" s="396"/>
      <c r="I86" s="396"/>
      <c r="J86" s="396"/>
      <c r="K86" s="396"/>
      <c r="L86" s="396"/>
      <c r="M86" s="396"/>
      <c r="N86" s="396"/>
      <c r="O86" s="396"/>
      <c r="P86" s="404">
        <f t="shared" si="1"/>
        <v>0</v>
      </c>
    </row>
    <row r="87" spans="1:16" x14ac:dyDescent="0.25">
      <c r="A87" s="422"/>
      <c r="B87" s="403">
        <v>35</v>
      </c>
      <c r="C87" s="388" t="s">
        <v>184</v>
      </c>
      <c r="D87" s="247" t="s">
        <v>33</v>
      </c>
      <c r="E87" s="391"/>
      <c r="F87" s="290"/>
      <c r="G87" s="290"/>
      <c r="H87" s="396"/>
      <c r="I87" s="396"/>
      <c r="J87" s="396"/>
      <c r="K87" s="396"/>
      <c r="L87" s="396"/>
      <c r="M87" s="396"/>
      <c r="N87" s="396"/>
      <c r="O87" s="396"/>
      <c r="P87" s="404">
        <f t="shared" si="1"/>
        <v>0</v>
      </c>
    </row>
    <row r="88" spans="1:16" x14ac:dyDescent="0.25">
      <c r="A88" s="422"/>
      <c r="B88" s="405" t="s">
        <v>294</v>
      </c>
      <c r="C88" s="388"/>
      <c r="D88" s="247" t="s">
        <v>254</v>
      </c>
      <c r="E88" s="391"/>
      <c r="F88" s="290"/>
      <c r="G88" s="290"/>
      <c r="H88" s="396"/>
      <c r="I88" s="396"/>
      <c r="J88" s="396"/>
      <c r="K88" s="396"/>
      <c r="L88" s="396"/>
      <c r="M88" s="396"/>
      <c r="N88" s="396"/>
      <c r="O88" s="396"/>
      <c r="P88" s="404"/>
    </row>
    <row r="89" spans="1:16" x14ac:dyDescent="0.25">
      <c r="A89" s="422"/>
      <c r="B89" s="403"/>
      <c r="C89" s="388"/>
      <c r="D89" s="247"/>
      <c r="E89" s="391"/>
      <c r="F89" s="290"/>
      <c r="G89" s="290"/>
      <c r="H89" s="396"/>
      <c r="I89" s="396"/>
      <c r="J89" s="396"/>
      <c r="K89" s="396"/>
      <c r="L89" s="396"/>
      <c r="M89" s="396"/>
      <c r="N89" s="396"/>
      <c r="O89" s="396"/>
      <c r="P89" s="404"/>
    </row>
    <row r="90" spans="1:16" x14ac:dyDescent="0.25">
      <c r="A90" s="422"/>
      <c r="B90" s="403"/>
      <c r="C90" s="388"/>
      <c r="D90" s="247"/>
      <c r="E90" s="391"/>
      <c r="F90" s="290"/>
      <c r="G90" s="290"/>
      <c r="H90" s="396"/>
      <c r="I90" s="396"/>
      <c r="J90" s="396"/>
      <c r="K90" s="396"/>
      <c r="L90" s="396"/>
      <c r="M90" s="396"/>
      <c r="N90" s="396"/>
      <c r="O90" s="396"/>
      <c r="P90" s="404"/>
    </row>
    <row r="91" spans="1:16" x14ac:dyDescent="0.25">
      <c r="A91" s="422"/>
      <c r="B91" s="403"/>
      <c r="C91" s="388"/>
      <c r="D91" s="247"/>
      <c r="E91" s="391"/>
      <c r="F91" s="290"/>
      <c r="G91" s="290"/>
      <c r="H91" s="396"/>
      <c r="I91" s="396"/>
      <c r="J91" s="396"/>
      <c r="K91" s="396"/>
      <c r="L91" s="396"/>
      <c r="M91" s="396"/>
      <c r="N91" s="396"/>
      <c r="O91" s="396"/>
      <c r="P91" s="404">
        <f t="shared" si="1"/>
        <v>0</v>
      </c>
    </row>
    <row r="92" spans="1:16" ht="24" customHeight="1" x14ac:dyDescent="0.25">
      <c r="A92" s="422"/>
      <c r="B92" s="744" t="s">
        <v>185</v>
      </c>
      <c r="C92" s="711"/>
      <c r="D92" s="711"/>
      <c r="E92" s="711"/>
      <c r="F92" s="711"/>
      <c r="G92" s="711"/>
      <c r="H92" s="711"/>
      <c r="I92" s="711"/>
      <c r="J92" s="711"/>
      <c r="K92" s="711"/>
      <c r="L92" s="711"/>
      <c r="M92" s="711"/>
      <c r="N92" s="711"/>
      <c r="O92" s="711"/>
      <c r="P92" s="745"/>
    </row>
    <row r="93" spans="1:16" ht="42.75" x14ac:dyDescent="0.25">
      <c r="A93" s="422"/>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422"/>
      <c r="B94" s="403">
        <v>37</v>
      </c>
      <c r="C94" s="388" t="s">
        <v>187</v>
      </c>
      <c r="D94" s="247" t="s">
        <v>33</v>
      </c>
      <c r="E94" s="391"/>
      <c r="F94" s="290"/>
      <c r="G94" s="290"/>
      <c r="H94" s="396"/>
      <c r="I94" s="396"/>
      <c r="J94" s="396"/>
      <c r="K94" s="396"/>
      <c r="L94" s="396"/>
      <c r="M94" s="396"/>
      <c r="N94" s="396"/>
      <c r="O94" s="396"/>
      <c r="P94" s="404">
        <f t="shared" si="1"/>
        <v>0</v>
      </c>
    </row>
    <row r="95" spans="1:16" x14ac:dyDescent="0.25">
      <c r="A95" s="422"/>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422"/>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422"/>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422"/>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422"/>
      <c r="B99" s="403">
        <v>42</v>
      </c>
      <c r="C99" s="388" t="s">
        <v>192</v>
      </c>
      <c r="D99" s="247" t="s">
        <v>33</v>
      </c>
      <c r="E99" s="391"/>
      <c r="F99" s="290"/>
      <c r="G99" s="290"/>
      <c r="H99" s="396"/>
      <c r="I99" s="396"/>
      <c r="J99" s="396"/>
      <c r="K99" s="396"/>
      <c r="L99" s="396"/>
      <c r="M99" s="396"/>
      <c r="N99" s="396"/>
      <c r="O99" s="396"/>
      <c r="P99" s="404">
        <f t="shared" si="1"/>
        <v>0</v>
      </c>
    </row>
    <row r="100" spans="1:16" x14ac:dyDescent="0.25">
      <c r="A100" s="422"/>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422"/>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422"/>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422"/>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422"/>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422"/>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422"/>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422"/>
      <c r="B107" s="405" t="s">
        <v>294</v>
      </c>
      <c r="C107" s="388"/>
      <c r="D107" s="247" t="s">
        <v>254</v>
      </c>
      <c r="E107" s="391"/>
      <c r="F107" s="290"/>
      <c r="G107" s="290"/>
      <c r="H107" s="396"/>
      <c r="I107" s="396"/>
      <c r="J107" s="396"/>
      <c r="K107" s="396"/>
      <c r="L107" s="396"/>
      <c r="M107" s="396"/>
      <c r="N107" s="396"/>
      <c r="O107" s="396"/>
      <c r="P107" s="404"/>
    </row>
    <row r="108" spans="1:16" x14ac:dyDescent="0.25">
      <c r="A108" s="422"/>
      <c r="B108" s="403"/>
      <c r="C108" s="388"/>
      <c r="D108" s="247"/>
      <c r="E108" s="391"/>
      <c r="F108" s="290"/>
      <c r="G108" s="290"/>
      <c r="H108" s="396"/>
      <c r="I108" s="396"/>
      <c r="J108" s="396"/>
      <c r="K108" s="396"/>
      <c r="L108" s="396"/>
      <c r="M108" s="396"/>
      <c r="N108" s="396"/>
      <c r="O108" s="396"/>
      <c r="P108" s="404"/>
    </row>
    <row r="109" spans="1:16" x14ac:dyDescent="0.25">
      <c r="A109" s="422"/>
      <c r="B109" s="403"/>
      <c r="C109" s="388"/>
      <c r="D109" s="247"/>
      <c r="E109" s="391"/>
      <c r="F109" s="290"/>
      <c r="G109" s="290"/>
      <c r="H109" s="396"/>
      <c r="I109" s="396"/>
      <c r="J109" s="396"/>
      <c r="K109" s="396"/>
      <c r="L109" s="396"/>
      <c r="M109" s="396"/>
      <c r="N109" s="396"/>
      <c r="O109" s="396"/>
      <c r="P109" s="404"/>
    </row>
    <row r="110" spans="1:16" x14ac:dyDescent="0.25">
      <c r="A110" s="422"/>
      <c r="B110" s="403"/>
      <c r="C110" s="388"/>
      <c r="D110" s="247"/>
      <c r="E110" s="391"/>
      <c r="F110" s="290"/>
      <c r="G110" s="290"/>
      <c r="H110" s="396"/>
      <c r="I110" s="396"/>
      <c r="J110" s="396"/>
      <c r="K110" s="396"/>
      <c r="L110" s="396"/>
      <c r="M110" s="396"/>
      <c r="N110" s="396"/>
      <c r="O110" s="396"/>
      <c r="P110" s="404"/>
    </row>
    <row r="111" spans="1:16" x14ac:dyDescent="0.25">
      <c r="B111" s="338"/>
      <c r="C111" s="697" t="s">
        <v>222</v>
      </c>
      <c r="D111" s="697"/>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698" t="s">
        <v>261</v>
      </c>
      <c r="D112" s="69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98" t="s">
        <v>262</v>
      </c>
      <c r="D113" s="698"/>
      <c r="E113" s="262"/>
      <c r="F113" s="260"/>
      <c r="G113" s="260"/>
      <c r="H113" s="262"/>
      <c r="I113" s="262"/>
      <c r="J113" s="263">
        <f>J112-(E32*G32*J32)</f>
        <v>0</v>
      </c>
      <c r="K113" s="262">
        <f>K112-(E32*G32*K32)</f>
        <v>0</v>
      </c>
      <c r="L113" s="262"/>
      <c r="M113" s="262"/>
      <c r="N113" s="262"/>
      <c r="O113" s="262"/>
      <c r="P113" s="269"/>
    </row>
    <row r="114" spans="2:16" x14ac:dyDescent="0.25">
      <c r="B114" s="270"/>
      <c r="C114" s="699"/>
      <c r="D114" s="699"/>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0" t="s">
        <v>328</v>
      </c>
      <c r="D116" s="700"/>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0" t="s">
        <v>296</v>
      </c>
      <c r="D117" s="700"/>
      <c r="E117" s="255"/>
      <c r="F117" s="257"/>
      <c r="G117" s="257"/>
      <c r="H117" s="290"/>
      <c r="I117" s="290"/>
      <c r="J117" s="290"/>
      <c r="K117" s="290"/>
      <c r="L117" s="290"/>
      <c r="M117" s="290"/>
      <c r="N117" s="290"/>
      <c r="O117" s="247"/>
      <c r="P117" s="272">
        <f>SUM(H117:O117)</f>
        <v>0</v>
      </c>
    </row>
    <row r="118" spans="2:16" x14ac:dyDescent="0.25">
      <c r="B118" s="366"/>
      <c r="C118" s="700" t="s">
        <v>297</v>
      </c>
      <c r="D118" s="700"/>
      <c r="E118" s="255"/>
      <c r="F118" s="257"/>
      <c r="G118" s="257"/>
      <c r="H118" s="290"/>
      <c r="I118" s="290"/>
      <c r="J118" s="290"/>
      <c r="K118" s="290"/>
      <c r="L118" s="290"/>
      <c r="M118" s="290"/>
      <c r="N118" s="290"/>
      <c r="O118" s="247"/>
      <c r="P118" s="272">
        <f>SUM(H118:O118)</f>
        <v>0</v>
      </c>
    </row>
    <row r="119" spans="2:16" x14ac:dyDescent="0.25">
      <c r="B119" s="366"/>
      <c r="C119" s="700" t="s">
        <v>298</v>
      </c>
      <c r="D119" s="700"/>
      <c r="E119" s="255"/>
      <c r="F119" s="257"/>
      <c r="G119" s="257"/>
      <c r="H119" s="290"/>
      <c r="I119" s="290"/>
      <c r="J119" s="290"/>
      <c r="K119" s="290"/>
      <c r="L119" s="290"/>
      <c r="M119" s="290"/>
      <c r="N119" s="290"/>
      <c r="O119" s="247"/>
      <c r="P119" s="272">
        <f t="shared" ref="P119" si="2">SUM(H119:O119)</f>
        <v>0</v>
      </c>
    </row>
    <row r="120" spans="2:16" x14ac:dyDescent="0.25">
      <c r="B120" s="366"/>
      <c r="C120" s="700" t="s">
        <v>299</v>
      </c>
      <c r="D120" s="700"/>
      <c r="E120" s="255"/>
      <c r="F120" s="257"/>
      <c r="G120" s="257"/>
      <c r="H120" s="290"/>
      <c r="I120" s="290"/>
      <c r="J120" s="290"/>
      <c r="K120" s="290"/>
      <c r="L120" s="290"/>
      <c r="M120" s="290"/>
      <c r="N120" s="290"/>
      <c r="O120" s="247"/>
      <c r="P120" s="272">
        <f>SUM(H120:O120)</f>
        <v>0</v>
      </c>
    </row>
    <row r="121" spans="2:16" x14ac:dyDescent="0.25">
      <c r="B121" s="366"/>
      <c r="C121" s="700" t="s">
        <v>300</v>
      </c>
      <c r="D121" s="700"/>
      <c r="E121" s="255"/>
      <c r="F121" s="257"/>
      <c r="G121" s="257"/>
      <c r="H121" s="363" t="e">
        <f>'5.  2015 LRAM'!H129*H116</f>
        <v>#REF!</v>
      </c>
      <c r="I121" s="363" t="e">
        <f>'5.  2015 LRAM'!I129*I116</f>
        <v>#REF!</v>
      </c>
      <c r="J121" s="363" t="e">
        <f>'5.  2015 LRAM'!J129*J116</f>
        <v>#REF!</v>
      </c>
      <c r="K121" s="363" t="e">
        <f>'5.  2015 LRAM'!K129*K116</f>
        <v>#REF!</v>
      </c>
      <c r="L121" s="363" t="e">
        <f>'5.  2015 LRAM'!L129*L116</f>
        <v>#REF!</v>
      </c>
      <c r="M121" s="363" t="e">
        <f>'5.  2015 LRAM'!M129*M116</f>
        <v>#REF!</v>
      </c>
      <c r="N121" s="363" t="e">
        <f>'5.  2015 LRAM'!N129*N116</f>
        <v>#REF!</v>
      </c>
      <c r="O121" s="247"/>
      <c r="P121" s="272" t="e">
        <f t="shared" ref="P121:P122" si="3">SUM(H121:O121)</f>
        <v>#REF!</v>
      </c>
    </row>
    <row r="122" spans="2:16" x14ac:dyDescent="0.25">
      <c r="B122" s="366"/>
      <c r="C122" s="700" t="s">
        <v>301</v>
      </c>
      <c r="D122" s="700"/>
      <c r="E122" s="255"/>
      <c r="F122" s="257"/>
      <c r="G122" s="257"/>
      <c r="H122" s="363" t="e">
        <f>'5-b. 2016 LRAM'!H127*H116</f>
        <v>#DIV/0!</v>
      </c>
      <c r="I122" s="363" t="e">
        <f>'5-b. 2016 LRAM'!I127*I116</f>
        <v>#DIV/0!</v>
      </c>
      <c r="J122" s="363" t="e">
        <f>'5-b. 2016 LRAM'!J127*J116</f>
        <v>#DIV/0!</v>
      </c>
      <c r="K122" s="363" t="e">
        <f>'5-b. 2016 LRAM'!K127*K116</f>
        <v>#DIV/0!</v>
      </c>
      <c r="L122" s="363" t="e">
        <f>'5-b. 2016 LRAM'!L127*L116</f>
        <v>#REF!</v>
      </c>
      <c r="M122" s="363" t="e">
        <f>'5-b. 2016 LRAM'!M127*M116</f>
        <v>#REF!</v>
      </c>
      <c r="N122" s="363" t="e">
        <f>'5-b. 2016 LRAM'!N127*N116</f>
        <v>#REF!</v>
      </c>
      <c r="O122" s="247"/>
      <c r="P122" s="272" t="e">
        <f t="shared" si="3"/>
        <v>#DIV/0!</v>
      </c>
    </row>
    <row r="123" spans="2:16" x14ac:dyDescent="0.25">
      <c r="B123" s="366"/>
      <c r="C123" s="700" t="s">
        <v>302</v>
      </c>
      <c r="D123" s="700"/>
      <c r="E123" s="255"/>
      <c r="F123" s="257"/>
      <c r="G123" s="257"/>
      <c r="H123" s="363" t="e">
        <f>'5-c.  2017 LRAM'!H128*H116</f>
        <v>#DIV/0!</v>
      </c>
      <c r="I123" s="363" t="e">
        <f>'5-c.  2017 LRAM'!I128*I116</f>
        <v>#DIV/0!</v>
      </c>
      <c r="J123" s="363" t="e">
        <f>'5-c.  2017 LRAM'!J128*J116</f>
        <v>#DIV/0!</v>
      </c>
      <c r="K123" s="363" t="e">
        <f>'5-c.  2017 LRAM'!K128*K116</f>
        <v>#DIV/0!</v>
      </c>
      <c r="L123" s="363" t="e">
        <f>'5-c.  2017 LRAM'!L128*L116</f>
        <v>#REF!</v>
      </c>
      <c r="M123" s="363" t="e">
        <f>'5-c.  2017 LRAM'!M128*M116</f>
        <v>#REF!</v>
      </c>
      <c r="N123" s="363" t="e">
        <f>'5-c.  2017 LRAM'!N128*N116</f>
        <v>#DIV/0!</v>
      </c>
      <c r="O123" s="247"/>
      <c r="P123" s="272" t="e">
        <f>SUM(H123:O123)</f>
        <v>#DIV/0!</v>
      </c>
    </row>
    <row r="124" spans="2:16" x14ac:dyDescent="0.25">
      <c r="B124" s="366"/>
      <c r="C124" s="700" t="s">
        <v>303</v>
      </c>
      <c r="D124" s="700"/>
      <c r="E124" s="255"/>
      <c r="F124" s="257"/>
      <c r="G124" s="257"/>
      <c r="H124" s="363" t="e">
        <f>'5-d.  2018 LRAM'!H127*H116</f>
        <v>#DIV/0!</v>
      </c>
      <c r="I124" s="363" t="e">
        <f>'5-d.  2018 LRAM'!I127*I116</f>
        <v>#DIV/0!</v>
      </c>
      <c r="J124" s="363" t="e">
        <f>'5-d.  2018 LRAM'!J127*J116</f>
        <v>#DIV/0!</v>
      </c>
      <c r="K124" s="363" t="e">
        <f>'5-d.  2018 LRAM'!K127*K116</f>
        <v>#DIV/0!</v>
      </c>
      <c r="L124" s="363" t="e">
        <f>'5-d.  2018 LRAM'!L127*L116</f>
        <v>#REF!</v>
      </c>
      <c r="M124" s="363" t="e">
        <f>'5-d.  2018 LRAM'!M127*M116</f>
        <v>#REF!</v>
      </c>
      <c r="N124" s="363" t="e">
        <f>'5-d.  2018 LRAM'!N127*N116</f>
        <v>#REF!</v>
      </c>
      <c r="O124" s="247"/>
      <c r="P124" s="272" t="e">
        <f t="shared" ref="P124:P125" si="4">SUM(H124:O124)</f>
        <v>#DIV/0!</v>
      </c>
    </row>
    <row r="125" spans="2:16" x14ac:dyDescent="0.25">
      <c r="B125" s="366"/>
      <c r="C125" s="700" t="s">
        <v>304</v>
      </c>
      <c r="D125" s="700"/>
      <c r="E125" s="255"/>
      <c r="F125" s="257"/>
      <c r="G125" s="257"/>
      <c r="H125" s="363" t="e">
        <f>H111*H116</f>
        <v>#REF!</v>
      </c>
      <c r="I125" s="363" t="e">
        <f>I111*I116</f>
        <v>#REF!</v>
      </c>
      <c r="J125" s="363" t="e">
        <f>J112*J116</f>
        <v>#REF!</v>
      </c>
      <c r="K125" s="363" t="e">
        <f>K112*K116</f>
        <v>#REF!</v>
      </c>
      <c r="L125" s="363" t="e">
        <f>L112*L116</f>
        <v>#REF!</v>
      </c>
      <c r="M125" s="363" t="e">
        <f>M112*M116</f>
        <v>#REF!</v>
      </c>
      <c r="N125" s="363" t="e">
        <f>N111*N116</f>
        <v>#REF!</v>
      </c>
      <c r="O125" s="247"/>
      <c r="P125" s="272" t="e">
        <f t="shared" si="4"/>
        <v>#REF!</v>
      </c>
    </row>
    <row r="126" spans="2:16" x14ac:dyDescent="0.25">
      <c r="B126" s="270"/>
      <c r="C126" s="364" t="s">
        <v>295</v>
      </c>
      <c r="D126" s="255"/>
      <c r="E126" s="255"/>
      <c r="F126" s="253"/>
      <c r="G126" s="253"/>
      <c r="H126" s="259" t="e">
        <f t="shared" ref="H126:N126" si="5">SUM(H117:H125)</f>
        <v>#REF!</v>
      </c>
      <c r="I126" s="259" t="e">
        <f t="shared" si="5"/>
        <v>#REF!</v>
      </c>
      <c r="J126" s="259" t="e">
        <f t="shared" si="5"/>
        <v>#REF!</v>
      </c>
      <c r="K126" s="259" t="e">
        <f t="shared" si="5"/>
        <v>#REF!</v>
      </c>
      <c r="L126" s="259" t="e">
        <f t="shared" si="5"/>
        <v>#REF!</v>
      </c>
      <c r="M126" s="259" t="e">
        <f t="shared" si="5"/>
        <v>#REF!</v>
      </c>
      <c r="N126" s="259" t="e">
        <f t="shared" si="5"/>
        <v>#REF!</v>
      </c>
      <c r="O126" s="255"/>
      <c r="P126" s="273" t="e">
        <f>SUM(P117:P125)</f>
        <v>#REF!</v>
      </c>
    </row>
    <row r="127" spans="2:16" x14ac:dyDescent="0.25">
      <c r="B127" s="270"/>
      <c r="C127" s="364"/>
      <c r="D127" s="255"/>
      <c r="E127" s="255"/>
      <c r="F127" s="253"/>
      <c r="G127" s="253"/>
      <c r="H127" s="259"/>
      <c r="I127" s="259"/>
      <c r="J127" s="259"/>
      <c r="K127" s="259"/>
      <c r="L127" s="259"/>
      <c r="M127" s="259"/>
      <c r="N127" s="259"/>
      <c r="O127" s="255"/>
      <c r="P127" s="273"/>
    </row>
    <row r="128" spans="2:16" x14ac:dyDescent="0.25">
      <c r="B128" s="398"/>
      <c r="C128" s="728" t="s">
        <v>305</v>
      </c>
      <c r="D128" s="728"/>
      <c r="E128" s="399"/>
      <c r="F128" s="317"/>
      <c r="G128" s="317"/>
      <c r="H128" s="383" t="e">
        <f>H111*'6.  Persistence Rates'!$I$48</f>
        <v>#DIV/0!</v>
      </c>
      <c r="I128" s="383" t="e">
        <f>I111*'6.  Persistence Rates'!$I$48</f>
        <v>#DIV/0!</v>
      </c>
      <c r="J128" s="383" t="e">
        <f>J112*'6.  Persistence Rates'!$V$48</f>
        <v>#DIV/0!</v>
      </c>
      <c r="K128" s="383" t="e">
        <f>K112*'6.  Persistence Rates'!$V$48</f>
        <v>#DIV/0!</v>
      </c>
      <c r="L128" s="383" t="e">
        <f>L112*'6.  Persistence Rates'!$V$48</f>
        <v>#DIV/0!</v>
      </c>
      <c r="M128" s="383" t="e">
        <f>M112*'6.  Persistence Rates'!$V$48</f>
        <v>#DIV/0!</v>
      </c>
      <c r="N128" s="383" t="e">
        <f>N111*'6.  Persistence Rates'!$I$48</f>
        <v>#DIV/0!</v>
      </c>
      <c r="O128" s="317"/>
      <c r="P128" s="38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11" customWidth="1"/>
    <col min="4" max="4" width="12.28515625" style="412" customWidth="1"/>
    <col min="5" max="5" width="13.28515625" style="41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747" t="s">
        <v>306</v>
      </c>
      <c r="C2" s="747"/>
      <c r="D2" s="747"/>
      <c r="E2" s="747"/>
      <c r="F2" s="747"/>
      <c r="G2" s="747"/>
      <c r="H2" s="747"/>
      <c r="I2" s="747"/>
      <c r="J2" s="747"/>
      <c r="K2" s="747"/>
      <c r="L2" s="747"/>
      <c r="M2" s="747"/>
      <c r="N2" s="747"/>
      <c r="O2" s="747"/>
      <c r="P2" s="747"/>
    </row>
    <row r="3" spans="1:18" ht="18.75" outlineLevel="1" x14ac:dyDescent="0.3">
      <c r="B3" s="414"/>
      <c r="C3" s="414"/>
      <c r="D3" s="414"/>
      <c r="E3" s="414"/>
      <c r="F3" s="414"/>
      <c r="G3" s="414"/>
      <c r="H3" s="414"/>
      <c r="I3" s="414"/>
      <c r="J3" s="414"/>
      <c r="K3" s="414"/>
      <c r="L3" s="414"/>
      <c r="M3" s="414"/>
      <c r="N3" s="414"/>
      <c r="O3" s="414"/>
      <c r="P3" s="414"/>
    </row>
    <row r="4" spans="1:18" ht="35.25" customHeight="1" outlineLevel="1" x14ac:dyDescent="0.3">
      <c r="A4" s="323"/>
      <c r="B4" s="414"/>
      <c r="C4" s="354" t="s">
        <v>399</v>
      </c>
      <c r="D4" s="415"/>
      <c r="E4" s="746" t="s">
        <v>362</v>
      </c>
      <c r="F4" s="746"/>
      <c r="G4" s="746"/>
      <c r="H4" s="746"/>
      <c r="I4" s="746"/>
      <c r="J4" s="746"/>
      <c r="K4" s="746"/>
      <c r="L4" s="746"/>
      <c r="M4" s="746"/>
      <c r="N4" s="746"/>
      <c r="O4" s="746"/>
      <c r="P4" s="746"/>
    </row>
    <row r="5" spans="1:18" ht="18.75" customHeight="1" outlineLevel="1" x14ac:dyDescent="0.3">
      <c r="B5" s="414"/>
      <c r="C5" s="416"/>
      <c r="D5" s="415"/>
      <c r="E5" s="357" t="s">
        <v>356</v>
      </c>
      <c r="F5" s="415"/>
      <c r="G5" s="415"/>
      <c r="H5" s="415"/>
      <c r="I5" s="415"/>
      <c r="J5" s="415"/>
      <c r="K5" s="415"/>
      <c r="L5" s="415"/>
      <c r="M5" s="415"/>
      <c r="N5" s="415"/>
      <c r="O5" s="415"/>
      <c r="P5" s="415"/>
    </row>
    <row r="6" spans="1:18" ht="18.75" customHeight="1" outlineLevel="1" x14ac:dyDescent="0.3">
      <c r="B6" s="414"/>
      <c r="C6" s="416"/>
      <c r="D6" s="415"/>
      <c r="E6" s="357" t="s">
        <v>357</v>
      </c>
      <c r="F6" s="415"/>
      <c r="G6" s="415"/>
      <c r="H6" s="415"/>
      <c r="I6" s="415"/>
      <c r="J6" s="415"/>
      <c r="K6" s="415"/>
      <c r="L6" s="415"/>
      <c r="M6" s="415"/>
      <c r="N6" s="415"/>
      <c r="O6" s="415"/>
      <c r="P6" s="415"/>
    </row>
    <row r="7" spans="1:18" ht="18.75" customHeight="1" outlineLevel="1" x14ac:dyDescent="0.3">
      <c r="B7" s="414"/>
      <c r="C7" s="416"/>
      <c r="D7" s="415"/>
      <c r="E7" s="357" t="s">
        <v>416</v>
      </c>
      <c r="F7" s="415"/>
      <c r="G7" s="415"/>
      <c r="H7" s="415"/>
      <c r="I7" s="415"/>
      <c r="J7" s="415"/>
      <c r="K7" s="415"/>
      <c r="L7" s="415"/>
      <c r="M7" s="415"/>
      <c r="N7" s="415"/>
      <c r="O7" s="415"/>
      <c r="P7" s="415"/>
    </row>
    <row r="8" spans="1:18" ht="18.75" customHeight="1" outlineLevel="1" x14ac:dyDescent="0.3">
      <c r="B8" s="414"/>
      <c r="C8" s="416"/>
      <c r="D8" s="415"/>
      <c r="E8" s="357"/>
      <c r="F8" s="415"/>
      <c r="G8" s="415"/>
      <c r="H8" s="415"/>
      <c r="I8" s="415"/>
      <c r="J8" s="415"/>
      <c r="K8" s="415"/>
      <c r="L8" s="415"/>
      <c r="M8" s="415"/>
      <c r="N8" s="415"/>
      <c r="O8" s="415"/>
      <c r="P8" s="415"/>
    </row>
    <row r="9" spans="1:18" ht="18.75" customHeight="1" outlineLevel="1" x14ac:dyDescent="0.3">
      <c r="B9" s="414"/>
      <c r="C9" s="229" t="s">
        <v>337</v>
      </c>
      <c r="D9" s="414"/>
      <c r="E9" s="230" t="s">
        <v>363</v>
      </c>
      <c r="F9" s="423"/>
      <c r="G9" s="414"/>
      <c r="H9" s="414"/>
      <c r="I9" s="414"/>
      <c r="J9" s="414"/>
      <c r="K9" s="414"/>
      <c r="L9" s="414"/>
      <c r="M9" s="414"/>
      <c r="N9" s="414"/>
      <c r="O9" s="414"/>
      <c r="P9" s="414"/>
      <c r="R9" s="82"/>
    </row>
    <row r="10" spans="1:18" ht="18.75" customHeight="1" outlineLevel="1" x14ac:dyDescent="0.3">
      <c r="B10" s="414"/>
      <c r="C10" s="414"/>
      <c r="D10" s="414"/>
      <c r="E10" s="748" t="s">
        <v>338</v>
      </c>
      <c r="F10" s="748"/>
      <c r="G10" s="414"/>
      <c r="H10" s="414"/>
      <c r="I10" s="414"/>
      <c r="J10" s="414"/>
      <c r="K10" s="414"/>
      <c r="L10" s="414"/>
      <c r="M10" s="414"/>
      <c r="N10" s="414"/>
      <c r="O10" s="414"/>
      <c r="P10" s="414"/>
    </row>
    <row r="11" spans="1:18" x14ac:dyDescent="0.25">
      <c r="A11" s="421"/>
      <c r="C11" s="418"/>
      <c r="D11" s="419"/>
      <c r="E11" s="419"/>
    </row>
    <row r="12" spans="1:18" ht="18.75" x14ac:dyDescent="0.3">
      <c r="B12" s="417" t="s">
        <v>477</v>
      </c>
      <c r="C12" s="414"/>
      <c r="D12" s="414"/>
      <c r="E12" s="414"/>
      <c r="F12" s="414"/>
      <c r="G12" s="414"/>
      <c r="H12" s="414"/>
      <c r="I12" s="414"/>
      <c r="J12" s="414"/>
      <c r="K12" s="414"/>
      <c r="L12" s="414"/>
      <c r="M12" s="414"/>
      <c r="N12" s="414"/>
      <c r="O12" s="414"/>
      <c r="P12" s="414"/>
    </row>
    <row r="13" spans="1:18" ht="45" x14ac:dyDescent="0.25">
      <c r="B13" s="730" t="s">
        <v>58</v>
      </c>
      <c r="C13" s="732" t="s">
        <v>0</v>
      </c>
      <c r="D13" s="732" t="s">
        <v>44</v>
      </c>
      <c r="E13" s="732" t="s">
        <v>206</v>
      </c>
      <c r="F13" s="232" t="s">
        <v>203</v>
      </c>
      <c r="G13" s="232" t="s">
        <v>45</v>
      </c>
      <c r="H13" s="734" t="s">
        <v>59</v>
      </c>
      <c r="I13" s="734"/>
      <c r="J13" s="734"/>
      <c r="K13" s="734"/>
      <c r="L13" s="734"/>
      <c r="M13" s="734"/>
      <c r="N13" s="734"/>
      <c r="O13" s="734"/>
      <c r="P13" s="735"/>
    </row>
    <row r="14" spans="1:18" ht="60" x14ac:dyDescent="0.25">
      <c r="B14" s="731"/>
      <c r="C14" s="733"/>
      <c r="D14" s="733"/>
      <c r="E14" s="733"/>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38" t="s">
        <v>142</v>
      </c>
      <c r="C15" s="739"/>
      <c r="D15" s="739"/>
      <c r="E15" s="739"/>
      <c r="F15" s="739"/>
      <c r="G15" s="739"/>
      <c r="H15" s="739"/>
      <c r="I15" s="739"/>
      <c r="J15" s="739"/>
      <c r="K15" s="739"/>
      <c r="L15" s="739"/>
      <c r="M15" s="739"/>
      <c r="N15" s="739"/>
      <c r="O15" s="739"/>
      <c r="P15" s="740"/>
    </row>
    <row r="16" spans="1:18" ht="26.25" customHeight="1" x14ac:dyDescent="0.25">
      <c r="A16" s="422"/>
      <c r="B16" s="741" t="s">
        <v>143</v>
      </c>
      <c r="C16" s="742"/>
      <c r="D16" s="742"/>
      <c r="E16" s="742"/>
      <c r="F16" s="742"/>
      <c r="G16" s="742"/>
      <c r="H16" s="742"/>
      <c r="I16" s="742"/>
      <c r="J16" s="742"/>
      <c r="K16" s="742"/>
      <c r="L16" s="742"/>
      <c r="M16" s="742"/>
      <c r="N16" s="742"/>
      <c r="O16" s="742"/>
      <c r="P16" s="743"/>
    </row>
    <row r="17" spans="1:16" x14ac:dyDescent="0.25">
      <c r="A17" s="422"/>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0"/>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422"/>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422"/>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422"/>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422"/>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422"/>
      <c r="B23" s="405" t="s">
        <v>319</v>
      </c>
      <c r="C23" s="388"/>
      <c r="D23" s="247" t="s">
        <v>254</v>
      </c>
      <c r="E23" s="391"/>
      <c r="F23" s="290"/>
      <c r="G23" s="290"/>
      <c r="H23" s="400"/>
      <c r="I23" s="390"/>
      <c r="J23" s="390"/>
      <c r="K23" s="390"/>
      <c r="L23" s="390"/>
      <c r="M23" s="390"/>
      <c r="N23" s="390"/>
      <c r="O23" s="390"/>
      <c r="P23" s="404">
        <f t="shared" si="0"/>
        <v>0</v>
      </c>
    </row>
    <row r="24" spans="1:16" x14ac:dyDescent="0.25">
      <c r="A24" s="422"/>
      <c r="B24" s="403"/>
      <c r="C24" s="388"/>
      <c r="D24" s="247"/>
      <c r="E24" s="391"/>
      <c r="F24" s="290"/>
      <c r="G24" s="290"/>
      <c r="H24" s="400"/>
      <c r="I24" s="390"/>
      <c r="J24" s="390"/>
      <c r="K24" s="390"/>
      <c r="L24" s="390"/>
      <c r="M24" s="390"/>
      <c r="N24" s="390"/>
      <c r="O24" s="390"/>
      <c r="P24" s="404">
        <f t="shared" si="0"/>
        <v>0</v>
      </c>
    </row>
    <row r="25" spans="1:16" x14ac:dyDescent="0.25">
      <c r="A25" s="422"/>
      <c r="B25" s="403"/>
      <c r="C25" s="388"/>
      <c r="D25" s="247"/>
      <c r="E25" s="391"/>
      <c r="F25" s="290"/>
      <c r="G25" s="290"/>
      <c r="H25" s="400"/>
      <c r="I25" s="390"/>
      <c r="J25" s="390"/>
      <c r="K25" s="390"/>
      <c r="L25" s="390"/>
      <c r="M25" s="390"/>
      <c r="N25" s="390"/>
      <c r="O25" s="390"/>
      <c r="P25" s="404">
        <f t="shared" si="0"/>
        <v>0</v>
      </c>
    </row>
    <row r="26" spans="1:16" x14ac:dyDescent="0.25">
      <c r="A26" s="422"/>
      <c r="B26" s="403"/>
      <c r="C26" s="388"/>
      <c r="D26" s="247"/>
      <c r="E26" s="391"/>
      <c r="F26" s="290"/>
      <c r="G26" s="290"/>
      <c r="H26" s="400"/>
      <c r="I26" s="390"/>
      <c r="J26" s="390"/>
      <c r="K26" s="390"/>
      <c r="L26" s="390"/>
      <c r="M26" s="390"/>
      <c r="N26" s="390"/>
      <c r="O26" s="390"/>
      <c r="P26" s="404">
        <f t="shared" si="0"/>
        <v>0</v>
      </c>
    </row>
    <row r="27" spans="1:16" ht="25.5" customHeight="1" x14ac:dyDescent="0.25">
      <c r="A27" s="422"/>
      <c r="B27" s="741" t="s">
        <v>150</v>
      </c>
      <c r="C27" s="742"/>
      <c r="D27" s="742"/>
      <c r="E27" s="742"/>
      <c r="F27" s="742"/>
      <c r="G27" s="742"/>
      <c r="H27" s="742"/>
      <c r="I27" s="742"/>
      <c r="J27" s="742"/>
      <c r="K27" s="742"/>
      <c r="L27" s="742"/>
      <c r="M27" s="742"/>
      <c r="N27" s="742"/>
      <c r="O27" s="742"/>
      <c r="P27" s="743"/>
    </row>
    <row r="28" spans="1:16" x14ac:dyDescent="0.25">
      <c r="A28" s="422"/>
      <c r="B28" s="403">
        <v>7</v>
      </c>
      <c r="C28" s="388" t="s">
        <v>151</v>
      </c>
      <c r="D28" s="247" t="s">
        <v>33</v>
      </c>
      <c r="E28" s="391">
        <v>12</v>
      </c>
      <c r="F28" s="290"/>
      <c r="G28" s="290"/>
      <c r="H28" s="390"/>
      <c r="I28" s="400">
        <v>0.2</v>
      </c>
      <c r="J28" s="400">
        <v>0.5</v>
      </c>
      <c r="K28" s="400">
        <v>0.3</v>
      </c>
      <c r="L28" s="390"/>
      <c r="M28" s="390"/>
      <c r="N28" s="390"/>
      <c r="O28" s="390"/>
      <c r="P28" s="404">
        <f t="shared" si="0"/>
        <v>1</v>
      </c>
    </row>
    <row r="29" spans="1:16" ht="28.5" x14ac:dyDescent="0.25">
      <c r="A29" s="422"/>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422"/>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422"/>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422"/>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422"/>
      <c r="B33" s="405" t="s">
        <v>319</v>
      </c>
      <c r="C33" s="388"/>
      <c r="D33" s="247" t="s">
        <v>254</v>
      </c>
      <c r="E33" s="391"/>
      <c r="F33" s="290"/>
      <c r="G33" s="290"/>
      <c r="H33" s="390"/>
      <c r="I33" s="390"/>
      <c r="J33" s="390"/>
      <c r="K33" s="390"/>
      <c r="L33" s="390"/>
      <c r="M33" s="390"/>
      <c r="N33" s="390"/>
      <c r="O33" s="390"/>
      <c r="P33" s="404">
        <f t="shared" si="0"/>
        <v>0</v>
      </c>
    </row>
    <row r="34" spans="1:16" x14ac:dyDescent="0.25">
      <c r="A34" s="422"/>
      <c r="B34" s="403"/>
      <c r="C34" s="388"/>
      <c r="D34" s="247"/>
      <c r="E34" s="391"/>
      <c r="F34" s="290"/>
      <c r="G34" s="290"/>
      <c r="H34" s="390"/>
      <c r="I34" s="390"/>
      <c r="J34" s="390"/>
      <c r="K34" s="390"/>
      <c r="L34" s="390"/>
      <c r="M34" s="390"/>
      <c r="N34" s="390"/>
      <c r="O34" s="390"/>
      <c r="P34" s="404">
        <f t="shared" si="0"/>
        <v>0</v>
      </c>
    </row>
    <row r="35" spans="1:16" x14ac:dyDescent="0.25">
      <c r="A35" s="422"/>
      <c r="B35" s="403"/>
      <c r="C35" s="388"/>
      <c r="D35" s="247"/>
      <c r="E35" s="391"/>
      <c r="F35" s="290"/>
      <c r="G35" s="290"/>
      <c r="H35" s="390"/>
      <c r="I35" s="390"/>
      <c r="J35" s="390"/>
      <c r="K35" s="390"/>
      <c r="L35" s="390"/>
      <c r="M35" s="390"/>
      <c r="N35" s="390"/>
      <c r="O35" s="390"/>
      <c r="P35" s="404">
        <f t="shared" si="0"/>
        <v>0</v>
      </c>
    </row>
    <row r="36" spans="1:16" x14ac:dyDescent="0.25">
      <c r="A36" s="422"/>
      <c r="B36" s="403"/>
      <c r="C36" s="388"/>
      <c r="D36" s="247"/>
      <c r="E36" s="391"/>
      <c r="F36" s="290"/>
      <c r="G36" s="290"/>
      <c r="H36" s="390"/>
      <c r="I36" s="390"/>
      <c r="J36" s="390"/>
      <c r="K36" s="390"/>
      <c r="L36" s="390"/>
      <c r="M36" s="390"/>
      <c r="N36" s="390"/>
      <c r="O36" s="390"/>
      <c r="P36" s="404">
        <f t="shared" si="0"/>
        <v>0</v>
      </c>
    </row>
    <row r="37" spans="1:16" ht="26.25" customHeight="1" x14ac:dyDescent="0.25">
      <c r="A37" s="422"/>
      <c r="B37" s="741" t="s">
        <v>11</v>
      </c>
      <c r="C37" s="742"/>
      <c r="D37" s="742"/>
      <c r="E37" s="742"/>
      <c r="F37" s="742"/>
      <c r="G37" s="742"/>
      <c r="H37" s="742"/>
      <c r="I37" s="742"/>
      <c r="J37" s="742"/>
      <c r="K37" s="742"/>
      <c r="L37" s="742"/>
      <c r="M37" s="742"/>
      <c r="N37" s="742"/>
      <c r="O37" s="742"/>
      <c r="P37" s="743"/>
    </row>
    <row r="38" spans="1:16" ht="28.5" x14ac:dyDescent="0.25">
      <c r="A38" s="422"/>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422"/>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422"/>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422"/>
      <c r="B41" s="405" t="s">
        <v>319</v>
      </c>
      <c r="C41" s="388"/>
      <c r="D41" s="247" t="s">
        <v>254</v>
      </c>
      <c r="E41" s="391"/>
      <c r="F41" s="290"/>
      <c r="G41" s="290"/>
      <c r="H41" s="390"/>
      <c r="I41" s="390"/>
      <c r="J41" s="390"/>
      <c r="K41" s="390"/>
      <c r="L41" s="390"/>
      <c r="M41" s="390"/>
      <c r="N41" s="390"/>
      <c r="O41" s="390"/>
      <c r="P41" s="404">
        <f t="shared" si="0"/>
        <v>0</v>
      </c>
    </row>
    <row r="42" spans="1:16" x14ac:dyDescent="0.25">
      <c r="A42" s="422"/>
      <c r="B42" s="403"/>
      <c r="C42" s="388"/>
      <c r="D42" s="247"/>
      <c r="E42" s="391"/>
      <c r="F42" s="290"/>
      <c r="G42" s="290"/>
      <c r="H42" s="390"/>
      <c r="I42" s="390"/>
      <c r="J42" s="390"/>
      <c r="K42" s="390"/>
      <c r="L42" s="390"/>
      <c r="M42" s="390"/>
      <c r="N42" s="390"/>
      <c r="O42" s="390"/>
      <c r="P42" s="404">
        <f t="shared" si="0"/>
        <v>0</v>
      </c>
    </row>
    <row r="43" spans="1:16" x14ac:dyDescent="0.25">
      <c r="A43" s="422"/>
      <c r="B43" s="403"/>
      <c r="C43" s="388"/>
      <c r="D43" s="247"/>
      <c r="E43" s="391"/>
      <c r="F43" s="290"/>
      <c r="G43" s="290"/>
      <c r="H43" s="390"/>
      <c r="I43" s="390"/>
      <c r="J43" s="390"/>
      <c r="K43" s="390"/>
      <c r="L43" s="390"/>
      <c r="M43" s="390"/>
      <c r="N43" s="390"/>
      <c r="O43" s="390"/>
      <c r="P43" s="404">
        <f t="shared" si="0"/>
        <v>0</v>
      </c>
    </row>
    <row r="44" spans="1:16" x14ac:dyDescent="0.25">
      <c r="A44" s="422"/>
      <c r="B44" s="403"/>
      <c r="C44" s="388"/>
      <c r="D44" s="247"/>
      <c r="E44" s="391"/>
      <c r="F44" s="290"/>
      <c r="G44" s="290"/>
      <c r="H44" s="390"/>
      <c r="I44" s="390"/>
      <c r="J44" s="390"/>
      <c r="K44" s="390"/>
      <c r="L44" s="390"/>
      <c r="M44" s="390"/>
      <c r="N44" s="390"/>
      <c r="O44" s="390"/>
      <c r="P44" s="404">
        <f t="shared" si="0"/>
        <v>0</v>
      </c>
    </row>
    <row r="45" spans="1:16" ht="24" customHeight="1" x14ac:dyDescent="0.25">
      <c r="A45" s="422"/>
      <c r="B45" s="741" t="s">
        <v>159</v>
      </c>
      <c r="C45" s="742"/>
      <c r="D45" s="742"/>
      <c r="E45" s="742"/>
      <c r="F45" s="742"/>
      <c r="G45" s="742"/>
      <c r="H45" s="742"/>
      <c r="I45" s="742"/>
      <c r="J45" s="742"/>
      <c r="K45" s="742"/>
      <c r="L45" s="742"/>
      <c r="M45" s="742"/>
      <c r="N45" s="742"/>
      <c r="O45" s="742"/>
      <c r="P45" s="743"/>
    </row>
    <row r="46" spans="1:16" x14ac:dyDescent="0.25">
      <c r="A46" s="422"/>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422"/>
      <c r="B47" s="405" t="s">
        <v>319</v>
      </c>
      <c r="C47" s="388"/>
      <c r="D47" s="247" t="s">
        <v>254</v>
      </c>
      <c r="E47" s="391"/>
      <c r="F47" s="290"/>
      <c r="G47" s="290"/>
      <c r="H47" s="400"/>
      <c r="I47" s="390"/>
      <c r="J47" s="390"/>
      <c r="K47" s="390"/>
      <c r="L47" s="390"/>
      <c r="M47" s="390"/>
      <c r="N47" s="390"/>
      <c r="O47" s="390"/>
      <c r="P47" s="404">
        <f t="shared" si="0"/>
        <v>0</v>
      </c>
    </row>
    <row r="48" spans="1:16" x14ac:dyDescent="0.25">
      <c r="A48" s="422"/>
      <c r="B48" s="403"/>
      <c r="C48" s="388"/>
      <c r="D48" s="247"/>
      <c r="E48" s="391"/>
      <c r="F48" s="290"/>
      <c r="G48" s="290"/>
      <c r="H48" s="400"/>
      <c r="I48" s="390"/>
      <c r="J48" s="390"/>
      <c r="K48" s="390"/>
      <c r="L48" s="390"/>
      <c r="M48" s="390"/>
      <c r="N48" s="390"/>
      <c r="O48" s="390"/>
      <c r="P48" s="404">
        <f t="shared" si="0"/>
        <v>0</v>
      </c>
    </row>
    <row r="49" spans="1:16" x14ac:dyDescent="0.25">
      <c r="A49" s="422"/>
      <c r="B49" s="403"/>
      <c r="C49" s="388"/>
      <c r="D49" s="247"/>
      <c r="E49" s="391"/>
      <c r="F49" s="290"/>
      <c r="G49" s="290"/>
      <c r="H49" s="400"/>
      <c r="I49" s="390"/>
      <c r="J49" s="390"/>
      <c r="K49" s="390"/>
      <c r="L49" s="390"/>
      <c r="M49" s="390"/>
      <c r="N49" s="390"/>
      <c r="O49" s="390"/>
      <c r="P49" s="404"/>
    </row>
    <row r="50" spans="1:16" x14ac:dyDescent="0.25">
      <c r="A50" s="422"/>
      <c r="B50" s="403"/>
      <c r="C50" s="388"/>
      <c r="D50" s="247"/>
      <c r="E50" s="391"/>
      <c r="F50" s="290"/>
      <c r="G50" s="290"/>
      <c r="H50" s="400"/>
      <c r="I50" s="390"/>
      <c r="J50" s="390"/>
      <c r="K50" s="390"/>
      <c r="L50" s="390"/>
      <c r="M50" s="390"/>
      <c r="N50" s="390"/>
      <c r="O50" s="390"/>
      <c r="P50" s="404">
        <f t="shared" si="0"/>
        <v>0</v>
      </c>
    </row>
    <row r="51" spans="1:16" ht="21" customHeight="1" x14ac:dyDescent="0.25">
      <c r="A51" s="421"/>
      <c r="B51" s="741" t="s">
        <v>161</v>
      </c>
      <c r="C51" s="742"/>
      <c r="D51" s="742"/>
      <c r="E51" s="742"/>
      <c r="F51" s="742"/>
      <c r="G51" s="742"/>
      <c r="H51" s="742"/>
      <c r="I51" s="742"/>
      <c r="J51" s="742"/>
      <c r="K51" s="742"/>
      <c r="L51" s="742"/>
      <c r="M51" s="742"/>
      <c r="N51" s="742"/>
      <c r="O51" s="742"/>
      <c r="P51" s="743"/>
    </row>
    <row r="52" spans="1:16" x14ac:dyDescent="0.25">
      <c r="A52" s="422"/>
      <c r="B52" s="403">
        <v>16</v>
      </c>
      <c r="C52" s="388" t="s">
        <v>162</v>
      </c>
      <c r="D52" s="247" t="s">
        <v>33</v>
      </c>
      <c r="E52" s="391"/>
      <c r="F52" s="290"/>
      <c r="G52" s="290"/>
      <c r="H52" s="390"/>
      <c r="I52" s="390"/>
      <c r="J52" s="390"/>
      <c r="K52" s="390"/>
      <c r="L52" s="390"/>
      <c r="M52" s="390"/>
      <c r="N52" s="390"/>
      <c r="O52" s="390"/>
      <c r="P52" s="404">
        <f t="shared" si="0"/>
        <v>0</v>
      </c>
    </row>
    <row r="53" spans="1:16" x14ac:dyDescent="0.25">
      <c r="A53" s="422"/>
      <c r="B53" s="403">
        <v>17</v>
      </c>
      <c r="C53" s="388" t="s">
        <v>163</v>
      </c>
      <c r="D53" s="247" t="s">
        <v>33</v>
      </c>
      <c r="E53" s="391"/>
      <c r="F53" s="290"/>
      <c r="G53" s="290"/>
      <c r="H53" s="390"/>
      <c r="I53" s="390"/>
      <c r="J53" s="390"/>
      <c r="K53" s="390"/>
      <c r="L53" s="390"/>
      <c r="M53" s="390"/>
      <c r="N53" s="390"/>
      <c r="O53" s="390"/>
      <c r="P53" s="404">
        <f t="shared" si="0"/>
        <v>0</v>
      </c>
    </row>
    <row r="54" spans="1:16" x14ac:dyDescent="0.25">
      <c r="A54" s="422"/>
      <c r="B54" s="403">
        <v>18</v>
      </c>
      <c r="C54" s="388" t="s">
        <v>164</v>
      </c>
      <c r="D54" s="247" t="s">
        <v>33</v>
      </c>
      <c r="E54" s="391"/>
      <c r="F54" s="290"/>
      <c r="G54" s="290"/>
      <c r="H54" s="390"/>
      <c r="I54" s="390"/>
      <c r="J54" s="390"/>
      <c r="K54" s="390"/>
      <c r="L54" s="390"/>
      <c r="M54" s="390"/>
      <c r="N54" s="390"/>
      <c r="O54" s="390"/>
      <c r="P54" s="404">
        <f t="shared" si="0"/>
        <v>0</v>
      </c>
    </row>
    <row r="55" spans="1:16" x14ac:dyDescent="0.25">
      <c r="A55" s="422"/>
      <c r="B55" s="403">
        <v>19</v>
      </c>
      <c r="C55" s="388" t="s">
        <v>165</v>
      </c>
      <c r="D55" s="247" t="s">
        <v>33</v>
      </c>
      <c r="E55" s="391"/>
      <c r="F55" s="290"/>
      <c r="G55" s="290"/>
      <c r="H55" s="390"/>
      <c r="I55" s="390"/>
      <c r="J55" s="390"/>
      <c r="K55" s="390"/>
      <c r="L55" s="390"/>
      <c r="M55" s="390"/>
      <c r="N55" s="390"/>
      <c r="O55" s="390"/>
      <c r="P55" s="404">
        <f t="shared" si="0"/>
        <v>0</v>
      </c>
    </row>
    <row r="56" spans="1:16" x14ac:dyDescent="0.25">
      <c r="A56" s="422"/>
      <c r="B56" s="405" t="s">
        <v>319</v>
      </c>
      <c r="C56" s="388"/>
      <c r="D56" s="247" t="s">
        <v>254</v>
      </c>
      <c r="E56" s="391"/>
      <c r="F56" s="290"/>
      <c r="G56" s="290"/>
      <c r="H56" s="390"/>
      <c r="I56" s="390"/>
      <c r="J56" s="390"/>
      <c r="K56" s="390"/>
      <c r="L56" s="390"/>
      <c r="M56" s="390"/>
      <c r="N56" s="390"/>
      <c r="O56" s="390"/>
      <c r="P56" s="404">
        <f t="shared" si="0"/>
        <v>0</v>
      </c>
    </row>
    <row r="57" spans="1:16" x14ac:dyDescent="0.25">
      <c r="A57" s="422"/>
      <c r="B57" s="405"/>
      <c r="C57" s="388"/>
      <c r="D57" s="247"/>
      <c r="E57" s="391"/>
      <c r="F57" s="290"/>
      <c r="G57" s="290"/>
      <c r="H57" s="390"/>
      <c r="I57" s="390"/>
      <c r="J57" s="390"/>
      <c r="K57" s="390"/>
      <c r="L57" s="390"/>
      <c r="M57" s="390"/>
      <c r="N57" s="390"/>
      <c r="O57" s="390"/>
      <c r="P57" s="404"/>
    </row>
    <row r="58" spans="1:16" x14ac:dyDescent="0.25">
      <c r="A58" s="422"/>
      <c r="B58" s="405"/>
      <c r="C58" s="388"/>
      <c r="D58" s="247"/>
      <c r="E58" s="391"/>
      <c r="F58" s="290"/>
      <c r="G58" s="290"/>
      <c r="H58" s="390"/>
      <c r="I58" s="390"/>
      <c r="J58" s="390"/>
      <c r="K58" s="390"/>
      <c r="L58" s="390"/>
      <c r="M58" s="390"/>
      <c r="N58" s="390"/>
      <c r="O58" s="390"/>
      <c r="P58" s="404"/>
    </row>
    <row r="59" spans="1:16" x14ac:dyDescent="0.25">
      <c r="A59" s="421"/>
      <c r="B59" s="406"/>
      <c r="C59" s="392"/>
      <c r="D59" s="393"/>
      <c r="E59" s="393"/>
      <c r="F59" s="290"/>
      <c r="G59" s="290"/>
      <c r="H59" s="394"/>
      <c r="I59" s="394"/>
      <c r="J59" s="394"/>
      <c r="K59" s="394"/>
      <c r="L59" s="394"/>
      <c r="M59" s="394"/>
      <c r="N59" s="394"/>
      <c r="O59" s="394"/>
      <c r="P59" s="404"/>
    </row>
    <row r="60" spans="1:16" ht="27" customHeight="1" x14ac:dyDescent="0.25">
      <c r="B60" s="738" t="s">
        <v>166</v>
      </c>
      <c r="C60" s="739"/>
      <c r="D60" s="739"/>
      <c r="E60" s="739"/>
      <c r="F60" s="739"/>
      <c r="G60" s="739"/>
      <c r="H60" s="739"/>
      <c r="I60" s="739"/>
      <c r="J60" s="739"/>
      <c r="K60" s="739"/>
      <c r="L60" s="739"/>
      <c r="M60" s="739"/>
      <c r="N60" s="739"/>
      <c r="O60" s="739"/>
      <c r="P60" s="740"/>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422"/>
      <c r="B62" s="744" t="s">
        <v>167</v>
      </c>
      <c r="C62" s="711"/>
      <c r="D62" s="711"/>
      <c r="E62" s="711"/>
      <c r="F62" s="711"/>
      <c r="G62" s="711"/>
      <c r="H62" s="711"/>
      <c r="I62" s="711"/>
      <c r="J62" s="711"/>
      <c r="K62" s="711"/>
      <c r="L62" s="711"/>
      <c r="M62" s="711"/>
      <c r="N62" s="711"/>
      <c r="O62" s="711"/>
      <c r="P62" s="745"/>
    </row>
    <row r="63" spans="1:16" x14ac:dyDescent="0.25">
      <c r="A63" s="422"/>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422"/>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422"/>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422"/>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422"/>
      <c r="B67" s="405" t="s">
        <v>319</v>
      </c>
      <c r="C67" s="388"/>
      <c r="D67" s="247" t="s">
        <v>254</v>
      </c>
      <c r="E67" s="391"/>
      <c r="F67" s="290"/>
      <c r="G67" s="290"/>
      <c r="H67" s="400"/>
      <c r="I67" s="390"/>
      <c r="J67" s="390"/>
      <c r="K67" s="390"/>
      <c r="L67" s="390"/>
      <c r="M67" s="390"/>
      <c r="N67" s="390"/>
      <c r="O67" s="390"/>
      <c r="P67" s="404"/>
    </row>
    <row r="68" spans="1:16" x14ac:dyDescent="0.25">
      <c r="A68" s="422"/>
      <c r="B68" s="403"/>
      <c r="C68" s="388"/>
      <c r="D68" s="247"/>
      <c r="E68" s="391"/>
      <c r="F68" s="290"/>
      <c r="G68" s="290"/>
      <c r="H68" s="400"/>
      <c r="I68" s="390"/>
      <c r="J68" s="390"/>
      <c r="K68" s="390"/>
      <c r="L68" s="390"/>
      <c r="M68" s="390"/>
      <c r="N68" s="390"/>
      <c r="O68" s="390"/>
      <c r="P68" s="404"/>
    </row>
    <row r="69" spans="1:16" x14ac:dyDescent="0.25">
      <c r="A69" s="422"/>
      <c r="B69" s="403"/>
      <c r="C69" s="388"/>
      <c r="D69" s="247"/>
      <c r="E69" s="391"/>
      <c r="F69" s="290"/>
      <c r="G69" s="290"/>
      <c r="H69" s="400"/>
      <c r="I69" s="390"/>
      <c r="J69" s="390"/>
      <c r="K69" s="390"/>
      <c r="L69" s="390"/>
      <c r="M69" s="390"/>
      <c r="N69" s="390"/>
      <c r="O69" s="390"/>
      <c r="P69" s="404"/>
    </row>
    <row r="70" spans="1:16" x14ac:dyDescent="0.25">
      <c r="A70" s="422"/>
      <c r="B70" s="403"/>
      <c r="C70" s="388"/>
      <c r="D70" s="247"/>
      <c r="E70" s="391"/>
      <c r="F70" s="290"/>
      <c r="G70" s="290"/>
      <c r="H70" s="390"/>
      <c r="I70" s="390"/>
      <c r="J70" s="390"/>
      <c r="K70" s="390"/>
      <c r="L70" s="390"/>
      <c r="M70" s="390"/>
      <c r="N70" s="390"/>
      <c r="O70" s="390"/>
      <c r="P70" s="404">
        <f t="shared" si="0"/>
        <v>0</v>
      </c>
    </row>
    <row r="71" spans="1:16" ht="28.5" customHeight="1" x14ac:dyDescent="0.25">
      <c r="A71" s="422"/>
      <c r="B71" s="744" t="s">
        <v>172</v>
      </c>
      <c r="C71" s="711"/>
      <c r="D71" s="711"/>
      <c r="E71" s="711"/>
      <c r="F71" s="711"/>
      <c r="G71" s="711"/>
      <c r="H71" s="711"/>
      <c r="I71" s="711"/>
      <c r="J71" s="711"/>
      <c r="K71" s="711"/>
      <c r="L71" s="711"/>
      <c r="M71" s="711"/>
      <c r="N71" s="711"/>
      <c r="O71" s="711"/>
      <c r="P71" s="745"/>
    </row>
    <row r="72" spans="1:16" x14ac:dyDescent="0.25">
      <c r="A72" s="422"/>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422"/>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422"/>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422"/>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422"/>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422"/>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422"/>
      <c r="B78" s="403">
        <v>31</v>
      </c>
      <c r="C78" s="388" t="s">
        <v>179</v>
      </c>
      <c r="D78" s="247" t="s">
        <v>33</v>
      </c>
      <c r="E78" s="391"/>
      <c r="F78" s="290"/>
      <c r="G78" s="290"/>
      <c r="H78" s="390"/>
      <c r="I78" s="390"/>
      <c r="J78" s="390"/>
      <c r="K78" s="390"/>
      <c r="L78" s="390"/>
      <c r="M78" s="390"/>
      <c r="N78" s="390"/>
      <c r="O78" s="390"/>
      <c r="P78" s="404">
        <f t="shared" si="0"/>
        <v>0</v>
      </c>
    </row>
    <row r="79" spans="1:16" x14ac:dyDescent="0.25">
      <c r="A79" s="422"/>
      <c r="B79" s="403">
        <v>32</v>
      </c>
      <c r="C79" s="388" t="s">
        <v>180</v>
      </c>
      <c r="D79" s="247" t="s">
        <v>33</v>
      </c>
      <c r="E79" s="391"/>
      <c r="F79" s="290"/>
      <c r="G79" s="290"/>
      <c r="H79" s="390"/>
      <c r="I79" s="390"/>
      <c r="J79" s="390"/>
      <c r="K79" s="390"/>
      <c r="L79" s="390"/>
      <c r="M79" s="390"/>
      <c r="N79" s="390"/>
      <c r="O79" s="390"/>
      <c r="P79" s="404">
        <f t="shared" si="0"/>
        <v>0</v>
      </c>
    </row>
    <row r="80" spans="1:16" x14ac:dyDescent="0.25">
      <c r="A80" s="422"/>
      <c r="B80" s="405" t="s">
        <v>319</v>
      </c>
      <c r="C80" s="388"/>
      <c r="D80" s="247" t="s">
        <v>254</v>
      </c>
      <c r="E80" s="391"/>
      <c r="F80" s="290"/>
      <c r="G80" s="290"/>
      <c r="H80" s="390"/>
      <c r="I80" s="390"/>
      <c r="J80" s="390"/>
      <c r="K80" s="390"/>
      <c r="L80" s="390"/>
      <c r="M80" s="390"/>
      <c r="N80" s="390"/>
      <c r="O80" s="390"/>
      <c r="P80" s="404"/>
    </row>
    <row r="81" spans="1:16" x14ac:dyDescent="0.25">
      <c r="A81" s="422"/>
      <c r="B81" s="403"/>
      <c r="C81" s="388"/>
      <c r="D81" s="247"/>
      <c r="E81" s="391"/>
      <c r="F81" s="290"/>
      <c r="G81" s="290"/>
      <c r="H81" s="390"/>
      <c r="I81" s="390"/>
      <c r="J81" s="390"/>
      <c r="K81" s="390"/>
      <c r="L81" s="390"/>
      <c r="M81" s="390"/>
      <c r="N81" s="390"/>
      <c r="O81" s="390"/>
      <c r="P81" s="404"/>
    </row>
    <row r="82" spans="1:16" x14ac:dyDescent="0.25">
      <c r="A82" s="422"/>
      <c r="B82" s="403"/>
      <c r="C82" s="388"/>
      <c r="D82" s="247"/>
      <c r="E82" s="391"/>
      <c r="F82" s="290"/>
      <c r="G82" s="290"/>
      <c r="H82" s="390"/>
      <c r="I82" s="390"/>
      <c r="J82" s="390"/>
      <c r="K82" s="390"/>
      <c r="L82" s="390"/>
      <c r="M82" s="390"/>
      <c r="N82" s="390"/>
      <c r="O82" s="390"/>
      <c r="P82" s="404"/>
    </row>
    <row r="83" spans="1:16" x14ac:dyDescent="0.25">
      <c r="A83" s="422"/>
      <c r="B83" s="403"/>
      <c r="C83" s="388"/>
      <c r="D83" s="247"/>
      <c r="E83" s="391"/>
      <c r="F83" s="290"/>
      <c r="G83" s="290"/>
      <c r="H83" s="390"/>
      <c r="I83" s="390"/>
      <c r="J83" s="390"/>
      <c r="K83" s="390"/>
      <c r="L83" s="390"/>
      <c r="M83" s="390"/>
      <c r="N83" s="390"/>
      <c r="O83" s="390"/>
      <c r="P83" s="404">
        <f t="shared" ref="P83:P106" si="1">SUM(H83:O83)</f>
        <v>0</v>
      </c>
    </row>
    <row r="84" spans="1:16" ht="25.5" customHeight="1" x14ac:dyDescent="0.25">
      <c r="A84" s="422"/>
      <c r="B84" s="744" t="s">
        <v>181</v>
      </c>
      <c r="C84" s="711"/>
      <c r="D84" s="711"/>
      <c r="E84" s="711"/>
      <c r="F84" s="711"/>
      <c r="G84" s="711"/>
      <c r="H84" s="711"/>
      <c r="I84" s="711"/>
      <c r="J84" s="711"/>
      <c r="K84" s="711"/>
      <c r="L84" s="711"/>
      <c r="M84" s="711"/>
      <c r="N84" s="711"/>
      <c r="O84" s="711"/>
      <c r="P84" s="745"/>
    </row>
    <row r="85" spans="1:16" x14ac:dyDescent="0.25">
      <c r="A85" s="422"/>
      <c r="B85" s="403">
        <v>33</v>
      </c>
      <c r="C85" s="388" t="s">
        <v>182</v>
      </c>
      <c r="D85" s="247" t="s">
        <v>33</v>
      </c>
      <c r="E85" s="391"/>
      <c r="F85" s="290"/>
      <c r="G85" s="290"/>
      <c r="H85" s="396"/>
      <c r="I85" s="396"/>
      <c r="J85" s="396"/>
      <c r="K85" s="396"/>
      <c r="L85" s="396"/>
      <c r="M85" s="396"/>
      <c r="N85" s="396"/>
      <c r="O85" s="396"/>
      <c r="P85" s="404">
        <f t="shared" si="1"/>
        <v>0</v>
      </c>
    </row>
    <row r="86" spans="1:16" x14ac:dyDescent="0.25">
      <c r="A86" s="422"/>
      <c r="B86" s="403">
        <v>34</v>
      </c>
      <c r="C86" s="388" t="s">
        <v>183</v>
      </c>
      <c r="D86" s="247" t="s">
        <v>33</v>
      </c>
      <c r="E86" s="391"/>
      <c r="F86" s="290"/>
      <c r="G86" s="290"/>
      <c r="H86" s="396"/>
      <c r="I86" s="396"/>
      <c r="J86" s="396"/>
      <c r="K86" s="396"/>
      <c r="L86" s="396"/>
      <c r="M86" s="396"/>
      <c r="N86" s="396"/>
      <c r="O86" s="396"/>
      <c r="P86" s="404">
        <f t="shared" si="1"/>
        <v>0</v>
      </c>
    </row>
    <row r="87" spans="1:16" x14ac:dyDescent="0.25">
      <c r="A87" s="422"/>
      <c r="B87" s="403">
        <v>35</v>
      </c>
      <c r="C87" s="388" t="s">
        <v>184</v>
      </c>
      <c r="D87" s="247" t="s">
        <v>33</v>
      </c>
      <c r="E87" s="391"/>
      <c r="F87" s="290"/>
      <c r="G87" s="290"/>
      <c r="H87" s="396"/>
      <c r="I87" s="396"/>
      <c r="J87" s="396"/>
      <c r="K87" s="396"/>
      <c r="L87" s="396"/>
      <c r="M87" s="396"/>
      <c r="N87" s="396"/>
      <c r="O87" s="396"/>
      <c r="P87" s="404">
        <f t="shared" si="1"/>
        <v>0</v>
      </c>
    </row>
    <row r="88" spans="1:16" x14ac:dyDescent="0.25">
      <c r="A88" s="422"/>
      <c r="B88" s="405" t="s">
        <v>319</v>
      </c>
      <c r="C88" s="388"/>
      <c r="D88" s="247" t="s">
        <v>254</v>
      </c>
      <c r="E88" s="391"/>
      <c r="F88" s="290"/>
      <c r="G88" s="290"/>
      <c r="H88" s="396"/>
      <c r="I88" s="396"/>
      <c r="J88" s="396"/>
      <c r="K88" s="396"/>
      <c r="L88" s="396"/>
      <c r="M88" s="396"/>
      <c r="N88" s="396"/>
      <c r="O88" s="396"/>
      <c r="P88" s="404"/>
    </row>
    <row r="89" spans="1:16" x14ac:dyDescent="0.25">
      <c r="A89" s="422"/>
      <c r="B89" s="403"/>
      <c r="C89" s="388"/>
      <c r="D89" s="247"/>
      <c r="E89" s="391"/>
      <c r="F89" s="290"/>
      <c r="G89" s="290"/>
      <c r="H89" s="396"/>
      <c r="I89" s="396"/>
      <c r="J89" s="396"/>
      <c r="K89" s="396"/>
      <c r="L89" s="396"/>
      <c r="M89" s="396"/>
      <c r="N89" s="396"/>
      <c r="O89" s="396"/>
      <c r="P89" s="404"/>
    </row>
    <row r="90" spans="1:16" x14ac:dyDescent="0.25">
      <c r="A90" s="422"/>
      <c r="B90" s="403"/>
      <c r="C90" s="388"/>
      <c r="D90" s="247"/>
      <c r="E90" s="391"/>
      <c r="F90" s="290"/>
      <c r="G90" s="290"/>
      <c r="H90" s="396"/>
      <c r="I90" s="396"/>
      <c r="J90" s="396"/>
      <c r="K90" s="396"/>
      <c r="L90" s="396"/>
      <c r="M90" s="396"/>
      <c r="N90" s="396"/>
      <c r="O90" s="396"/>
      <c r="P90" s="404"/>
    </row>
    <row r="91" spans="1:16" x14ac:dyDescent="0.25">
      <c r="A91" s="422"/>
      <c r="B91" s="403"/>
      <c r="C91" s="388"/>
      <c r="D91" s="247"/>
      <c r="E91" s="391"/>
      <c r="F91" s="290"/>
      <c r="G91" s="290"/>
      <c r="H91" s="396"/>
      <c r="I91" s="396"/>
      <c r="J91" s="396"/>
      <c r="K91" s="396"/>
      <c r="L91" s="396"/>
      <c r="M91" s="396"/>
      <c r="N91" s="396"/>
      <c r="O91" s="396"/>
      <c r="P91" s="404">
        <f t="shared" si="1"/>
        <v>0</v>
      </c>
    </row>
    <row r="92" spans="1:16" ht="24" customHeight="1" x14ac:dyDescent="0.25">
      <c r="A92" s="422"/>
      <c r="B92" s="744" t="s">
        <v>185</v>
      </c>
      <c r="C92" s="711"/>
      <c r="D92" s="711"/>
      <c r="E92" s="711"/>
      <c r="F92" s="711"/>
      <c r="G92" s="711"/>
      <c r="H92" s="711"/>
      <c r="I92" s="711"/>
      <c r="J92" s="711"/>
      <c r="K92" s="711"/>
      <c r="L92" s="711"/>
      <c r="M92" s="711"/>
      <c r="N92" s="711"/>
      <c r="O92" s="711"/>
      <c r="P92" s="745"/>
    </row>
    <row r="93" spans="1:16" ht="42.75" x14ac:dyDescent="0.25">
      <c r="A93" s="422"/>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422"/>
      <c r="B94" s="403">
        <v>37</v>
      </c>
      <c r="C94" s="388" t="s">
        <v>187</v>
      </c>
      <c r="D94" s="247" t="s">
        <v>33</v>
      </c>
      <c r="E94" s="391"/>
      <c r="F94" s="290"/>
      <c r="G94" s="290"/>
      <c r="H94" s="396"/>
      <c r="I94" s="396"/>
      <c r="J94" s="396"/>
      <c r="K94" s="396"/>
      <c r="L94" s="396"/>
      <c r="M94" s="396"/>
      <c r="N94" s="396"/>
      <c r="O94" s="396"/>
      <c r="P94" s="404">
        <f t="shared" si="1"/>
        <v>0</v>
      </c>
    </row>
    <row r="95" spans="1:16" x14ac:dyDescent="0.25">
      <c r="A95" s="422"/>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422"/>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422"/>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422"/>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422"/>
      <c r="B99" s="403">
        <v>42</v>
      </c>
      <c r="C99" s="388" t="s">
        <v>192</v>
      </c>
      <c r="D99" s="247" t="s">
        <v>33</v>
      </c>
      <c r="E99" s="391"/>
      <c r="F99" s="290"/>
      <c r="G99" s="290"/>
      <c r="H99" s="396"/>
      <c r="I99" s="396"/>
      <c r="J99" s="396"/>
      <c r="K99" s="396"/>
      <c r="L99" s="396"/>
      <c r="M99" s="396"/>
      <c r="N99" s="396"/>
      <c r="O99" s="396"/>
      <c r="P99" s="404">
        <f t="shared" si="1"/>
        <v>0</v>
      </c>
    </row>
    <row r="100" spans="1:16" x14ac:dyDescent="0.25">
      <c r="A100" s="422"/>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422"/>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422"/>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422"/>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422"/>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422"/>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422"/>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422"/>
      <c r="B107" s="405" t="s">
        <v>319</v>
      </c>
      <c r="C107" s="388"/>
      <c r="D107" s="247" t="s">
        <v>254</v>
      </c>
      <c r="E107" s="391"/>
      <c r="F107" s="290"/>
      <c r="G107" s="290"/>
      <c r="H107" s="396"/>
      <c r="I107" s="396"/>
      <c r="J107" s="396"/>
      <c r="K107" s="396"/>
      <c r="L107" s="396"/>
      <c r="M107" s="396"/>
      <c r="N107" s="396"/>
      <c r="O107" s="396"/>
      <c r="P107" s="404"/>
    </row>
    <row r="108" spans="1:16" x14ac:dyDescent="0.25">
      <c r="A108" s="422"/>
      <c r="B108" s="403"/>
      <c r="C108" s="388"/>
      <c r="D108" s="247"/>
      <c r="E108" s="391"/>
      <c r="F108" s="290"/>
      <c r="G108" s="290"/>
      <c r="H108" s="396"/>
      <c r="I108" s="396"/>
      <c r="J108" s="396"/>
      <c r="K108" s="396"/>
      <c r="L108" s="396"/>
      <c r="M108" s="396"/>
      <c r="N108" s="396"/>
      <c r="O108" s="396"/>
      <c r="P108" s="404"/>
    </row>
    <row r="109" spans="1:16" x14ac:dyDescent="0.25">
      <c r="A109" s="422"/>
      <c r="B109" s="403"/>
      <c r="C109" s="388"/>
      <c r="D109" s="247"/>
      <c r="E109" s="391"/>
      <c r="F109" s="290"/>
      <c r="G109" s="290"/>
      <c r="H109" s="396"/>
      <c r="I109" s="396"/>
      <c r="J109" s="396"/>
      <c r="K109" s="396"/>
      <c r="L109" s="396"/>
      <c r="M109" s="396"/>
      <c r="N109" s="396"/>
      <c r="O109" s="396"/>
      <c r="P109" s="404"/>
    </row>
    <row r="110" spans="1:16" x14ac:dyDescent="0.25">
      <c r="A110" s="422"/>
      <c r="B110" s="403"/>
      <c r="C110" s="388"/>
      <c r="D110" s="247"/>
      <c r="E110" s="391"/>
      <c r="F110" s="290"/>
      <c r="G110" s="290"/>
      <c r="H110" s="396"/>
      <c r="I110" s="396"/>
      <c r="J110" s="396"/>
      <c r="K110" s="396"/>
      <c r="L110" s="396"/>
      <c r="M110" s="396"/>
      <c r="N110" s="396"/>
      <c r="O110" s="396"/>
      <c r="P110" s="404"/>
    </row>
    <row r="111" spans="1:16" x14ac:dyDescent="0.25">
      <c r="B111" s="338"/>
      <c r="C111" s="697" t="s">
        <v>222</v>
      </c>
      <c r="D111" s="697"/>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698" t="s">
        <v>261</v>
      </c>
      <c r="D112" s="69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98" t="s">
        <v>262</v>
      </c>
      <c r="D113" s="698"/>
      <c r="E113" s="262"/>
      <c r="F113" s="260"/>
      <c r="G113" s="260"/>
      <c r="H113" s="262"/>
      <c r="I113" s="262"/>
      <c r="J113" s="263">
        <f>J112-(E32*G32*J32)</f>
        <v>0</v>
      </c>
      <c r="K113" s="262">
        <f>K112-(E32*G32*K32)</f>
        <v>0</v>
      </c>
      <c r="L113" s="262"/>
      <c r="M113" s="262"/>
      <c r="N113" s="262"/>
      <c r="O113" s="262"/>
      <c r="P113" s="269"/>
    </row>
    <row r="114" spans="2:16" x14ac:dyDescent="0.25">
      <c r="B114" s="270"/>
      <c r="C114" s="699"/>
      <c r="D114" s="699"/>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0" t="s">
        <v>329</v>
      </c>
      <c r="D116" s="700"/>
      <c r="E116" s="247"/>
      <c r="F116" s="257"/>
      <c r="G116" s="247"/>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67"/>
    </row>
    <row r="117" spans="2:16" x14ac:dyDescent="0.25">
      <c r="B117" s="366"/>
      <c r="C117" s="700" t="s">
        <v>308</v>
      </c>
      <c r="D117" s="700"/>
      <c r="E117" s="255"/>
      <c r="F117" s="257"/>
      <c r="G117" s="257"/>
      <c r="H117" s="383"/>
      <c r="I117" s="383"/>
      <c r="J117" s="383"/>
      <c r="K117" s="383"/>
      <c r="L117" s="383"/>
      <c r="M117" s="383"/>
      <c r="N117" s="383"/>
      <c r="O117" s="247"/>
      <c r="P117" s="272">
        <f>SUM(H117:O117)</f>
        <v>0</v>
      </c>
    </row>
    <row r="118" spans="2:16" x14ac:dyDescent="0.25">
      <c r="B118" s="366"/>
      <c r="C118" s="700" t="s">
        <v>309</v>
      </c>
      <c r="D118" s="700"/>
      <c r="E118" s="255"/>
      <c r="F118" s="257"/>
      <c r="G118" s="257"/>
      <c r="H118" s="383"/>
      <c r="I118" s="383"/>
      <c r="J118" s="383"/>
      <c r="K118" s="383"/>
      <c r="L118" s="383"/>
      <c r="M118" s="383"/>
      <c r="N118" s="383"/>
      <c r="O118" s="247"/>
      <c r="P118" s="272">
        <f>SUM(H118:O118)</f>
        <v>0</v>
      </c>
    </row>
    <row r="119" spans="2:16" x14ac:dyDescent="0.25">
      <c r="B119" s="366"/>
      <c r="C119" s="700" t="s">
        <v>310</v>
      </c>
      <c r="D119" s="700"/>
      <c r="E119" s="255"/>
      <c r="F119" s="257"/>
      <c r="G119" s="257"/>
      <c r="H119" s="383"/>
      <c r="I119" s="383"/>
      <c r="J119" s="383"/>
      <c r="K119" s="383"/>
      <c r="L119" s="383"/>
      <c r="M119" s="383"/>
      <c r="N119" s="383"/>
      <c r="O119" s="247"/>
      <c r="P119" s="272">
        <f t="shared" ref="P119" si="2">SUM(H119:O119)</f>
        <v>0</v>
      </c>
    </row>
    <row r="120" spans="2:16" x14ac:dyDescent="0.25">
      <c r="B120" s="366"/>
      <c r="C120" s="700" t="s">
        <v>311</v>
      </c>
      <c r="D120" s="700"/>
      <c r="E120" s="255"/>
      <c r="F120" s="257"/>
      <c r="G120" s="257"/>
      <c r="H120" s="383"/>
      <c r="I120" s="383"/>
      <c r="J120" s="383"/>
      <c r="K120" s="383"/>
      <c r="L120" s="383"/>
      <c r="M120" s="383"/>
      <c r="N120" s="383"/>
      <c r="O120" s="247"/>
      <c r="P120" s="272">
        <f>SUM(H120:O120)</f>
        <v>0</v>
      </c>
    </row>
    <row r="121" spans="2:16" x14ac:dyDescent="0.25">
      <c r="B121" s="366"/>
      <c r="C121" s="700" t="s">
        <v>312</v>
      </c>
      <c r="D121" s="700"/>
      <c r="E121" s="255"/>
      <c r="F121" s="257"/>
      <c r="G121" s="257"/>
      <c r="H121" s="363" t="e">
        <f>'5.  2015 LRAM'!H130*H116</f>
        <v>#REF!</v>
      </c>
      <c r="I121" s="363" t="e">
        <f>'5.  2015 LRAM'!I130*I116</f>
        <v>#REF!</v>
      </c>
      <c r="J121" s="363" t="e">
        <f>'5.  2015 LRAM'!J130*J116</f>
        <v>#REF!</v>
      </c>
      <c r="K121" s="363" t="e">
        <f>'5.  2015 LRAM'!K130*K116</f>
        <v>#REF!</v>
      </c>
      <c r="L121" s="363" t="e">
        <f>'5.  2015 LRAM'!L130*L116</f>
        <v>#REF!</v>
      </c>
      <c r="M121" s="363" t="e">
        <f>'5.  2015 LRAM'!M130*M116</f>
        <v>#REF!</v>
      </c>
      <c r="N121" s="363" t="e">
        <f>'5.  2015 LRAM'!N130*N116</f>
        <v>#REF!</v>
      </c>
      <c r="O121" s="247"/>
      <c r="P121" s="272" t="e">
        <f t="shared" ref="P121:P122" si="3">SUM(H121:O121)</f>
        <v>#REF!</v>
      </c>
    </row>
    <row r="122" spans="2:16" x14ac:dyDescent="0.25">
      <c r="B122" s="366"/>
      <c r="C122" s="700" t="s">
        <v>313</v>
      </c>
      <c r="D122" s="700"/>
      <c r="E122" s="255"/>
      <c r="F122" s="257"/>
      <c r="G122" s="257"/>
      <c r="H122" s="363" t="e">
        <f>'5-b. 2016 LRAM'!H128*H116</f>
        <v>#DIV/0!</v>
      </c>
      <c r="I122" s="363" t="e">
        <f>'5-b. 2016 LRAM'!I128*I116</f>
        <v>#DIV/0!</v>
      </c>
      <c r="J122" s="363" t="e">
        <f>'5-b. 2016 LRAM'!J128*J116</f>
        <v>#DIV/0!</v>
      </c>
      <c r="K122" s="363" t="e">
        <f>'5-b. 2016 LRAM'!K128*K116</f>
        <v>#DIV/0!</v>
      </c>
      <c r="L122" s="363" t="e">
        <f>'5-b. 2016 LRAM'!L128*L116</f>
        <v>#REF!</v>
      </c>
      <c r="M122" s="363" t="e">
        <f>'5-b. 2016 LRAM'!M128*M116</f>
        <v>#REF!</v>
      </c>
      <c r="N122" s="363" t="e">
        <f>'5-b. 2016 LRAM'!N128*N116</f>
        <v>#REF!</v>
      </c>
      <c r="O122" s="247"/>
      <c r="P122" s="272" t="e">
        <f t="shared" si="3"/>
        <v>#DIV/0!</v>
      </c>
    </row>
    <row r="123" spans="2:16" x14ac:dyDescent="0.25">
      <c r="B123" s="366"/>
      <c r="C123" s="700" t="s">
        <v>314</v>
      </c>
      <c r="D123" s="700"/>
      <c r="E123" s="255"/>
      <c r="F123" s="257"/>
      <c r="G123" s="257"/>
      <c r="H123" s="363" t="e">
        <f>'5-c.  2017 LRAM'!H129*H116</f>
        <v>#DIV/0!</v>
      </c>
      <c r="I123" s="363" t="e">
        <f>'5-c.  2017 LRAM'!I129*I116</f>
        <v>#DIV/0!</v>
      </c>
      <c r="J123" s="363" t="e">
        <f>'5-c.  2017 LRAM'!J129*J116</f>
        <v>#DIV/0!</v>
      </c>
      <c r="K123" s="363" t="e">
        <f>'5-c.  2017 LRAM'!K129*K116</f>
        <v>#DIV/0!</v>
      </c>
      <c r="L123" s="363" t="e">
        <f>'5-c.  2017 LRAM'!L129*L116</f>
        <v>#REF!</v>
      </c>
      <c r="M123" s="363" t="e">
        <f>'5-c.  2017 LRAM'!M129*M116</f>
        <v>#REF!</v>
      </c>
      <c r="N123" s="363" t="e">
        <f>'5-c.  2017 LRAM'!N129*N116</f>
        <v>#DIV/0!</v>
      </c>
      <c r="O123" s="247"/>
      <c r="P123" s="272" t="e">
        <f>SUM(H123:O123)</f>
        <v>#DIV/0!</v>
      </c>
    </row>
    <row r="124" spans="2:16" x14ac:dyDescent="0.25">
      <c r="B124" s="366"/>
      <c r="C124" s="700" t="s">
        <v>315</v>
      </c>
      <c r="D124" s="700"/>
      <c r="E124" s="255"/>
      <c r="F124" s="257"/>
      <c r="G124" s="257"/>
      <c r="H124" s="363" t="e">
        <f>'5-d.  2018 LRAM'!H128*H116</f>
        <v>#DIV/0!</v>
      </c>
      <c r="I124" s="363" t="e">
        <f>'5-d.  2018 LRAM'!I128*I116</f>
        <v>#DIV/0!</v>
      </c>
      <c r="J124" s="363" t="e">
        <f>'5-d.  2018 LRAM'!J128*J116</f>
        <v>#DIV/0!</v>
      </c>
      <c r="K124" s="363" t="e">
        <f>'5-d.  2018 LRAM'!K128*K116</f>
        <v>#DIV/0!</v>
      </c>
      <c r="L124" s="363" t="e">
        <f>'5-d.  2018 LRAM'!L128*L116</f>
        <v>#REF!</v>
      </c>
      <c r="M124" s="363" t="e">
        <f>'5-d.  2018 LRAM'!M128*M116</f>
        <v>#REF!</v>
      </c>
      <c r="N124" s="363" t="e">
        <f>'5-d.  2018 LRAM'!N128*N116</f>
        <v>#DIV/0!</v>
      </c>
      <c r="O124" s="247"/>
      <c r="P124" s="272" t="e">
        <f t="shared" ref="P124:P126" si="4">SUM(H124:O124)</f>
        <v>#DIV/0!</v>
      </c>
    </row>
    <row r="125" spans="2:16" x14ac:dyDescent="0.25">
      <c r="B125" s="366"/>
      <c r="C125" s="700" t="s">
        <v>316</v>
      </c>
      <c r="D125" s="700"/>
      <c r="E125" s="255"/>
      <c r="F125" s="257"/>
      <c r="G125" s="257"/>
      <c r="H125" s="363" t="e">
        <f>'5-e.  2019 LRAM'!H128*H116</f>
        <v>#DIV/0!</v>
      </c>
      <c r="I125" s="363" t="e">
        <f>'5-e.  2019 LRAM'!I128*I116</f>
        <v>#DIV/0!</v>
      </c>
      <c r="J125" s="363" t="e">
        <f>'5-e.  2019 LRAM'!J128*J116</f>
        <v>#DIV/0!</v>
      </c>
      <c r="K125" s="363" t="e">
        <f>'5-e.  2019 LRAM'!K128*K116</f>
        <v>#DIV/0!</v>
      </c>
      <c r="L125" s="363" t="e">
        <f>'5-e.  2019 LRAM'!L128*L116</f>
        <v>#DIV/0!</v>
      </c>
      <c r="M125" s="363" t="e">
        <f>'5-e.  2019 LRAM'!M128*M116</f>
        <v>#DIV/0!</v>
      </c>
      <c r="N125" s="363" t="e">
        <f>'5-e.  2019 LRAM'!N128*N116</f>
        <v>#DIV/0!</v>
      </c>
      <c r="O125" s="247"/>
      <c r="P125" s="272" t="e">
        <f t="shared" si="4"/>
        <v>#DIV/0!</v>
      </c>
    </row>
    <row r="126" spans="2:16" x14ac:dyDescent="0.25">
      <c r="B126" s="366"/>
      <c r="C126" s="700" t="s">
        <v>317</v>
      </c>
      <c r="D126" s="700"/>
      <c r="E126" s="255"/>
      <c r="F126" s="257"/>
      <c r="G126" s="257"/>
      <c r="H126" s="363" t="e">
        <f>H111*H116</f>
        <v>#REF!</v>
      </c>
      <c r="I126" s="363" t="e">
        <f>I111*I116</f>
        <v>#REF!</v>
      </c>
      <c r="J126" s="363" t="e">
        <f>J112*J116</f>
        <v>#REF!</v>
      </c>
      <c r="K126" s="363" t="e">
        <f>K112*K116</f>
        <v>#REF!</v>
      </c>
      <c r="L126" s="363" t="e">
        <f>L112*L116</f>
        <v>#REF!</v>
      </c>
      <c r="M126" s="363" t="e">
        <f>M112*M116</f>
        <v>#REF!</v>
      </c>
      <c r="N126" s="363" t="e">
        <f>N111*N116</f>
        <v>#REF!</v>
      </c>
      <c r="O126" s="247"/>
      <c r="P126" s="272" t="e">
        <f t="shared" si="4"/>
        <v>#REF!</v>
      </c>
    </row>
    <row r="127" spans="2:16" x14ac:dyDescent="0.25">
      <c r="B127" s="274"/>
      <c r="C127" s="424" t="s">
        <v>307</v>
      </c>
      <c r="D127" s="275"/>
      <c r="E127" s="275"/>
      <c r="F127" s="276"/>
      <c r="G127" s="276"/>
      <c r="H127" s="425" t="e">
        <f t="shared" ref="H127:N127" si="5">SUM(H117:H126)</f>
        <v>#REF!</v>
      </c>
      <c r="I127" s="425" t="e">
        <f t="shared" si="5"/>
        <v>#REF!</v>
      </c>
      <c r="J127" s="425" t="e">
        <f t="shared" si="5"/>
        <v>#REF!</v>
      </c>
      <c r="K127" s="425" t="e">
        <f t="shared" si="5"/>
        <v>#REF!</v>
      </c>
      <c r="L127" s="425" t="e">
        <f t="shared" si="5"/>
        <v>#REF!</v>
      </c>
      <c r="M127" s="425" t="e">
        <f t="shared" si="5"/>
        <v>#REF!</v>
      </c>
      <c r="N127" s="425" t="e">
        <f t="shared" si="5"/>
        <v>#REF!</v>
      </c>
      <c r="O127" s="275"/>
      <c r="P127" s="426"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27" activePane="bottomLeft" state="frozen"/>
      <selection pane="bottomLeft" activeCell="O57" sqref="O57"/>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672" t="s">
        <v>349</v>
      </c>
      <c r="D2" s="672"/>
      <c r="E2" s="672"/>
      <c r="F2" s="672"/>
      <c r="G2" s="672"/>
      <c r="H2" s="672"/>
      <c r="I2" s="672"/>
      <c r="J2" s="672"/>
      <c r="K2" s="672"/>
      <c r="L2" s="672"/>
      <c r="M2" s="672"/>
      <c r="N2" s="672"/>
      <c r="O2" s="672"/>
      <c r="P2" s="672"/>
      <c r="Q2" s="672"/>
      <c r="R2" s="672"/>
      <c r="S2" s="672"/>
      <c r="T2" s="672"/>
      <c r="U2" s="672"/>
    </row>
    <row r="3" spans="1:25" ht="8.25" customHeight="1" outlineLevel="1" x14ac:dyDescent="0.3">
      <c r="B3" s="69"/>
      <c r="C3" s="127"/>
      <c r="D3" s="127"/>
      <c r="E3" s="127"/>
      <c r="F3" s="127"/>
      <c r="G3" s="127"/>
      <c r="H3" s="127"/>
      <c r="I3" s="127"/>
      <c r="J3" s="475"/>
      <c r="K3" s="475"/>
      <c r="L3" s="475"/>
      <c r="M3" s="475"/>
      <c r="N3" s="127"/>
      <c r="O3" s="127"/>
      <c r="P3" s="127"/>
      <c r="Q3" s="127"/>
      <c r="R3" s="127"/>
    </row>
    <row r="4" spans="1:25" ht="9" hidden="1" customHeight="1" outlineLevel="1" x14ac:dyDescent="0.2">
      <c r="C4" s="66"/>
      <c r="D4" s="372"/>
      <c r="E4" s="373"/>
      <c r="F4" s="373"/>
      <c r="G4" s="373"/>
      <c r="H4" s="373"/>
      <c r="I4" s="373"/>
      <c r="J4" s="373"/>
      <c r="K4" s="373"/>
      <c r="L4" s="373"/>
      <c r="M4" s="373"/>
      <c r="N4" s="373"/>
      <c r="O4" s="373"/>
      <c r="P4" s="373"/>
      <c r="Q4" s="373"/>
      <c r="R4" s="373"/>
      <c r="S4" s="374"/>
    </row>
    <row r="5" spans="1:25" ht="80.25" customHeight="1" outlineLevel="1" x14ac:dyDescent="0.2">
      <c r="D5" s="354" t="s">
        <v>399</v>
      </c>
      <c r="E5" s="70"/>
      <c r="F5" s="751" t="s">
        <v>497</v>
      </c>
      <c r="G5" s="751"/>
      <c r="H5" s="751"/>
      <c r="I5" s="751"/>
      <c r="J5" s="751"/>
      <c r="K5" s="751"/>
      <c r="L5" s="751"/>
      <c r="M5" s="751"/>
      <c r="N5" s="751"/>
      <c r="O5" s="751"/>
      <c r="P5" s="751"/>
      <c r="Q5" s="751"/>
      <c r="R5" s="751"/>
      <c r="S5" s="751"/>
    </row>
    <row r="6" spans="1:25" ht="14.25" customHeight="1" outlineLevel="1" x14ac:dyDescent="0.2">
      <c r="D6" s="372"/>
      <c r="E6" s="70"/>
      <c r="F6" s="167" t="s">
        <v>490</v>
      </c>
      <c r="G6" s="70"/>
      <c r="H6" s="163"/>
      <c r="I6" s="163"/>
      <c r="J6" s="163"/>
      <c r="K6" s="163"/>
      <c r="L6" s="163"/>
      <c r="M6" s="163"/>
      <c r="N6" s="163"/>
      <c r="O6" s="163"/>
      <c r="P6" s="281"/>
      <c r="Q6" s="163"/>
      <c r="R6" s="163"/>
      <c r="S6" s="70"/>
    </row>
    <row r="7" spans="1:25" ht="6.75" hidden="1" customHeight="1" outlineLevel="1" x14ac:dyDescent="0.2">
      <c r="D7" s="372"/>
      <c r="E7" s="70"/>
      <c r="F7" s="167"/>
      <c r="G7" s="70"/>
      <c r="H7" s="163"/>
      <c r="I7" s="163"/>
      <c r="J7" s="163"/>
      <c r="K7" s="163"/>
      <c r="L7" s="163"/>
      <c r="M7" s="163"/>
      <c r="N7" s="163"/>
      <c r="O7" s="163"/>
      <c r="P7" s="281"/>
      <c r="Q7" s="163"/>
      <c r="R7" s="163"/>
      <c r="S7" s="70"/>
    </row>
    <row r="8" spans="1:25" outlineLevel="1" x14ac:dyDescent="0.2">
      <c r="A8" s="125"/>
      <c r="D8" s="83"/>
      <c r="F8" s="163" t="s">
        <v>260</v>
      </c>
      <c r="H8" s="163"/>
      <c r="I8" s="163"/>
      <c r="J8" s="163"/>
      <c r="K8" s="163"/>
      <c r="L8" s="163"/>
      <c r="M8" s="163"/>
      <c r="N8" s="163"/>
      <c r="O8" s="163"/>
      <c r="P8" s="164"/>
      <c r="Q8" s="163"/>
      <c r="R8" s="163"/>
    </row>
    <row r="9" spans="1:25" ht="12" customHeight="1" outlineLevel="1" x14ac:dyDescent="0.3">
      <c r="A9" s="125"/>
      <c r="D9" s="83"/>
      <c r="F9" s="163"/>
      <c r="H9" s="163"/>
      <c r="I9" s="163"/>
      <c r="J9" s="163"/>
      <c r="K9" s="163"/>
      <c r="L9" s="163"/>
      <c r="M9" s="163"/>
      <c r="N9" s="163"/>
      <c r="O9" s="163"/>
      <c r="P9" s="164"/>
      <c r="Q9" s="163"/>
      <c r="R9" s="163"/>
      <c r="U9" s="63"/>
    </row>
    <row r="10" spans="1:25" ht="18.75" outlineLevel="1" x14ac:dyDescent="0.3">
      <c r="A10" s="125"/>
      <c r="D10" s="84" t="s">
        <v>337</v>
      </c>
      <c r="E10" s="63"/>
      <c r="F10" s="727" t="s">
        <v>363</v>
      </c>
      <c r="G10" s="727"/>
      <c r="H10" s="206"/>
      <c r="I10" s="163"/>
      <c r="J10" s="163"/>
      <c r="K10" s="163"/>
      <c r="L10" s="163"/>
      <c r="M10" s="163"/>
      <c r="N10" s="163"/>
      <c r="O10" s="163"/>
      <c r="P10" s="164"/>
      <c r="Q10" s="163"/>
      <c r="R10" s="163"/>
      <c r="U10" s="63"/>
    </row>
    <row r="11" spans="1:25" ht="16.5" customHeight="1" outlineLevel="1" x14ac:dyDescent="0.3">
      <c r="A11" s="125"/>
      <c r="D11" s="63"/>
      <c r="E11" s="63"/>
      <c r="F11" s="748" t="s">
        <v>338</v>
      </c>
      <c r="G11" s="748"/>
      <c r="H11" s="748"/>
      <c r="I11" s="163"/>
      <c r="J11" s="163"/>
      <c r="K11" s="163"/>
      <c r="L11" s="163"/>
      <c r="M11" s="163"/>
      <c r="N11" s="163"/>
      <c r="O11" s="164"/>
      <c r="P11" s="163"/>
      <c r="Q11" s="163"/>
    </row>
    <row r="12" spans="1:25" ht="12.75" customHeight="1" x14ac:dyDescent="0.2">
      <c r="A12" s="125"/>
    </row>
    <row r="13" spans="1:25" ht="9.75" customHeight="1" x14ac:dyDescent="0.2">
      <c r="A13" s="125"/>
    </row>
    <row r="14" spans="1:25" ht="15" x14ac:dyDescent="0.2">
      <c r="A14" s="125"/>
      <c r="C14" s="166" t="s">
        <v>485</v>
      </c>
    </row>
    <row r="15" spans="1:25" ht="11.25" customHeight="1" x14ac:dyDescent="0.2">
      <c r="A15" s="125"/>
    </row>
    <row r="16" spans="1:25" ht="15" customHeight="1" x14ac:dyDescent="0.2">
      <c r="A16" s="125"/>
      <c r="C16" s="233" t="s">
        <v>21</v>
      </c>
      <c r="D16" s="731" t="s">
        <v>360</v>
      </c>
      <c r="E16" s="733"/>
      <c r="F16" s="733"/>
      <c r="G16" s="733"/>
      <c r="H16" s="733"/>
      <c r="I16" s="733"/>
      <c r="J16" s="733"/>
      <c r="K16" s="733"/>
      <c r="L16" s="733"/>
      <c r="M16" s="733"/>
      <c r="O16" s="303" t="s">
        <v>21</v>
      </c>
      <c r="P16" s="749" t="s">
        <v>359</v>
      </c>
      <c r="Q16" s="750"/>
      <c r="R16" s="750"/>
      <c r="S16" s="750"/>
      <c r="T16" s="750"/>
      <c r="U16" s="750"/>
      <c r="V16" s="750"/>
      <c r="W16" s="750"/>
      <c r="X16" s="750"/>
      <c r="Y16" s="750"/>
    </row>
    <row r="17" spans="1:25" ht="15" customHeight="1" x14ac:dyDescent="0.2">
      <c r="A17" s="43"/>
      <c r="C17" s="233"/>
      <c r="D17" s="168">
        <v>2011</v>
      </c>
      <c r="E17" s="168">
        <v>2012</v>
      </c>
      <c r="F17" s="168">
        <v>2013</v>
      </c>
      <c r="G17" s="168">
        <v>2014</v>
      </c>
      <c r="H17" s="476">
        <v>2015</v>
      </c>
      <c r="I17" s="476">
        <v>2016</v>
      </c>
      <c r="J17" s="476">
        <v>2017</v>
      </c>
      <c r="K17" s="476">
        <v>2018</v>
      </c>
      <c r="L17" s="476">
        <v>2019</v>
      </c>
      <c r="M17" s="476">
        <v>2020</v>
      </c>
      <c r="O17" s="302"/>
      <c r="P17" s="168">
        <v>2011</v>
      </c>
      <c r="Q17" s="168">
        <v>2012</v>
      </c>
      <c r="R17" s="168">
        <v>2013</v>
      </c>
      <c r="S17" s="168">
        <v>2014</v>
      </c>
      <c r="T17" s="476">
        <v>2015</v>
      </c>
      <c r="U17" s="476">
        <v>2016</v>
      </c>
      <c r="V17" s="476">
        <v>2017</v>
      </c>
      <c r="W17" s="476">
        <v>2018</v>
      </c>
      <c r="X17" s="476">
        <v>2019</v>
      </c>
      <c r="Y17" s="476">
        <v>2020</v>
      </c>
    </row>
    <row r="18" spans="1:25" ht="15" customHeight="1" x14ac:dyDescent="0.25">
      <c r="A18" s="43"/>
      <c r="C18" s="149" t="s">
        <v>22</v>
      </c>
      <c r="D18" s="495">
        <f>'[3]LDC - Summary'!B19</f>
        <v>1.0229999999999999</v>
      </c>
      <c r="E18" s="495">
        <f>'[3]LDC - Summary'!C19</f>
        <v>1.0229999999999999</v>
      </c>
      <c r="F18" s="495">
        <f>'[3]LDC - Summary'!D19</f>
        <v>0.998</v>
      </c>
      <c r="G18" s="495">
        <f>'[3]LDC - Summary'!E19</f>
        <v>0.82899999999999996</v>
      </c>
      <c r="H18" s="608">
        <f>'[5]2011'!AV$22/1000</f>
        <v>0.80684951109399672</v>
      </c>
      <c r="I18" s="608">
        <f>'[5]2011'!AW$22/1000</f>
        <v>0.76839947997842517</v>
      </c>
      <c r="J18" s="608">
        <f>'[5]2011'!AX$22/1000</f>
        <v>0.60488047540008893</v>
      </c>
      <c r="K18" s="608">
        <f>'[5]2011'!AY$22/1000</f>
        <v>0.56671525514234777</v>
      </c>
      <c r="L18" s="608">
        <f>'[5]2011'!AZ$22/1000</f>
        <v>0.5626414875584369</v>
      </c>
      <c r="M18" s="608">
        <f>'[5]2011'!BA$22/1000</f>
        <v>0.52173660813532152</v>
      </c>
      <c r="O18" s="149" t="s">
        <v>22</v>
      </c>
      <c r="P18" s="494">
        <f>'[3]LDC - Summary'!B7</f>
        <v>0.29899999999999999</v>
      </c>
      <c r="Q18" s="494">
        <f>'[3]LDC - Summary'!C7</f>
        <v>0.29899999999999999</v>
      </c>
      <c r="R18" s="494">
        <f>'[3]LDC - Summary'!D7</f>
        <v>0.29099999999999998</v>
      </c>
      <c r="S18" s="494">
        <f>'[3]LDC - Summary'!E7</f>
        <v>0.23</v>
      </c>
      <c r="T18" s="609">
        <f>'[5]2011'!R$22</f>
        <v>0.22750144482339474</v>
      </c>
      <c r="U18" s="609">
        <f>'[5]2011'!S$22</f>
        <v>0.22305211082685339</v>
      </c>
      <c r="V18" s="609">
        <f>'[5]2011'!T$22</f>
        <v>0.16286233761481234</v>
      </c>
      <c r="W18" s="609">
        <f>'[5]2011'!U$22</f>
        <v>0.15364186736929367</v>
      </c>
      <c r="X18" s="609">
        <f>'[5]2011'!V$22</f>
        <v>0.14799908538535403</v>
      </c>
      <c r="Y18" s="609">
        <f>'[5]2011'!W$22</f>
        <v>0.14610506879445689</v>
      </c>
    </row>
    <row r="19" spans="1:25" ht="15" x14ac:dyDescent="0.25">
      <c r="A19" s="43"/>
      <c r="C19" s="150" t="s">
        <v>31</v>
      </c>
      <c r="D19" s="496">
        <f>'[3]LDC - Summary'!B20</f>
        <v>1.4E-2</v>
      </c>
      <c r="E19" s="495">
        <f>'[3]LDC - Summary'!C20</f>
        <v>0.879</v>
      </c>
      <c r="F19" s="495">
        <f>'[3]LDC - Summary'!D20</f>
        <v>0.879</v>
      </c>
      <c r="G19" s="495">
        <f>'[3]LDC - Summary'!E20</f>
        <v>0.87</v>
      </c>
      <c r="H19" s="608">
        <f>'[5]2012'!AU$28/1000</f>
        <v>0.75956808893487116</v>
      </c>
      <c r="I19" s="608">
        <f>'[5]2012'!AV$28/1000</f>
        <v>0.7163347551942737</v>
      </c>
      <c r="J19" s="608">
        <f>'[5]2012'!AW$28/1000</f>
        <v>0.58723811415646943</v>
      </c>
      <c r="K19" s="608">
        <f>'[5]2012'!AX$28/1000</f>
        <v>0.55015434386218243</v>
      </c>
      <c r="L19" s="608">
        <f>'[5]2012'!AY$28/1000</f>
        <v>0.54996240380935468</v>
      </c>
      <c r="M19" s="608">
        <f>'[5]2012'!AZ$28/1000</f>
        <v>0.54650624265158998</v>
      </c>
      <c r="O19" s="150" t="s">
        <v>31</v>
      </c>
      <c r="P19" s="497">
        <f>'[3]LDC - Summary'!B8</f>
        <v>-3.0000000000000001E-3</v>
      </c>
      <c r="Q19" s="494">
        <f>'[3]LDC - Summary'!C8</f>
        <v>0.19400000000000001</v>
      </c>
      <c r="R19" s="494">
        <f>'[3]LDC - Summary'!D8</f>
        <v>0.19400000000000001</v>
      </c>
      <c r="S19" s="494">
        <f>'[3]LDC - Summary'!E8</f>
        <v>0.192</v>
      </c>
      <c r="T19" s="609">
        <f>'[5]2012'!Q$28</f>
        <v>0.16712734100679758</v>
      </c>
      <c r="U19" s="609">
        <f>'[5]2012'!R$28</f>
        <v>0.15900144924287787</v>
      </c>
      <c r="V19" s="609">
        <f>'[5]2012'!S$28</f>
        <v>0.12886055104973035</v>
      </c>
      <c r="W19" s="609">
        <f>'[5]2012'!T$28</f>
        <v>0.12415758565192467</v>
      </c>
      <c r="X19" s="609">
        <f>'[5]2012'!U$28</f>
        <v>0.12400946862373699</v>
      </c>
      <c r="Y19" s="609">
        <f>'[5]2012'!V$28</f>
        <v>0.1235973194292135</v>
      </c>
    </row>
    <row r="20" spans="1:25" ht="15" customHeight="1" x14ac:dyDescent="0.25">
      <c r="A20" s="43"/>
      <c r="C20" s="149" t="s">
        <v>204</v>
      </c>
      <c r="D20" s="496">
        <f>'[3]LDC - Summary'!B21</f>
        <v>0</v>
      </c>
      <c r="E20" s="496">
        <f>'[3]LDC - Summary'!C21</f>
        <v>5.6000000000000001E-2</v>
      </c>
      <c r="F20" s="495">
        <f>'[3]LDC - Summary'!D21</f>
        <v>1.0069999999999999</v>
      </c>
      <c r="G20" s="495">
        <f>'[3]LDC - Summary'!E21</f>
        <v>1.004</v>
      </c>
      <c r="H20" s="608">
        <f>'[5]2013'!AV$22/1000</f>
        <v>0.99720899527554241</v>
      </c>
      <c r="I20" s="608">
        <f>'[5]2013'!AW$22/1000</f>
        <v>0.95516284960774334</v>
      </c>
      <c r="J20" s="608">
        <f>'[5]2013'!AX$22/1000</f>
        <v>0.89229361134567675</v>
      </c>
      <c r="K20" s="608">
        <f>'[5]2013'!AY$22/1000</f>
        <v>0.87477306043779968</v>
      </c>
      <c r="L20" s="608">
        <f>'[5]2013'!AZ$22/1000</f>
        <v>0.87349026136553365</v>
      </c>
      <c r="M20" s="608">
        <f>'[5]2013'!BA$22/1000</f>
        <v>0.86510338317570867</v>
      </c>
      <c r="O20" s="149" t="s">
        <v>204</v>
      </c>
      <c r="P20" s="497">
        <f>'[3]LDC - Summary'!B9</f>
        <v>0</v>
      </c>
      <c r="Q20" s="497">
        <f>'[3]LDC - Summary'!C9</f>
        <v>1.2E-2</v>
      </c>
      <c r="R20" s="494">
        <f>'[3]LDC - Summary'!D9</f>
        <v>0.38100000000000001</v>
      </c>
      <c r="S20" s="494">
        <f>'[3]LDC - Summary'!E9</f>
        <v>0.20699999999999999</v>
      </c>
      <c r="T20" s="609">
        <f>'[5]2013'!R$22</f>
        <v>0.20564244522601735</v>
      </c>
      <c r="U20" s="609">
        <f>'[5]2013'!S$22</f>
        <v>0.19770728725401734</v>
      </c>
      <c r="V20" s="609">
        <f>'[5]2013'!T$22</f>
        <v>0.18034343867480931</v>
      </c>
      <c r="W20" s="609">
        <f>'[5]2013'!U$22</f>
        <v>0.17757987065955436</v>
      </c>
      <c r="X20" s="609">
        <f>'[5]2013'!V$22</f>
        <v>0.17751323401555433</v>
      </c>
      <c r="Y20" s="609">
        <f>'[5]2013'!W$22</f>
        <v>0.17657088731655432</v>
      </c>
    </row>
    <row r="21" spans="1:25" ht="15" customHeight="1" x14ac:dyDescent="0.25">
      <c r="A21" s="43"/>
      <c r="C21" s="149" t="s">
        <v>205</v>
      </c>
      <c r="D21" s="496">
        <f>'[3]LDC - Summary'!B22</f>
        <v>0</v>
      </c>
      <c r="E21" s="496">
        <f>'[3]LDC - Summary'!C22</f>
        <v>3.4000000000000002E-2</v>
      </c>
      <c r="F21" s="496">
        <f>'[3]LDC - Summary'!D22</f>
        <v>5.5E-2</v>
      </c>
      <c r="G21" s="495">
        <f>'[3]LDC - Summary'!E22</f>
        <v>1.9279999999999999</v>
      </c>
      <c r="H21" s="608">
        <f>'[5]2014'!AV$31/1000</f>
        <v>1.8916323163966058</v>
      </c>
      <c r="I21" s="608">
        <f>'[5]2014'!AW$31/1000</f>
        <v>1.8628937565012058</v>
      </c>
      <c r="J21" s="608">
        <f>'[5]2014'!AX$31/1000</f>
        <v>1.8239655395112055</v>
      </c>
      <c r="K21" s="608">
        <f>'[5]2014'!AY$31/1000</f>
        <v>1.7968494121151801</v>
      </c>
      <c r="L21" s="608">
        <f>'[5]2014'!AZ$31/1000</f>
        <v>1.7729364755690999</v>
      </c>
      <c r="M21" s="608">
        <f>'[5]2014'!BA$31/1000</f>
        <v>1.7436753481691001</v>
      </c>
      <c r="O21" s="149" t="s">
        <v>205</v>
      </c>
      <c r="P21" s="497">
        <f>'[3]LDC - Summary'!B10</f>
        <v>0</v>
      </c>
      <c r="Q21" s="497">
        <f>'[3]LDC - Summary'!C10</f>
        <v>0.06</v>
      </c>
      <c r="R21" s="497">
        <f>'[3]LDC - Summary'!D10</f>
        <v>8.7999999999999995E-2</v>
      </c>
      <c r="S21" s="494">
        <f>'[3]LDC - Summary'!E10</f>
        <v>0.74299999999999999</v>
      </c>
      <c r="T21" s="609">
        <f>'[5]2014'!R$31</f>
        <v>0.35018715403573236</v>
      </c>
      <c r="U21" s="609">
        <f>'[5]2014'!S$31</f>
        <v>0.34618932931073237</v>
      </c>
      <c r="V21" s="609">
        <f>'[5]2014'!T$31</f>
        <v>0.33470372787073238</v>
      </c>
      <c r="W21" s="609">
        <f>'[5]2014'!U$31</f>
        <v>0.32545157602365438</v>
      </c>
      <c r="X21" s="609">
        <f>'[5]2014'!V$31</f>
        <v>0.32473072618099996</v>
      </c>
      <c r="Y21" s="609">
        <f>'[5]2014'!W$31</f>
        <v>0.31977634497099999</v>
      </c>
    </row>
    <row r="22" spans="1:25" ht="15" customHeight="1" x14ac:dyDescent="0.2">
      <c r="A22" s="43"/>
      <c r="C22" s="1"/>
      <c r="D22" s="1"/>
      <c r="E22" s="1"/>
      <c r="F22" s="1"/>
      <c r="G22" s="1"/>
      <c r="P22" s="69"/>
      <c r="Q22" s="69"/>
      <c r="R22" s="69"/>
      <c r="S22" s="69"/>
      <c r="W22" s="151"/>
    </row>
    <row r="23" spans="1:25" ht="15" customHeight="1" x14ac:dyDescent="0.2">
      <c r="A23" s="43"/>
      <c r="C23" s="233" t="s">
        <v>21</v>
      </c>
      <c r="D23" s="749" t="s">
        <v>43</v>
      </c>
      <c r="E23" s="750"/>
      <c r="F23" s="750"/>
      <c r="G23" s="750"/>
      <c r="H23" s="750"/>
      <c r="I23" s="750"/>
      <c r="J23" s="750"/>
      <c r="K23" s="750"/>
      <c r="L23" s="750"/>
      <c r="M23" s="750"/>
      <c r="O23" s="305" t="s">
        <v>21</v>
      </c>
      <c r="P23" s="731" t="s">
        <v>263</v>
      </c>
      <c r="Q23" s="733"/>
      <c r="R23" s="733"/>
      <c r="S23" s="733"/>
      <c r="T23" s="733"/>
      <c r="U23" s="733"/>
      <c r="V23" s="733"/>
      <c r="W23" s="733"/>
      <c r="X23" s="733"/>
      <c r="Y23" s="733"/>
    </row>
    <row r="24" spans="1:25" ht="15" customHeight="1" x14ac:dyDescent="0.25">
      <c r="A24" s="43"/>
      <c r="C24" s="233"/>
      <c r="D24" s="295">
        <v>2011</v>
      </c>
      <c r="E24" s="295">
        <v>2012</v>
      </c>
      <c r="F24" s="295">
        <v>2013</v>
      </c>
      <c r="G24" s="295">
        <v>2014</v>
      </c>
      <c r="H24" s="476">
        <v>2015</v>
      </c>
      <c r="I24" s="476">
        <v>2016</v>
      </c>
      <c r="J24" s="476">
        <v>2017</v>
      </c>
      <c r="K24" s="476">
        <v>2018</v>
      </c>
      <c r="L24" s="476">
        <v>2019</v>
      </c>
      <c r="M24" s="476">
        <v>2020</v>
      </c>
      <c r="O24" s="304"/>
      <c r="P24" s="295">
        <v>2011</v>
      </c>
      <c r="Q24" s="295">
        <v>2012</v>
      </c>
      <c r="R24" s="295">
        <v>2013</v>
      </c>
      <c r="S24" s="295">
        <v>2014</v>
      </c>
      <c r="T24" s="295">
        <v>2015</v>
      </c>
      <c r="U24" s="295">
        <v>2016</v>
      </c>
      <c r="V24" s="295">
        <v>2017</v>
      </c>
      <c r="W24" s="295">
        <v>2018</v>
      </c>
      <c r="X24" s="295">
        <v>2019</v>
      </c>
      <c r="Y24" s="295">
        <v>2020</v>
      </c>
    </row>
    <row r="25" spans="1:25" ht="16.5" customHeight="1" x14ac:dyDescent="0.2">
      <c r="A25" s="43"/>
      <c r="C25" s="30">
        <v>2011</v>
      </c>
      <c r="D25" s="22"/>
      <c r="E25" s="31">
        <f t="shared" ref="E25:M25" si="0">E18/$D$18</f>
        <v>1</v>
      </c>
      <c r="F25" s="31">
        <f t="shared" si="0"/>
        <v>0.97556207233626602</v>
      </c>
      <c r="G25" s="31">
        <f t="shared" si="0"/>
        <v>0.81036168132942332</v>
      </c>
      <c r="H25" s="31">
        <f t="shared" si="0"/>
        <v>0.78870919950537322</v>
      </c>
      <c r="I25" s="31">
        <f t="shared" si="0"/>
        <v>0.75112363634254664</v>
      </c>
      <c r="J25" s="31">
        <f t="shared" si="0"/>
        <v>0.59128101212129913</v>
      </c>
      <c r="K25" s="31">
        <f t="shared" si="0"/>
        <v>0.55397385644413277</v>
      </c>
      <c r="L25" s="31">
        <f t="shared" si="0"/>
        <v>0.54999167894275358</v>
      </c>
      <c r="M25" s="31">
        <f t="shared" si="0"/>
        <v>0.5100064595653192</v>
      </c>
      <c r="O25" s="479">
        <v>2011</v>
      </c>
      <c r="P25" s="480"/>
      <c r="Q25" s="482">
        <f>Q18/$P$18</f>
        <v>1</v>
      </c>
      <c r="R25" s="482">
        <f>R18/$P$18</f>
        <v>0.97324414715719065</v>
      </c>
      <c r="S25" s="482">
        <f>S18/$P$18</f>
        <v>0.76923076923076927</v>
      </c>
      <c r="T25" s="482">
        <f t="shared" ref="T25:X25" si="1">T18/$P$18</f>
        <v>0.76087439740265805</v>
      </c>
      <c r="U25" s="482">
        <f>U18/$P$18</f>
        <v>0.74599368169516189</v>
      </c>
      <c r="V25" s="482">
        <f t="shared" si="1"/>
        <v>0.54469009235723187</v>
      </c>
      <c r="W25" s="482">
        <f>W18/$P$18</f>
        <v>0.51385239922840698</v>
      </c>
      <c r="X25" s="482">
        <f t="shared" si="1"/>
        <v>0.49498021868011383</v>
      </c>
      <c r="Y25" s="482">
        <f>Y18/$P$18</f>
        <v>0.4886457150316284</v>
      </c>
    </row>
    <row r="26" spans="1:25" ht="16.5" customHeight="1" x14ac:dyDescent="0.2">
      <c r="A26" s="43"/>
      <c r="C26" s="30">
        <v>2012</v>
      </c>
      <c r="D26" s="22"/>
      <c r="E26" s="22"/>
      <c r="F26" s="31">
        <f>F19/$E$19</f>
        <v>1</v>
      </c>
      <c r="G26" s="31">
        <f>G19/$E$19</f>
        <v>0.98976109215017061</v>
      </c>
      <c r="H26" s="31">
        <f>H19/$E$19</f>
        <v>0.86412751869723681</v>
      </c>
      <c r="I26" s="31">
        <f t="shared" ref="I26:J26" si="2">I19/$E$19</f>
        <v>0.81494283867380402</v>
      </c>
      <c r="J26" s="31">
        <f t="shared" si="2"/>
        <v>0.66807521519507329</v>
      </c>
      <c r="K26" s="31">
        <f>K19/$E$19</f>
        <v>0.62588662555424623</v>
      </c>
      <c r="L26" s="31">
        <f>L19/$E$19</f>
        <v>0.62566826371940232</v>
      </c>
      <c r="M26" s="31">
        <f>M19/$E$19</f>
        <v>0.62173633976290099</v>
      </c>
      <c r="O26" s="479">
        <v>2012</v>
      </c>
      <c r="P26" s="480"/>
      <c r="Q26" s="483"/>
      <c r="R26" s="482">
        <f>R19/$Q$19</f>
        <v>1</v>
      </c>
      <c r="S26" s="482">
        <f>S19/$Q$19</f>
        <v>0.98969072164948457</v>
      </c>
      <c r="T26" s="482">
        <f t="shared" ref="T26:X26" si="3">T19/$Q$19</f>
        <v>0.86148113921029679</v>
      </c>
      <c r="U26" s="482">
        <f>U19/$Q$19</f>
        <v>0.8195950991900921</v>
      </c>
      <c r="V26" s="482">
        <f t="shared" si="3"/>
        <v>0.6642296445862389</v>
      </c>
      <c r="W26" s="482">
        <f>W19/$Q$19</f>
        <v>0.63998755490682813</v>
      </c>
      <c r="X26" s="482">
        <f t="shared" si="3"/>
        <v>0.6392240650708092</v>
      </c>
      <c r="Y26" s="482">
        <f>Y19/$Q$19</f>
        <v>0.6370995846866675</v>
      </c>
    </row>
    <row r="27" spans="1:25" ht="16.5" customHeight="1" x14ac:dyDescent="0.2">
      <c r="A27" s="43"/>
      <c r="C27" s="479">
        <v>2013</v>
      </c>
      <c r="D27" s="480"/>
      <c r="E27" s="480"/>
      <c r="F27" s="481"/>
      <c r="G27" s="482">
        <f>G20/$F$20</f>
        <v>0.99702085402184715</v>
      </c>
      <c r="H27" s="482">
        <f>H20/$F$20</f>
        <v>0.990277055884352</v>
      </c>
      <c r="I27" s="482">
        <f t="shared" ref="I27:M27" si="4">I20/$F$20</f>
        <v>0.94852318729666674</v>
      </c>
      <c r="J27" s="482">
        <f t="shared" si="4"/>
        <v>0.88609097452400876</v>
      </c>
      <c r="K27" s="482">
        <f t="shared" si="4"/>
        <v>0.86869221493326687</v>
      </c>
      <c r="L27" s="482">
        <f t="shared" si="4"/>
        <v>0.86741833303429372</v>
      </c>
      <c r="M27" s="482">
        <f t="shared" si="4"/>
        <v>0.85908975489146844</v>
      </c>
      <c r="O27" s="479">
        <v>2013</v>
      </c>
      <c r="P27" s="480"/>
      <c r="Q27" s="480"/>
      <c r="R27" s="481"/>
      <c r="S27" s="482">
        <f>S20/$R$20</f>
        <v>0.54330708661417315</v>
      </c>
      <c r="T27" s="482">
        <f t="shared" ref="T27:Y27" si="5">T20/$R$20</f>
        <v>0.53974395072445502</v>
      </c>
      <c r="U27" s="482">
        <f t="shared" si="5"/>
        <v>0.51891676444623969</v>
      </c>
      <c r="V27" s="482">
        <f t="shared" si="5"/>
        <v>0.47334235872653363</v>
      </c>
      <c r="W27" s="482">
        <f t="shared" si="5"/>
        <v>0.46608889936890907</v>
      </c>
      <c r="X27" s="482">
        <f t="shared" si="5"/>
        <v>0.465914000040825</v>
      </c>
      <c r="Y27" s="482">
        <f t="shared" si="5"/>
        <v>0.46344064912481447</v>
      </c>
    </row>
    <row r="28" spans="1:25" ht="16.5" customHeight="1" x14ac:dyDescent="0.2">
      <c r="A28" s="43"/>
      <c r="C28" s="479">
        <v>2014</v>
      </c>
      <c r="D28" s="480"/>
      <c r="E28" s="480"/>
      <c r="F28" s="481"/>
      <c r="G28" s="482"/>
      <c r="H28" s="482">
        <f t="shared" ref="H28:M28" si="6">H21/$G$21</f>
        <v>0.98113709356670431</v>
      </c>
      <c r="I28" s="482">
        <f t="shared" si="6"/>
        <v>0.96623120150477482</v>
      </c>
      <c r="J28" s="482">
        <f t="shared" si="6"/>
        <v>0.94604021758879964</v>
      </c>
      <c r="K28" s="482">
        <f t="shared" si="6"/>
        <v>0.93197583615932578</v>
      </c>
      <c r="L28" s="482">
        <f t="shared" si="6"/>
        <v>0.91957286077235478</v>
      </c>
      <c r="M28" s="482">
        <f t="shared" si="6"/>
        <v>0.90439592747359965</v>
      </c>
      <c r="O28" s="479">
        <v>2014</v>
      </c>
      <c r="P28" s="480"/>
      <c r="Q28" s="480"/>
      <c r="R28" s="481"/>
      <c r="S28" s="482"/>
      <c r="T28" s="484">
        <f>T21/$S$21</f>
        <v>0.47131514675064923</v>
      </c>
      <c r="U28" s="484">
        <f t="shared" ref="U28:X28" si="7">U21/$S$21</f>
        <v>0.46593449436168555</v>
      </c>
      <c r="V28" s="484">
        <f t="shared" si="7"/>
        <v>0.45047608057972055</v>
      </c>
      <c r="W28" s="484">
        <f t="shared" si="7"/>
        <v>0.43802365548271116</v>
      </c>
      <c r="X28" s="484">
        <f t="shared" si="7"/>
        <v>0.43705346726917893</v>
      </c>
      <c r="Y28" s="484">
        <f>Y21/$S$21</f>
        <v>0.43038539027052491</v>
      </c>
    </row>
    <row r="29" spans="1:25" ht="9" customHeight="1" x14ac:dyDescent="0.2">
      <c r="A29" s="43"/>
      <c r="C29" s="32"/>
      <c r="D29" s="291"/>
      <c r="E29" s="291"/>
      <c r="F29" s="292"/>
      <c r="G29" s="293"/>
      <c r="O29" s="32"/>
      <c r="P29" s="291"/>
      <c r="Q29" s="291"/>
      <c r="R29" s="292"/>
      <c r="S29" s="293"/>
      <c r="V29" s="151"/>
      <c r="W29" s="151"/>
    </row>
    <row r="30" spans="1:25" ht="9.75" customHeight="1" x14ac:dyDescent="0.2">
      <c r="A30" s="43"/>
      <c r="U30" s="151"/>
      <c r="V30" s="151"/>
      <c r="W30" s="151"/>
    </row>
    <row r="31" spans="1:25" ht="18.75" x14ac:dyDescent="0.2">
      <c r="A31" s="43"/>
      <c r="C31" s="166" t="s">
        <v>486</v>
      </c>
      <c r="E31" s="148"/>
      <c r="F31" s="148"/>
      <c r="G31" s="148"/>
      <c r="H31" s="148"/>
      <c r="I31" s="148"/>
      <c r="J31" s="148"/>
      <c r="K31" s="148"/>
      <c r="L31" s="148"/>
      <c r="M31" s="148"/>
      <c r="N31" s="148"/>
      <c r="O31" s="148"/>
      <c r="P31" s="148"/>
      <c r="Q31" s="148"/>
      <c r="R31" s="148"/>
      <c r="S31" s="148"/>
    </row>
    <row r="32" spans="1:25" ht="8.25" customHeight="1" x14ac:dyDescent="0.2">
      <c r="D32" s="66"/>
      <c r="J32" s="148"/>
      <c r="K32" s="148"/>
      <c r="L32" s="148"/>
      <c r="M32" s="148"/>
    </row>
    <row r="33" spans="1:24" ht="18.75" x14ac:dyDescent="0.25">
      <c r="C33" s="754" t="s">
        <v>21</v>
      </c>
      <c r="D33" s="730" t="s">
        <v>360</v>
      </c>
      <c r="E33" s="732"/>
      <c r="F33" s="732"/>
      <c r="G33" s="732"/>
      <c r="H33" s="732"/>
      <c r="I33" s="753"/>
      <c r="J33" s="148"/>
      <c r="K33" s="148"/>
      <c r="L33" s="148"/>
      <c r="M33" s="148"/>
      <c r="N33" s="152"/>
      <c r="O33" s="756" t="s">
        <v>21</v>
      </c>
      <c r="P33" s="757" t="s">
        <v>359</v>
      </c>
      <c r="Q33" s="758"/>
      <c r="R33" s="758"/>
      <c r="S33" s="758"/>
      <c r="T33" s="758"/>
      <c r="U33" s="758"/>
      <c r="V33" s="759"/>
      <c r="W33" s="152"/>
    </row>
    <row r="34" spans="1:24" ht="14.25" customHeight="1" x14ac:dyDescent="0.25">
      <c r="C34" s="755"/>
      <c r="D34" s="168">
        <v>2015</v>
      </c>
      <c r="E34" s="168">
        <v>2016</v>
      </c>
      <c r="F34" s="168">
        <v>2017</v>
      </c>
      <c r="G34" s="168">
        <v>2018</v>
      </c>
      <c r="H34" s="170">
        <v>2019</v>
      </c>
      <c r="I34" s="168">
        <v>2020</v>
      </c>
      <c r="J34" s="148"/>
      <c r="K34" s="148"/>
      <c r="L34" s="148"/>
      <c r="M34" s="148"/>
      <c r="N34" s="153"/>
      <c r="O34" s="756"/>
      <c r="P34" s="169"/>
      <c r="Q34" s="169">
        <v>2015</v>
      </c>
      <c r="R34" s="169">
        <v>2016</v>
      </c>
      <c r="S34" s="169">
        <v>2017</v>
      </c>
      <c r="T34" s="169">
        <v>2018</v>
      </c>
      <c r="U34" s="169">
        <v>2019</v>
      </c>
      <c r="V34" s="169">
        <v>2020</v>
      </c>
      <c r="W34" s="154"/>
    </row>
    <row r="35" spans="1:24" ht="18.75" x14ac:dyDescent="0.2">
      <c r="C35" s="155" t="s">
        <v>216</v>
      </c>
      <c r="D35" s="610">
        <f>'[6]Energy Savings'!F$33/1000000</f>
        <v>3.0002260000000001</v>
      </c>
      <c r="E35" s="610">
        <f>'[6]Energy Savings'!G$33/1000000</f>
        <v>2.9792320000000001</v>
      </c>
      <c r="F35" s="610">
        <f>'[6]Energy Savings'!H$33/1000000</f>
        <v>2.730378</v>
      </c>
      <c r="G35" s="610">
        <f>'[6]Energy Savings'!I$33/1000000</f>
        <v>2.672644</v>
      </c>
      <c r="H35" s="610">
        <f>'[6]Energy Savings'!J$33/1000000</f>
        <v>2.6004619999999998</v>
      </c>
      <c r="I35" s="610">
        <f>'[6]Energy Savings'!K$33/1000000</f>
        <v>2.59802</v>
      </c>
      <c r="J35" s="148"/>
      <c r="K35" s="148"/>
      <c r="L35" s="148"/>
      <c r="M35" s="148"/>
      <c r="N35" s="156"/>
      <c r="O35" s="155" t="s">
        <v>216</v>
      </c>
      <c r="P35" s="157"/>
      <c r="Q35" s="611">
        <f>'[6]Demand Savings'!F$33/1000</f>
        <v>0.47499999999999998</v>
      </c>
      <c r="R35" s="611">
        <f>'[6]Demand Savings'!G$33/1000</f>
        <v>0.47099999999999997</v>
      </c>
      <c r="S35" s="611">
        <f>'[6]Demand Savings'!H$33/1000</f>
        <v>0.43099999999999999</v>
      </c>
      <c r="T35" s="611">
        <f>'[6]Demand Savings'!I$33/1000</f>
        <v>0.41299999999999998</v>
      </c>
      <c r="U35" s="611">
        <f>'[6]Demand Savings'!J$33/1000</f>
        <v>0.39700000000000002</v>
      </c>
      <c r="V35" s="611">
        <f>'[6]Demand Savings'!K$33/1000</f>
        <v>0.39700000000000002</v>
      </c>
      <c r="W35" s="158"/>
    </row>
    <row r="36" spans="1:24" ht="18.75" x14ac:dyDescent="0.2">
      <c r="C36" s="155" t="s">
        <v>217</v>
      </c>
      <c r="D36" s="159"/>
      <c r="E36" s="207"/>
      <c r="F36" s="207"/>
      <c r="G36" s="207"/>
      <c r="H36" s="207"/>
      <c r="I36" s="207"/>
      <c r="J36" s="148"/>
      <c r="K36" s="148"/>
      <c r="L36" s="148"/>
      <c r="M36" s="148"/>
      <c r="N36" s="156"/>
      <c r="O36" s="155" t="s">
        <v>217</v>
      </c>
      <c r="P36" s="157"/>
      <c r="Q36" s="160"/>
      <c r="R36" s="208"/>
      <c r="S36" s="208"/>
      <c r="T36" s="208"/>
      <c r="U36" s="208"/>
      <c r="V36" s="208"/>
      <c r="W36" s="158"/>
    </row>
    <row r="37" spans="1:24" ht="18.75" x14ac:dyDescent="0.2">
      <c r="C37" s="155" t="s">
        <v>218</v>
      </c>
      <c r="D37" s="159"/>
      <c r="E37" s="159"/>
      <c r="F37" s="207"/>
      <c r="G37" s="207"/>
      <c r="H37" s="207"/>
      <c r="I37" s="207"/>
      <c r="J37" s="148"/>
      <c r="K37" s="148"/>
      <c r="L37" s="148"/>
      <c r="M37" s="148"/>
      <c r="N37" s="156"/>
      <c r="O37" s="155" t="s">
        <v>218</v>
      </c>
      <c r="P37" s="157"/>
      <c r="Q37" s="160"/>
      <c r="R37" s="160"/>
      <c r="S37" s="208"/>
      <c r="T37" s="208"/>
      <c r="U37" s="208"/>
      <c r="V37" s="208"/>
      <c r="W37" s="158"/>
    </row>
    <row r="38" spans="1:24" ht="18.75" x14ac:dyDescent="0.2">
      <c r="C38" s="155" t="s">
        <v>219</v>
      </c>
      <c r="D38" s="159"/>
      <c r="E38" s="159"/>
      <c r="F38" s="159"/>
      <c r="G38" s="207"/>
      <c r="H38" s="207"/>
      <c r="I38" s="207"/>
      <c r="J38" s="148"/>
      <c r="K38" s="148"/>
      <c r="L38" s="148"/>
      <c r="M38" s="148"/>
      <c r="N38" s="156"/>
      <c r="O38" s="155" t="s">
        <v>219</v>
      </c>
      <c r="P38" s="157"/>
      <c r="Q38" s="160"/>
      <c r="R38" s="160"/>
      <c r="S38" s="160"/>
      <c r="T38" s="208"/>
      <c r="U38" s="208"/>
      <c r="V38" s="208"/>
      <c r="W38" s="158"/>
    </row>
    <row r="39" spans="1:24" ht="18.75" x14ac:dyDescent="0.2">
      <c r="C39" s="155" t="s">
        <v>220</v>
      </c>
      <c r="D39" s="159"/>
      <c r="E39" s="159"/>
      <c r="F39" s="159"/>
      <c r="G39" s="159"/>
      <c r="H39" s="207"/>
      <c r="I39" s="207"/>
      <c r="J39" s="148"/>
      <c r="K39" s="148"/>
      <c r="L39" s="148"/>
      <c r="M39" s="148"/>
      <c r="N39" s="156"/>
      <c r="O39" s="155" t="s">
        <v>220</v>
      </c>
      <c r="P39" s="157"/>
      <c r="Q39" s="160"/>
      <c r="R39" s="160"/>
      <c r="S39" s="160"/>
      <c r="T39" s="160"/>
      <c r="U39" s="208"/>
      <c r="V39" s="208"/>
      <c r="W39" s="158"/>
    </row>
    <row r="40" spans="1:24" ht="18.75" x14ac:dyDescent="0.2">
      <c r="C40" s="155" t="s">
        <v>221</v>
      </c>
      <c r="D40" s="159"/>
      <c r="E40" s="159"/>
      <c r="F40" s="159"/>
      <c r="G40" s="159"/>
      <c r="H40" s="159"/>
      <c r="I40" s="207"/>
      <c r="J40" s="148"/>
      <c r="K40" s="148"/>
      <c r="L40" s="148"/>
      <c r="M40" s="148"/>
      <c r="N40" s="156"/>
      <c r="O40" s="155" t="s">
        <v>221</v>
      </c>
      <c r="P40" s="157"/>
      <c r="Q40" s="160"/>
      <c r="R40" s="160"/>
      <c r="S40" s="160"/>
      <c r="T40" s="160"/>
      <c r="U40" s="160"/>
      <c r="V40" s="208"/>
      <c r="W40" s="158"/>
    </row>
    <row r="41" spans="1:24" ht="9.75" customHeight="1" x14ac:dyDescent="0.2">
      <c r="D41" s="83"/>
      <c r="E41" s="83"/>
      <c r="F41" s="83"/>
      <c r="G41" s="83"/>
      <c r="H41" s="83"/>
      <c r="I41" s="83"/>
      <c r="J41" s="148"/>
      <c r="K41" s="148"/>
      <c r="L41" s="148"/>
      <c r="M41" s="148"/>
      <c r="N41" s="83"/>
    </row>
    <row r="42" spans="1:24" ht="14.25" customHeight="1" x14ac:dyDescent="0.2">
      <c r="C42" s="754" t="s">
        <v>21</v>
      </c>
      <c r="D42" s="760" t="s">
        <v>43</v>
      </c>
      <c r="E42" s="761"/>
      <c r="F42" s="761"/>
      <c r="G42" s="761"/>
      <c r="H42" s="761"/>
      <c r="I42" s="762"/>
      <c r="J42" s="148"/>
      <c r="K42" s="148"/>
      <c r="L42" s="148"/>
      <c r="M42" s="148"/>
      <c r="O42" s="756" t="s">
        <v>21</v>
      </c>
      <c r="P42" s="749" t="s">
        <v>263</v>
      </c>
      <c r="Q42" s="750"/>
      <c r="R42" s="750"/>
      <c r="S42" s="750"/>
      <c r="T42" s="750"/>
      <c r="U42" s="750"/>
      <c r="V42" s="750"/>
      <c r="W42" s="154"/>
    </row>
    <row r="43" spans="1:24" ht="14.25" customHeight="1" x14ac:dyDescent="0.2">
      <c r="A43" s="752"/>
      <c r="C43" s="755"/>
      <c r="D43" s="169">
        <v>2015</v>
      </c>
      <c r="E43" s="169">
        <v>2016</v>
      </c>
      <c r="F43" s="169">
        <v>2017</v>
      </c>
      <c r="G43" s="169">
        <v>2018</v>
      </c>
      <c r="H43" s="169">
        <v>2019</v>
      </c>
      <c r="I43" s="169">
        <v>2020</v>
      </c>
      <c r="J43" s="148"/>
      <c r="K43" s="148"/>
      <c r="L43" s="148"/>
      <c r="M43" s="148"/>
      <c r="O43" s="756"/>
      <c r="P43" s="169"/>
      <c r="Q43" s="169">
        <v>2015</v>
      </c>
      <c r="R43" s="169">
        <v>2016</v>
      </c>
      <c r="S43" s="169">
        <v>2017</v>
      </c>
      <c r="T43" s="169">
        <v>2018</v>
      </c>
      <c r="U43" s="169">
        <v>2019</v>
      </c>
      <c r="V43" s="171">
        <v>2020</v>
      </c>
      <c r="W43" s="154"/>
      <c r="X43" s="13"/>
    </row>
    <row r="44" spans="1:24" ht="18.75" x14ac:dyDescent="0.2">
      <c r="A44" s="752"/>
      <c r="C44" s="155" t="s">
        <v>216</v>
      </c>
      <c r="D44" s="114"/>
      <c r="E44" s="469">
        <f>E35/$D$35</f>
        <v>0.99300252714295523</v>
      </c>
      <c r="F44" s="469">
        <f>F35/$D$35</f>
        <v>0.91005744233934371</v>
      </c>
      <c r="G44" s="469">
        <f>G35/$D$35</f>
        <v>0.89081422532835863</v>
      </c>
      <c r="H44" s="469">
        <f>H35/$D$35</f>
        <v>0.86675537109537737</v>
      </c>
      <c r="I44" s="469">
        <f>I35/$D$35</f>
        <v>0.86594143241209165</v>
      </c>
      <c r="J44" s="148"/>
      <c r="K44" s="148"/>
      <c r="L44" s="148"/>
      <c r="M44" s="148"/>
      <c r="N44" s="161"/>
      <c r="O44" s="155" t="s">
        <v>216</v>
      </c>
      <c r="P44" s="157"/>
      <c r="Q44" s="114"/>
      <c r="R44" s="469">
        <f>R35/$Q$35</f>
        <v>0.991578947368421</v>
      </c>
      <c r="S44" s="469">
        <f>S35/$Q$35</f>
        <v>0.9073684210526316</v>
      </c>
      <c r="T44" s="469">
        <f>T35/$Q$35</f>
        <v>0.86947368421052629</v>
      </c>
      <c r="U44" s="469">
        <f>U35/$Q$35</f>
        <v>0.83578947368421064</v>
      </c>
      <c r="V44" s="469">
        <f>V35/$Q$35</f>
        <v>0.83578947368421064</v>
      </c>
      <c r="W44" s="162"/>
      <c r="X44" s="13"/>
    </row>
    <row r="45" spans="1:24" ht="18.75" x14ac:dyDescent="0.2">
      <c r="A45" s="752"/>
      <c r="C45" s="155" t="s">
        <v>217</v>
      </c>
      <c r="D45" s="114"/>
      <c r="E45" s="469"/>
      <c r="F45" s="469" t="e">
        <f>F36/$E$36</f>
        <v>#DIV/0!</v>
      </c>
      <c r="G45" s="469" t="e">
        <f>G36/$E$36</f>
        <v>#DIV/0!</v>
      </c>
      <c r="H45" s="469" t="e">
        <f>H36/$E$36</f>
        <v>#DIV/0!</v>
      </c>
      <c r="I45" s="469" t="e">
        <f>I36/$E$36</f>
        <v>#DIV/0!</v>
      </c>
      <c r="J45" s="148"/>
      <c r="K45" s="148"/>
      <c r="L45" s="148"/>
      <c r="M45" s="148"/>
      <c r="O45" s="155" t="s">
        <v>217</v>
      </c>
      <c r="P45" s="157"/>
      <c r="Q45" s="114"/>
      <c r="R45" s="469"/>
      <c r="S45" s="469" t="e">
        <f>S36/$R$36</f>
        <v>#DIV/0!</v>
      </c>
      <c r="T45" s="469" t="e">
        <f>T36/$R$36</f>
        <v>#DIV/0!</v>
      </c>
      <c r="U45" s="469" t="e">
        <f>U36/$R$36</f>
        <v>#DIV/0!</v>
      </c>
      <c r="V45" s="469" t="e">
        <f>V36/$R$36</f>
        <v>#DIV/0!</v>
      </c>
      <c r="W45" s="154"/>
      <c r="X45" s="13"/>
    </row>
    <row r="46" spans="1:24" x14ac:dyDescent="0.2">
      <c r="A46" s="752"/>
      <c r="C46" s="155" t="s">
        <v>218</v>
      </c>
      <c r="D46" s="114"/>
      <c r="E46" s="469"/>
      <c r="F46" s="469"/>
      <c r="G46" s="469" t="e">
        <f>G37/$F$37</f>
        <v>#DIV/0!</v>
      </c>
      <c r="H46" s="469" t="e">
        <f>H37/$F$37</f>
        <v>#DIV/0!</v>
      </c>
      <c r="I46" s="469" t="e">
        <f>I37/$F$37</f>
        <v>#DIV/0!</v>
      </c>
      <c r="J46" s="478"/>
      <c r="K46" s="478"/>
      <c r="L46" s="478"/>
      <c r="M46" s="478"/>
      <c r="O46" s="155" t="s">
        <v>218</v>
      </c>
      <c r="P46" s="157"/>
      <c r="Q46" s="114"/>
      <c r="R46" s="469"/>
      <c r="S46" s="469"/>
      <c r="T46" s="469" t="e">
        <f>T37/$S$37</f>
        <v>#DIV/0!</v>
      </c>
      <c r="U46" s="469" t="e">
        <f>U37/$S$37</f>
        <v>#DIV/0!</v>
      </c>
      <c r="V46" s="469" t="e">
        <f>V37/$S$37</f>
        <v>#DIV/0!</v>
      </c>
      <c r="W46" s="162"/>
      <c r="X46" s="13"/>
    </row>
    <row r="47" spans="1:24" x14ac:dyDescent="0.2">
      <c r="C47" s="155" t="s">
        <v>219</v>
      </c>
      <c r="D47" s="114"/>
      <c r="E47" s="469"/>
      <c r="F47" s="469"/>
      <c r="G47" s="469"/>
      <c r="H47" s="469" t="e">
        <f>H38/$G$38</f>
        <v>#DIV/0!</v>
      </c>
      <c r="I47" s="469" t="e">
        <f>I38/$G$38</f>
        <v>#DIV/0!</v>
      </c>
      <c r="J47" s="478"/>
      <c r="K47" s="478"/>
      <c r="L47" s="478"/>
      <c r="M47" s="478"/>
      <c r="O47" s="155" t="s">
        <v>219</v>
      </c>
      <c r="P47" s="157"/>
      <c r="Q47" s="114"/>
      <c r="R47" s="469"/>
      <c r="S47" s="469"/>
      <c r="T47" s="469"/>
      <c r="U47" s="469" t="e">
        <f>U38/$T$38</f>
        <v>#DIV/0!</v>
      </c>
      <c r="V47" s="469" t="e">
        <f>V38/$T$38</f>
        <v>#DIV/0!</v>
      </c>
      <c r="W47" s="154"/>
    </row>
    <row r="48" spans="1:24" x14ac:dyDescent="0.2">
      <c r="C48" s="155" t="s">
        <v>220</v>
      </c>
      <c r="D48" s="114"/>
      <c r="E48" s="469"/>
      <c r="F48" s="469"/>
      <c r="G48" s="469"/>
      <c r="H48" s="469"/>
      <c r="I48" s="469" t="e">
        <f>I39/H39</f>
        <v>#DIV/0!</v>
      </c>
      <c r="J48" s="478"/>
      <c r="K48" s="478"/>
      <c r="L48" s="478"/>
      <c r="M48" s="478"/>
      <c r="O48" s="155" t="s">
        <v>220</v>
      </c>
      <c r="P48" s="157"/>
      <c r="Q48" s="114"/>
      <c r="R48" s="469"/>
      <c r="S48" s="469"/>
      <c r="T48" s="469"/>
      <c r="U48" s="469"/>
      <c r="V48" s="469" t="e">
        <f>V39/U39</f>
        <v>#DIV/0!</v>
      </c>
      <c r="W48" s="154"/>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rintOptions headings="1" gridLines="1"/>
  <pageMargins left="0.55118110236220497" right="0.47244094488188998" top="0.74803149606299202" bottom="0.74803149606299202" header="0.31496062992126" footer="0.31496062992126"/>
  <pageSetup paperSize="17" scale="75" orientation="landscape" cellComments="asDisplayed" r:id="rId1"/>
  <headerFooter>
    <oddHeader>&amp;L&amp;Z&amp;F&amp;A</oddHeader>
    <oddFooter>&amp;L&amp;D&amp;T</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55" activePane="bottomLeft" state="frozen"/>
      <selection pane="bottomLeft" activeCell="S171" sqref="S171"/>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hidden="1" customWidth="1"/>
    <col min="12" max="12" width="11.5703125" style="26" hidden="1" customWidth="1"/>
    <col min="13" max="13" width="0" style="26" hidden="1" customWidth="1"/>
    <col min="14" max="14" width="9.140625" style="26"/>
    <col min="15" max="15" width="12" style="26" customWidth="1"/>
    <col min="16" max="16" width="9.140625" style="26"/>
    <col min="17" max="17" width="9.85546875" style="26" bestFit="1" customWidth="1"/>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763" t="s">
        <v>208</v>
      </c>
      <c r="C3" s="763"/>
      <c r="D3" s="763"/>
      <c r="E3" s="763"/>
      <c r="F3" s="763"/>
      <c r="G3" s="763"/>
      <c r="H3" s="763"/>
      <c r="I3" s="763"/>
      <c r="J3" s="763"/>
      <c r="K3" s="763"/>
      <c r="L3" s="763"/>
      <c r="M3" s="763"/>
      <c r="N3" s="763"/>
      <c r="O3" s="763"/>
      <c r="P3" s="763"/>
      <c r="Q3" s="763"/>
      <c r="R3" s="2"/>
      <c r="S3" s="2"/>
      <c r="T3" s="3"/>
      <c r="U3" s="2"/>
    </row>
    <row r="4" spans="1:21" ht="14.25" customHeight="1" outlineLevel="1" x14ac:dyDescent="0.3">
      <c r="B4" s="61"/>
      <c r="C4" s="378"/>
      <c r="D4" s="378"/>
      <c r="E4" s="379"/>
      <c r="F4" s="379"/>
      <c r="G4" s="379"/>
      <c r="H4" s="379"/>
      <c r="I4" s="379"/>
      <c r="J4" s="379"/>
      <c r="K4" s="379"/>
      <c r="L4" s="379"/>
      <c r="M4" s="379"/>
      <c r="N4" s="379"/>
      <c r="O4" s="379"/>
      <c r="P4" s="379"/>
      <c r="Q4" s="379"/>
      <c r="T4" s="3"/>
    </row>
    <row r="5" spans="1:21" s="23" customFormat="1" ht="18.75" outlineLevel="1" x14ac:dyDescent="0.3">
      <c r="A5" s="65"/>
      <c r="B5" s="196"/>
      <c r="C5" s="354" t="s">
        <v>399</v>
      </c>
      <c r="D5" s="357" t="s">
        <v>496</v>
      </c>
      <c r="E5" s="379"/>
      <c r="F5" s="379"/>
      <c r="G5" s="379"/>
      <c r="H5" s="379"/>
      <c r="I5" s="380"/>
      <c r="J5" s="380"/>
      <c r="K5" s="380"/>
      <c r="L5" s="380"/>
      <c r="M5" s="380"/>
      <c r="N5" s="379"/>
      <c r="O5" s="379"/>
      <c r="P5" s="47"/>
      <c r="Q5" s="47"/>
    </row>
    <row r="6" spans="1:21" s="23" customFormat="1" ht="18.75" customHeight="1" outlineLevel="1" x14ac:dyDescent="0.3">
      <c r="B6" s="196"/>
      <c r="C6" s="375"/>
      <c r="D6" s="357" t="s">
        <v>356</v>
      </c>
      <c r="E6" s="375"/>
      <c r="F6" s="375"/>
      <c r="G6" s="375"/>
      <c r="H6" s="375"/>
      <c r="I6" s="380"/>
      <c r="J6" s="380"/>
      <c r="K6" s="380"/>
      <c r="L6" s="380"/>
      <c r="M6" s="380"/>
      <c r="N6" s="375"/>
      <c r="O6" s="375"/>
      <c r="P6" s="47"/>
      <c r="Q6" s="47"/>
    </row>
    <row r="7" spans="1:21" s="23" customFormat="1" ht="49.5" customHeight="1" outlineLevel="1" x14ac:dyDescent="0.3">
      <c r="B7" s="196"/>
      <c r="C7" s="375"/>
      <c r="D7" s="746" t="s">
        <v>373</v>
      </c>
      <c r="E7" s="746"/>
      <c r="F7" s="746"/>
      <c r="G7" s="746"/>
      <c r="H7" s="746"/>
      <c r="I7" s="746"/>
      <c r="J7" s="746"/>
      <c r="K7" s="746"/>
      <c r="L7" s="746"/>
      <c r="M7" s="746"/>
      <c r="N7" s="746"/>
      <c r="O7" s="746"/>
      <c r="P7" s="746"/>
      <c r="Q7" s="746"/>
    </row>
    <row r="8" spans="1:21" s="23" customFormat="1" ht="12" customHeight="1" outlineLevel="1" x14ac:dyDescent="0.3">
      <c r="B8" s="196"/>
      <c r="C8" s="375"/>
      <c r="D8" s="357"/>
      <c r="E8" s="375"/>
      <c r="F8" s="375"/>
      <c r="G8" s="375"/>
      <c r="H8" s="375"/>
      <c r="I8" s="380"/>
      <c r="J8" s="380"/>
      <c r="K8" s="380"/>
      <c r="L8" s="380"/>
      <c r="M8" s="380"/>
      <c r="N8" s="375"/>
      <c r="O8" s="375"/>
      <c r="P8" s="47"/>
      <c r="Q8" s="47"/>
    </row>
    <row r="9" spans="1:21" s="23" customFormat="1" ht="18.75" customHeight="1" outlineLevel="1" x14ac:dyDescent="0.3">
      <c r="B9" s="196"/>
      <c r="C9" s="84" t="s">
        <v>337</v>
      </c>
      <c r="D9" s="211" t="s">
        <v>363</v>
      </c>
      <c r="E9" s="211"/>
      <c r="F9" s="211"/>
      <c r="G9" s="210"/>
      <c r="H9" s="375"/>
      <c r="I9" s="184"/>
      <c r="J9" s="184"/>
      <c r="K9" s="184"/>
      <c r="L9" s="184"/>
      <c r="M9" s="184"/>
      <c r="N9" s="210"/>
      <c r="O9" s="210"/>
      <c r="Q9" s="82"/>
    </row>
    <row r="10" spans="1:21" s="23" customFormat="1" ht="18.75" customHeight="1" outlineLevel="1" x14ac:dyDescent="0.3">
      <c r="B10" s="196"/>
      <c r="C10" s="234"/>
      <c r="D10" s="306" t="s">
        <v>338</v>
      </c>
      <c r="E10" s="234"/>
      <c r="F10" s="210"/>
      <c r="G10" s="210"/>
      <c r="H10" s="375"/>
      <c r="I10" s="184"/>
      <c r="J10" s="184"/>
      <c r="K10" s="184"/>
      <c r="L10" s="184"/>
      <c r="M10" s="184"/>
      <c r="N10" s="210"/>
      <c r="O10" s="210"/>
    </row>
    <row r="11" spans="1:21" s="23" customFormat="1" ht="6.75" customHeight="1" outlineLevel="1" x14ac:dyDescent="0.3">
      <c r="B11" s="234"/>
      <c r="C11" s="234"/>
      <c r="D11" s="306"/>
      <c r="E11" s="234"/>
      <c r="F11" s="234"/>
      <c r="G11" s="234"/>
      <c r="H11" s="375"/>
      <c r="I11" s="184"/>
      <c r="J11" s="184"/>
      <c r="K11" s="184"/>
      <c r="L11" s="184"/>
      <c r="M11" s="184"/>
      <c r="N11" s="234"/>
      <c r="O11" s="234"/>
    </row>
    <row r="12" spans="1:21" ht="8.25" customHeight="1" x14ac:dyDescent="0.3">
      <c r="B12" s="61"/>
      <c r="C12" s="61"/>
      <c r="D12" s="195"/>
      <c r="E12" s="62"/>
      <c r="F12" s="62"/>
      <c r="G12" s="62"/>
      <c r="H12" s="379"/>
      <c r="I12" s="185"/>
      <c r="J12" s="185"/>
      <c r="K12" s="185"/>
      <c r="L12" s="185"/>
      <c r="M12" s="185"/>
      <c r="N12" s="62"/>
      <c r="O12" s="62"/>
      <c r="P12" s="62"/>
      <c r="Q12" s="62"/>
      <c r="T12" s="3"/>
    </row>
    <row r="13" spans="1:21" s="298" customFormat="1" ht="17.25" customHeight="1" x14ac:dyDescent="0.25">
      <c r="B13" s="764" t="s">
        <v>488</v>
      </c>
      <c r="C13" s="764"/>
      <c r="D13" s="299"/>
      <c r="E13" s="300" t="s">
        <v>489</v>
      </c>
      <c r="F13" s="300"/>
      <c r="G13" s="300"/>
      <c r="H13" s="186"/>
      <c r="I13" s="300"/>
      <c r="J13" s="301"/>
      <c r="K13" s="301"/>
      <c r="L13" s="301"/>
      <c r="M13" s="301"/>
      <c r="N13" s="301"/>
      <c r="O13" s="301"/>
      <c r="P13" s="301"/>
      <c r="Q13" s="301"/>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16" t="s">
        <v>85</v>
      </c>
      <c r="C15" s="217" t="s">
        <v>364</v>
      </c>
      <c r="D15" s="187"/>
      <c r="E15" s="174" t="s">
        <v>84</v>
      </c>
      <c r="F15" s="174" t="s">
        <v>372</v>
      </c>
      <c r="G15" s="174" t="s">
        <v>85</v>
      </c>
      <c r="H15" s="174" t="s">
        <v>86</v>
      </c>
      <c r="I15" s="174" t="str">
        <f>'1.  LRAMVA Summary'!C21</f>
        <v>Residential</v>
      </c>
      <c r="J15" s="174" t="str">
        <f>'1.  LRAMVA Summary'!D21</f>
        <v>General Service &lt;50 kW</v>
      </c>
      <c r="K15" s="626" t="str">
        <f>'1.  LRAMVA Summary'!E21</f>
        <v>General Service 50 - 999 kW</v>
      </c>
      <c r="L15" s="626" t="str">
        <f>'1.  LRAMVA Summary'!F21</f>
        <v>General Service 1,000 - 4,999 kW</v>
      </c>
      <c r="M15" s="626" t="str">
        <f>'1.  LRAMVA Summary'!G21</f>
        <v>Sentinel Lighting</v>
      </c>
      <c r="N15" s="174" t="str">
        <f>'1.  LRAMVA Summary'!H21</f>
        <v>Street Lighting</v>
      </c>
      <c r="O15" s="174" t="str">
        <f>'1.  LRAMVA Summary'!I21</f>
        <v>Unmetered Scattered Load</v>
      </c>
      <c r="P15" s="174" t="str">
        <f>'5.  2015 LRAM'!O16</f>
        <v>General Service 50 - 4,999 kW</v>
      </c>
      <c r="Q15" s="174" t="str">
        <f>'1.  LRAMVA Summary'!K21</f>
        <v>Total</v>
      </c>
      <c r="S15" s="26"/>
      <c r="T15" s="26"/>
    </row>
    <row r="16" spans="1:21" s="3" customFormat="1" ht="12.75" x14ac:dyDescent="0.2">
      <c r="B16" s="214" t="s">
        <v>66</v>
      </c>
      <c r="C16" s="214">
        <v>1.47E-2</v>
      </c>
      <c r="D16" s="188"/>
      <c r="E16" s="176">
        <v>40544</v>
      </c>
      <c r="F16" s="220">
        <v>2011</v>
      </c>
      <c r="G16" s="177" t="s">
        <v>87</v>
      </c>
      <c r="H16" s="445">
        <f t="shared" ref="H16:H18" si="0">C$16/12</f>
        <v>1.225E-3</v>
      </c>
      <c r="I16" s="179">
        <f>SUM('1.  LRAMVA Summary'!C$22:C$23)*(MONTH($E16)-1)/12*$H16</f>
        <v>0</v>
      </c>
      <c r="J16" s="179">
        <f>SUM('1.  LRAMVA Summary'!D$22:D$23)*(MONTH($E16)-1)/12*$H16</f>
        <v>0</v>
      </c>
      <c r="K16" s="627">
        <f>SUM('1.  LRAMVA Summary'!E$22:E$23)*(MONTH($E16)-1)/12*$H16</f>
        <v>0</v>
      </c>
      <c r="L16" s="627">
        <f>SUM('1.  LRAMVA Summary'!F$22:F$23)*(MONTH($E16)-1)/12*$H16</f>
        <v>0</v>
      </c>
      <c r="M16" s="627">
        <f>SUM('1.  LRAMVA Summary'!G$22:G$23)*(MONTH($E16)-1)/12*$H16</f>
        <v>0</v>
      </c>
      <c r="N16" s="179">
        <f>SUM('1.  LRAMVA Summary'!H$22:H$23)*(MONTH($E16)-1)/12*$H16</f>
        <v>0</v>
      </c>
      <c r="O16" s="179">
        <f>SUM('1.  LRAMVA Summary'!I$22:I$23)*(MONTH($E16)-1)/12*$H16</f>
        <v>0</v>
      </c>
      <c r="P16" s="179">
        <f>SUM('1.  LRAMVA Summary'!J$22:J$23)*(MONTH($E16)-1)/12*$H16</f>
        <v>0</v>
      </c>
      <c r="Q16" s="178">
        <f>SUM(I16:P16)</f>
        <v>0</v>
      </c>
    </row>
    <row r="17" spans="2:17" s="3" customFormat="1" ht="12.75" x14ac:dyDescent="0.2">
      <c r="B17" s="175" t="s">
        <v>67</v>
      </c>
      <c r="C17" s="175">
        <v>1.47E-2</v>
      </c>
      <c r="D17" s="188"/>
      <c r="E17" s="176">
        <v>40575</v>
      </c>
      <c r="F17" s="220">
        <v>2011</v>
      </c>
      <c r="G17" s="177" t="s">
        <v>87</v>
      </c>
      <c r="H17" s="445">
        <f t="shared" si="0"/>
        <v>1.225E-3</v>
      </c>
      <c r="I17" s="179">
        <f>SUM('1.  LRAMVA Summary'!C$22:C$23)*(MONTH($E17)-1)/12*$H17</f>
        <v>0.26649187213541659</v>
      </c>
      <c r="J17" s="179">
        <f>SUM('1.  LRAMVA Summary'!D$22:D$23)*(MONTH($E17)-1)/12*$H17</f>
        <v>0.69217208093133331</v>
      </c>
      <c r="K17" s="627">
        <f>SUM('1.  LRAMVA Summary'!E$22:E$23)*(MONTH($E17)-1)/12*$H17</f>
        <v>0</v>
      </c>
      <c r="L17" s="627">
        <f>SUM('1.  LRAMVA Summary'!F$22:F$23)*(MONTH($E17)-1)/12*$H17</f>
        <v>0</v>
      </c>
      <c r="M17" s="627">
        <f>SUM('1.  LRAMVA Summary'!G$22:G$23)*(MONTH($E17)-1)/12*$H17</f>
        <v>0</v>
      </c>
      <c r="N17" s="179">
        <f>SUM('1.  LRAMVA Summary'!H$22:H$23)*(MONTH($E17)-1)/12*$H17</f>
        <v>0</v>
      </c>
      <c r="O17" s="179">
        <f>SUM('1.  LRAMVA Summary'!I$22:I$23)*(MONTH($E17)-1)/12*$H17</f>
        <v>0</v>
      </c>
      <c r="P17" s="179">
        <f>SUM('1.  LRAMVA Summary'!J$22:J$23)*(MONTH($E17)-1)/12*$H17</f>
        <v>3.371312856800001E-2</v>
      </c>
      <c r="Q17" s="178">
        <f>SUM(I17:P17)</f>
        <v>0.99237708163474991</v>
      </c>
    </row>
    <row r="18" spans="2:17" s="3" customFormat="1" ht="12.75" x14ac:dyDescent="0.2">
      <c r="B18" s="175" t="s">
        <v>68</v>
      </c>
      <c r="C18" s="175">
        <v>1.47E-2</v>
      </c>
      <c r="D18" s="188"/>
      <c r="E18" s="176">
        <v>40603</v>
      </c>
      <c r="F18" s="220">
        <v>2011</v>
      </c>
      <c r="G18" s="177" t="s">
        <v>87</v>
      </c>
      <c r="H18" s="445">
        <f t="shared" si="0"/>
        <v>1.225E-3</v>
      </c>
      <c r="I18" s="179">
        <f>SUM('1.  LRAMVA Summary'!C$22:C$23)*(MONTH($E18)-1)/12*$H18</f>
        <v>0.53298374427083317</v>
      </c>
      <c r="J18" s="179">
        <f>SUM('1.  LRAMVA Summary'!D$22:D$23)*(MONTH($E18)-1)/12*$H18</f>
        <v>1.3843441618626666</v>
      </c>
      <c r="K18" s="627">
        <f>SUM('1.  LRAMVA Summary'!E$22:E$23)*(MONTH($E18)-1)/12*$H18</f>
        <v>0</v>
      </c>
      <c r="L18" s="627">
        <f>SUM('1.  LRAMVA Summary'!F$22:F$23)*(MONTH($E18)-1)/12*$H18</f>
        <v>0</v>
      </c>
      <c r="M18" s="627">
        <f>SUM('1.  LRAMVA Summary'!G$22:G$23)*(MONTH($E18)-1)/12*$H18</f>
        <v>0</v>
      </c>
      <c r="N18" s="179">
        <f>SUM('1.  LRAMVA Summary'!H$22:H$23)*(MONTH($E18)-1)/12*$H18</f>
        <v>0</v>
      </c>
      <c r="O18" s="179">
        <f>SUM('1.  LRAMVA Summary'!I$22:I$23)*(MONTH($E18)-1)/12*$H18</f>
        <v>0</v>
      </c>
      <c r="P18" s="179">
        <f>SUM('1.  LRAMVA Summary'!J$22:J$23)*(MONTH($E18)-1)/12*$H18</f>
        <v>6.742625713600002E-2</v>
      </c>
      <c r="Q18" s="178">
        <f t="shared" ref="Q18:Q27" si="1">SUM(I18:P18)</f>
        <v>1.9847541632694998</v>
      </c>
    </row>
    <row r="19" spans="2:17" s="3" customFormat="1" ht="12.75" x14ac:dyDescent="0.2">
      <c r="B19" s="175" t="s">
        <v>69</v>
      </c>
      <c r="C19" s="175">
        <v>1.47E-2</v>
      </c>
      <c r="D19" s="188"/>
      <c r="E19" s="180">
        <v>40634</v>
      </c>
      <c r="F19" s="220">
        <v>2011</v>
      </c>
      <c r="G19" s="181" t="s">
        <v>88</v>
      </c>
      <c r="H19" s="445">
        <f>C$17/12</f>
        <v>1.225E-3</v>
      </c>
      <c r="I19" s="182">
        <f>SUM('1.  LRAMVA Summary'!C$22:C$23)*(MONTH($E19)-1)/12*$H19</f>
        <v>0.79947561640624976</v>
      </c>
      <c r="J19" s="182">
        <f>SUM('1.  LRAMVA Summary'!D$22:D$23)*(MONTH($E19)-1)/12*$H19</f>
        <v>2.0765162427939998</v>
      </c>
      <c r="K19" s="627">
        <f>SUM('1.  LRAMVA Summary'!E$22:E$23)*(MONTH($E19)-1)/12*$H19</f>
        <v>0</v>
      </c>
      <c r="L19" s="627">
        <f>SUM('1.  LRAMVA Summary'!F$22:F$23)*(MONTH($E19)-1)/12*$H19</f>
        <v>0</v>
      </c>
      <c r="M19" s="627">
        <f>SUM('1.  LRAMVA Summary'!G$22:G$23)*(MONTH($E19)-1)/12*$H19</f>
        <v>0</v>
      </c>
      <c r="N19" s="182">
        <f>SUM('1.  LRAMVA Summary'!H$22:H$23)*(MONTH($E19)-1)/12*$H19</f>
        <v>0</v>
      </c>
      <c r="O19" s="182">
        <f>SUM('1.  LRAMVA Summary'!I$22:I$23)*(MONTH($E19)-1)/12*$H19</f>
        <v>0</v>
      </c>
      <c r="P19" s="182">
        <f>SUM('1.  LRAMVA Summary'!J$22:J$23)*(MONTH($E19)-1)/12*$H19</f>
        <v>0.10113938570400002</v>
      </c>
      <c r="Q19" s="183">
        <f t="shared" si="1"/>
        <v>2.9771312449042497</v>
      </c>
    </row>
    <row r="20" spans="2:17" s="3" customFormat="1" ht="12.75" x14ac:dyDescent="0.2">
      <c r="B20" s="175" t="s">
        <v>70</v>
      </c>
      <c r="C20" s="175">
        <v>1.47E-2</v>
      </c>
      <c r="D20" s="188"/>
      <c r="E20" s="180">
        <v>40664</v>
      </c>
      <c r="F20" s="220">
        <v>2011</v>
      </c>
      <c r="G20" s="181" t="s">
        <v>88</v>
      </c>
      <c r="H20" s="445">
        <f t="shared" ref="H20:H21" si="2">C$17/12</f>
        <v>1.225E-3</v>
      </c>
      <c r="I20" s="182">
        <f>SUM('1.  LRAMVA Summary'!C$22:C$23)*(MONTH($E20)-1)/12*$H20</f>
        <v>1.0659674885416663</v>
      </c>
      <c r="J20" s="182">
        <f>SUM('1.  LRAMVA Summary'!D$22:D$23)*(MONTH($E20)-1)/12*$H20</f>
        <v>2.7686883237253332</v>
      </c>
      <c r="K20" s="627">
        <f>SUM('1.  LRAMVA Summary'!E$22:E$23)*(MONTH($E20)-1)/12*$H20</f>
        <v>0</v>
      </c>
      <c r="L20" s="627">
        <f>SUM('1.  LRAMVA Summary'!F$22:F$23)*(MONTH($E20)-1)/12*$H20</f>
        <v>0</v>
      </c>
      <c r="M20" s="627">
        <f>SUM('1.  LRAMVA Summary'!G$22:G$23)*(MONTH($E20)-1)/12*$H20</f>
        <v>0</v>
      </c>
      <c r="N20" s="182">
        <f>SUM('1.  LRAMVA Summary'!H$22:H$23)*(MONTH($E20)-1)/12*$H20</f>
        <v>0</v>
      </c>
      <c r="O20" s="182">
        <f>SUM('1.  LRAMVA Summary'!I$22:I$23)*(MONTH($E20)-1)/12*$H20</f>
        <v>0</v>
      </c>
      <c r="P20" s="182">
        <f>SUM('1.  LRAMVA Summary'!J$22:J$23)*(MONTH($E20)-1)/12*$H20</f>
        <v>0.13485251427200004</v>
      </c>
      <c r="Q20" s="183">
        <f t="shared" si="1"/>
        <v>3.9695083265389997</v>
      </c>
    </row>
    <row r="21" spans="2:17" s="3" customFormat="1" ht="12.75" x14ac:dyDescent="0.2">
      <c r="B21" s="175" t="s">
        <v>71</v>
      </c>
      <c r="C21" s="175">
        <v>1.47E-2</v>
      </c>
      <c r="D21" s="188"/>
      <c r="E21" s="180">
        <v>40695</v>
      </c>
      <c r="F21" s="220">
        <v>2011</v>
      </c>
      <c r="G21" s="181" t="s">
        <v>88</v>
      </c>
      <c r="H21" s="445">
        <f t="shared" si="2"/>
        <v>1.225E-3</v>
      </c>
      <c r="I21" s="182">
        <f>SUM('1.  LRAMVA Summary'!C$22:C$23)*(MONTH($E21)-1)/12*$H21</f>
        <v>1.3324593606770831</v>
      </c>
      <c r="J21" s="182">
        <f>SUM('1.  LRAMVA Summary'!D$22:D$23)*(MONTH($E21)-1)/12*$H21</f>
        <v>3.4608604046566662</v>
      </c>
      <c r="K21" s="627">
        <f>SUM('1.  LRAMVA Summary'!E$22:E$23)*(MONTH($E21)-1)/12*$H21</f>
        <v>0</v>
      </c>
      <c r="L21" s="627">
        <f>SUM('1.  LRAMVA Summary'!F$22:F$23)*(MONTH($E21)-1)/12*$H21</f>
        <v>0</v>
      </c>
      <c r="M21" s="627">
        <f>SUM('1.  LRAMVA Summary'!G$22:G$23)*(MONTH($E21)-1)/12*$H21</f>
        <v>0</v>
      </c>
      <c r="N21" s="182">
        <f>SUM('1.  LRAMVA Summary'!H$22:H$23)*(MONTH($E21)-1)/12*$H21</f>
        <v>0</v>
      </c>
      <c r="O21" s="182">
        <f>SUM('1.  LRAMVA Summary'!I$22:I$23)*(MONTH($E21)-1)/12*$H21</f>
        <v>0</v>
      </c>
      <c r="P21" s="182">
        <f>SUM('1.  LRAMVA Summary'!J$22:J$23)*(MONTH($E21)-1)/12*$H21</f>
        <v>0.16856564284000003</v>
      </c>
      <c r="Q21" s="183">
        <f t="shared" si="1"/>
        <v>4.9618854081737496</v>
      </c>
    </row>
    <row r="22" spans="2:17" s="3" customFormat="1" ht="12.75" x14ac:dyDescent="0.2">
      <c r="B22" s="175" t="s">
        <v>72</v>
      </c>
      <c r="C22" s="175">
        <v>1.47E-2</v>
      </c>
      <c r="D22" s="188"/>
      <c r="E22" s="180">
        <v>40725</v>
      </c>
      <c r="F22" s="220">
        <v>2011</v>
      </c>
      <c r="G22" s="181" t="s">
        <v>90</v>
      </c>
      <c r="H22" s="445">
        <f>C$18/12</f>
        <v>1.225E-3</v>
      </c>
      <c r="I22" s="182">
        <f>SUM('1.  LRAMVA Summary'!C$22:C$23)*(MONTH($E22)-1)/12*$H22</f>
        <v>1.5989512328124995</v>
      </c>
      <c r="J22" s="182">
        <f>SUM('1.  LRAMVA Summary'!D$22:D$23)*(MONTH($E22)-1)/12*$H22</f>
        <v>4.1530324855879996</v>
      </c>
      <c r="K22" s="627">
        <f>SUM('1.  LRAMVA Summary'!E$22:E$23)*(MONTH($E22)-1)/12*$H22</f>
        <v>0</v>
      </c>
      <c r="L22" s="627">
        <f>SUM('1.  LRAMVA Summary'!F$22:F$23)*(MONTH($E22)-1)/12*$H22</f>
        <v>0</v>
      </c>
      <c r="M22" s="627">
        <f>SUM('1.  LRAMVA Summary'!G$22:G$23)*(MONTH($E22)-1)/12*$H22</f>
        <v>0</v>
      </c>
      <c r="N22" s="182">
        <f>SUM('1.  LRAMVA Summary'!H$22:H$23)*(MONTH($E22)-1)/12*$H22</f>
        <v>0</v>
      </c>
      <c r="O22" s="182">
        <f>SUM('1.  LRAMVA Summary'!I$22:I$23)*(MONTH($E22)-1)/12*$H22</f>
        <v>0</v>
      </c>
      <c r="P22" s="182">
        <f>SUM('1.  LRAMVA Summary'!J$22:J$23)*(MONTH($E22)-1)/12*$H22</f>
        <v>0.20227877140800005</v>
      </c>
      <c r="Q22" s="183">
        <f t="shared" si="1"/>
        <v>5.9542624898084995</v>
      </c>
    </row>
    <row r="23" spans="2:17" s="3" customFormat="1" ht="12.75" x14ac:dyDescent="0.2">
      <c r="B23" s="175" t="s">
        <v>73</v>
      </c>
      <c r="C23" s="175">
        <v>1.47E-2</v>
      </c>
      <c r="D23" s="188"/>
      <c r="E23" s="180">
        <v>40756</v>
      </c>
      <c r="F23" s="220">
        <v>2011</v>
      </c>
      <c r="G23" s="181" t="s">
        <v>90</v>
      </c>
      <c r="H23" s="445">
        <f t="shared" ref="H23:H24" si="3">C$18/12</f>
        <v>1.225E-3</v>
      </c>
      <c r="I23" s="182">
        <f>SUM('1.  LRAMVA Summary'!C$22:C$23)*(MONTH($E23)-1)/12*$H23</f>
        <v>1.8654431049479161</v>
      </c>
      <c r="J23" s="182">
        <f>SUM('1.  LRAMVA Summary'!D$22:D$23)*(MONTH($E23)-1)/12*$H23</f>
        <v>4.8452045665193326</v>
      </c>
      <c r="K23" s="627">
        <f>SUM('1.  LRAMVA Summary'!E$22:E$23)*(MONTH($E23)-1)/12*$H23</f>
        <v>0</v>
      </c>
      <c r="L23" s="627">
        <f>SUM('1.  LRAMVA Summary'!F$22:F$23)*(MONTH($E23)-1)/12*$H23</f>
        <v>0</v>
      </c>
      <c r="M23" s="627">
        <f>SUM('1.  LRAMVA Summary'!G$22:G$23)*(MONTH($E23)-1)/12*$H23</f>
        <v>0</v>
      </c>
      <c r="N23" s="182">
        <f>SUM('1.  LRAMVA Summary'!H$22:H$23)*(MONTH($E23)-1)/12*$H23</f>
        <v>0</v>
      </c>
      <c r="O23" s="182">
        <f>SUM('1.  LRAMVA Summary'!I$22:I$23)*(MONTH($E23)-1)/12*$H23</f>
        <v>0</v>
      </c>
      <c r="P23" s="182">
        <f>SUM('1.  LRAMVA Summary'!J$22:J$23)*(MONTH($E23)-1)/12*$H23</f>
        <v>0.23599189997600004</v>
      </c>
      <c r="Q23" s="183">
        <f t="shared" si="1"/>
        <v>6.9466395714432485</v>
      </c>
    </row>
    <row r="24" spans="2:17" s="3" customFormat="1" ht="12.75" x14ac:dyDescent="0.2">
      <c r="B24" s="175" t="s">
        <v>74</v>
      </c>
      <c r="C24" s="175">
        <v>1.47E-2</v>
      </c>
      <c r="D24" s="188"/>
      <c r="E24" s="180">
        <v>40787</v>
      </c>
      <c r="F24" s="220">
        <v>2011</v>
      </c>
      <c r="G24" s="181" t="s">
        <v>90</v>
      </c>
      <c r="H24" s="445">
        <f t="shared" si="3"/>
        <v>1.225E-3</v>
      </c>
      <c r="I24" s="182">
        <f>SUM('1.  LRAMVA Summary'!C$22:C$23)*(MONTH($E24)-1)/12*$H24</f>
        <v>2.1319349770833327</v>
      </c>
      <c r="J24" s="182">
        <f>SUM('1.  LRAMVA Summary'!D$22:D$23)*(MONTH($E24)-1)/12*$H24</f>
        <v>5.5373766474506665</v>
      </c>
      <c r="K24" s="627">
        <f>SUM('1.  LRAMVA Summary'!E$22:E$23)*(MONTH($E24)-1)/12*$H24</f>
        <v>0</v>
      </c>
      <c r="L24" s="627">
        <f>SUM('1.  LRAMVA Summary'!F$22:F$23)*(MONTH($E24)-1)/12*$H24</f>
        <v>0</v>
      </c>
      <c r="M24" s="627">
        <f>SUM('1.  LRAMVA Summary'!G$22:G$23)*(MONTH($E24)-1)/12*$H24</f>
        <v>0</v>
      </c>
      <c r="N24" s="182">
        <f>SUM('1.  LRAMVA Summary'!H$22:H$23)*(MONTH($E24)-1)/12*$H24</f>
        <v>0</v>
      </c>
      <c r="O24" s="182">
        <f>SUM('1.  LRAMVA Summary'!I$22:I$23)*(MONTH($E24)-1)/12*$H24</f>
        <v>0</v>
      </c>
      <c r="P24" s="182">
        <f>SUM('1.  LRAMVA Summary'!J$22:J$23)*(MONTH($E24)-1)/12*$H24</f>
        <v>0.26970502854400008</v>
      </c>
      <c r="Q24" s="183">
        <f t="shared" si="1"/>
        <v>7.9390166530779993</v>
      </c>
    </row>
    <row r="25" spans="2:17" s="3" customFormat="1" ht="12.75" x14ac:dyDescent="0.2">
      <c r="B25" s="175" t="s">
        <v>75</v>
      </c>
      <c r="C25" s="175">
        <v>1.47E-2</v>
      </c>
      <c r="D25" s="188"/>
      <c r="E25" s="180">
        <v>40817</v>
      </c>
      <c r="F25" s="220">
        <v>2011</v>
      </c>
      <c r="G25" s="181" t="s">
        <v>91</v>
      </c>
      <c r="H25" s="445">
        <f>C$19/12</f>
        <v>1.225E-3</v>
      </c>
      <c r="I25" s="182">
        <f>SUM('1.  LRAMVA Summary'!C$22:C$23)*(MONTH($E25)-1)/12*$H25</f>
        <v>2.3984268492187493</v>
      </c>
      <c r="J25" s="182">
        <f>SUM('1.  LRAMVA Summary'!D$22:D$23)*(MONTH($E25)-1)/12*$H25</f>
        <v>6.2295487283819995</v>
      </c>
      <c r="K25" s="627">
        <f>SUM('1.  LRAMVA Summary'!E$22:E$23)*(MONTH($E25)-1)/12*$H25</f>
        <v>0</v>
      </c>
      <c r="L25" s="627">
        <f>SUM('1.  LRAMVA Summary'!F$22:F$23)*(MONTH($E25)-1)/12*$H25</f>
        <v>0</v>
      </c>
      <c r="M25" s="627">
        <f>SUM('1.  LRAMVA Summary'!G$22:G$23)*(MONTH($E25)-1)/12*$H25</f>
        <v>0</v>
      </c>
      <c r="N25" s="182">
        <f>SUM('1.  LRAMVA Summary'!H$22:H$23)*(MONTH($E25)-1)/12*$H25</f>
        <v>0</v>
      </c>
      <c r="O25" s="182">
        <f>SUM('1.  LRAMVA Summary'!I$22:I$23)*(MONTH($E25)-1)/12*$H25</f>
        <v>0</v>
      </c>
      <c r="P25" s="182">
        <f>SUM('1.  LRAMVA Summary'!J$22:J$23)*(MONTH($E25)-1)/12*$H25</f>
        <v>0.30341815711200004</v>
      </c>
      <c r="Q25" s="183">
        <f t="shared" si="1"/>
        <v>8.9313937347127492</v>
      </c>
    </row>
    <row r="26" spans="2:17" s="3" customFormat="1" ht="12.75" x14ac:dyDescent="0.2">
      <c r="B26" s="175" t="s">
        <v>76</v>
      </c>
      <c r="C26" s="175">
        <v>1.47E-2</v>
      </c>
      <c r="D26" s="188"/>
      <c r="E26" s="180">
        <v>40848</v>
      </c>
      <c r="F26" s="220">
        <v>2011</v>
      </c>
      <c r="G26" s="181" t="s">
        <v>91</v>
      </c>
      <c r="H26" s="445">
        <f t="shared" ref="H26:H27" si="4">C$19/12</f>
        <v>1.225E-3</v>
      </c>
      <c r="I26" s="182">
        <f>SUM('1.  LRAMVA Summary'!C$22:C$23)*(MONTH($E26)-1)/12*$H26</f>
        <v>2.6649187213541663</v>
      </c>
      <c r="J26" s="182">
        <f>SUM('1.  LRAMVA Summary'!D$22:D$23)*(MONTH($E26)-1)/12*$H26</f>
        <v>6.9217208093133324</v>
      </c>
      <c r="K26" s="627">
        <f>SUM('1.  LRAMVA Summary'!E$22:E$23)*(MONTH($E26)-1)/12*$H26</f>
        <v>0</v>
      </c>
      <c r="L26" s="627">
        <f>SUM('1.  LRAMVA Summary'!F$22:F$23)*(MONTH($E26)-1)/12*$H26</f>
        <v>0</v>
      </c>
      <c r="M26" s="627">
        <f>SUM('1.  LRAMVA Summary'!G$22:G$23)*(MONTH($E26)-1)/12*$H26</f>
        <v>0</v>
      </c>
      <c r="N26" s="182">
        <f>SUM('1.  LRAMVA Summary'!H$22:H$23)*(MONTH($E26)-1)/12*$H26</f>
        <v>0</v>
      </c>
      <c r="O26" s="182">
        <f>SUM('1.  LRAMVA Summary'!I$22:I$23)*(MONTH($E26)-1)/12*$H26</f>
        <v>0</v>
      </c>
      <c r="P26" s="182">
        <f>SUM('1.  LRAMVA Summary'!J$22:J$23)*(MONTH($E26)-1)/12*$H26</f>
        <v>0.33713128568000006</v>
      </c>
      <c r="Q26" s="183">
        <f t="shared" si="1"/>
        <v>9.9237708163474991</v>
      </c>
    </row>
    <row r="27" spans="2:17" s="3" customFormat="1" ht="12.75" x14ac:dyDescent="0.2">
      <c r="B27" s="175" t="s">
        <v>77</v>
      </c>
      <c r="C27" s="175">
        <v>1.47E-2</v>
      </c>
      <c r="D27" s="188"/>
      <c r="E27" s="180">
        <v>40878</v>
      </c>
      <c r="F27" s="220">
        <v>2011</v>
      </c>
      <c r="G27" s="181" t="s">
        <v>91</v>
      </c>
      <c r="H27" s="445">
        <f t="shared" si="4"/>
        <v>1.225E-3</v>
      </c>
      <c r="I27" s="182">
        <f>SUM('1.  LRAMVA Summary'!C$22:C$23)*(MONTH($E27)-1)/12*$H27</f>
        <v>2.9314105934895829</v>
      </c>
      <c r="J27" s="182">
        <f>SUM('1.  LRAMVA Summary'!D$22:D$23)*(MONTH($E27)-1)/12*$H27</f>
        <v>7.6138928902446645</v>
      </c>
      <c r="K27" s="627">
        <f>SUM('1.  LRAMVA Summary'!E$22:E$23)*(MONTH($E27)-1)/12*$H27</f>
        <v>0</v>
      </c>
      <c r="L27" s="627">
        <f>SUM('1.  LRAMVA Summary'!F$22:F$23)*(MONTH($E27)-1)/12*$H27</f>
        <v>0</v>
      </c>
      <c r="M27" s="627">
        <f>SUM('1.  LRAMVA Summary'!G$22:G$23)*(MONTH($E27)-1)/12*$H27</f>
        <v>0</v>
      </c>
      <c r="N27" s="182">
        <f>SUM('1.  LRAMVA Summary'!H$22:H$23)*(MONTH($E27)-1)/12*$H27</f>
        <v>0</v>
      </c>
      <c r="O27" s="182">
        <f>SUM('1.  LRAMVA Summary'!I$22:I$23)*(MONTH($E27)-1)/12*$H27</f>
        <v>0</v>
      </c>
      <c r="P27" s="182">
        <f>SUM('1.  LRAMVA Summary'!J$22:J$23)*(MONTH($E27)-1)/12*$H27</f>
        <v>0.37084441424800002</v>
      </c>
      <c r="Q27" s="183">
        <f t="shared" si="1"/>
        <v>10.916147897982247</v>
      </c>
    </row>
    <row r="28" spans="2:17" s="3" customFormat="1" ht="13.5" thickBot="1" x14ac:dyDescent="0.25">
      <c r="B28" s="175" t="s">
        <v>78</v>
      </c>
      <c r="C28" s="175">
        <v>1.47E-2</v>
      </c>
      <c r="D28" s="188"/>
      <c r="E28" s="192" t="s">
        <v>380</v>
      </c>
      <c r="F28" s="192"/>
      <c r="G28" s="193"/>
      <c r="H28" s="446"/>
      <c r="I28" s="194">
        <f>SUM(I16:I27)</f>
        <v>17.588463560937495</v>
      </c>
      <c r="J28" s="194">
        <f t="shared" ref="J28:P28" si="5">SUM(J16:J27)</f>
        <v>45.683357341467996</v>
      </c>
      <c r="K28" s="628">
        <f t="shared" si="5"/>
        <v>0</v>
      </c>
      <c r="L28" s="628">
        <f t="shared" si="5"/>
        <v>0</v>
      </c>
      <c r="M28" s="628">
        <f t="shared" si="5"/>
        <v>0</v>
      </c>
      <c r="N28" s="194">
        <f t="shared" si="5"/>
        <v>0</v>
      </c>
      <c r="O28" s="194">
        <f t="shared" si="5"/>
        <v>0</v>
      </c>
      <c r="P28" s="194">
        <f t="shared" si="5"/>
        <v>2.2250664854880005</v>
      </c>
      <c r="Q28" s="194">
        <f>SUM(Q16:Q27)</f>
        <v>65.496887387893494</v>
      </c>
    </row>
    <row r="29" spans="2:17" s="3" customFormat="1" ht="13.5" thickTop="1" x14ac:dyDescent="0.2">
      <c r="B29" s="175" t="s">
        <v>79</v>
      </c>
      <c r="C29" s="175">
        <v>1.47E-2</v>
      </c>
      <c r="D29" s="188"/>
      <c r="E29" s="221" t="s">
        <v>89</v>
      </c>
      <c r="F29" s="221"/>
      <c r="G29" s="222"/>
      <c r="H29" s="447"/>
      <c r="I29" s="223"/>
      <c r="J29" s="223"/>
      <c r="K29" s="629"/>
      <c r="L29" s="629"/>
      <c r="M29" s="629"/>
      <c r="N29" s="223"/>
      <c r="O29" s="223"/>
      <c r="P29" s="223"/>
      <c r="Q29" s="224"/>
    </row>
    <row r="30" spans="2:17" s="3" customFormat="1" ht="12.75" x14ac:dyDescent="0.2">
      <c r="B30" s="175" t="s">
        <v>80</v>
      </c>
      <c r="C30" s="175">
        <v>1.47E-2</v>
      </c>
      <c r="D30" s="188"/>
      <c r="E30" s="189" t="s">
        <v>387</v>
      </c>
      <c r="F30" s="189"/>
      <c r="G30" s="190"/>
      <c r="H30" s="448"/>
      <c r="I30" s="191">
        <f>I28+I29</f>
        <v>17.588463560937495</v>
      </c>
      <c r="J30" s="191">
        <f t="shared" ref="J30:M30" si="6">J28+J29</f>
        <v>45.683357341467996</v>
      </c>
      <c r="K30" s="630">
        <f t="shared" si="6"/>
        <v>0</v>
      </c>
      <c r="L30" s="630">
        <f t="shared" si="6"/>
        <v>0</v>
      </c>
      <c r="M30" s="630">
        <f t="shared" si="6"/>
        <v>0</v>
      </c>
      <c r="N30" s="191">
        <f>N28+N29</f>
        <v>0</v>
      </c>
      <c r="O30" s="191">
        <f>O28+O29</f>
        <v>0</v>
      </c>
      <c r="P30" s="191">
        <f>P28+P29</f>
        <v>2.2250664854880005</v>
      </c>
      <c r="Q30" s="191">
        <f>Q28+Q29</f>
        <v>65.496887387893494</v>
      </c>
    </row>
    <row r="31" spans="2:17" s="3" customFormat="1" ht="12.75" x14ac:dyDescent="0.2">
      <c r="B31" s="175" t="s">
        <v>81</v>
      </c>
      <c r="C31" s="175">
        <v>1.47E-2</v>
      </c>
      <c r="D31" s="188"/>
      <c r="E31" s="180">
        <v>40909</v>
      </c>
      <c r="F31" s="180" t="s">
        <v>367</v>
      </c>
      <c r="G31" s="181" t="s">
        <v>87</v>
      </c>
      <c r="H31" s="449">
        <f t="shared" ref="H31:H33" si="7">C$20/12</f>
        <v>1.225E-3</v>
      </c>
      <c r="I31" s="182">
        <f>(SUM('1.  LRAMVA Summary'!C$22:C$24)+SUM('1.  LRAMVA Summary'!C$25:C$26)*(MONTH($E31)-1)/12)*$H31</f>
        <v>3.197902465624999</v>
      </c>
      <c r="J31" s="182">
        <f>(SUM('1.  LRAMVA Summary'!D$22:D$24)+SUM('1.  LRAMVA Summary'!D$25:D$26)*(MONTH($E31)-1)/12)*$H31</f>
        <v>8.3060649711759993</v>
      </c>
      <c r="K31" s="627">
        <f>(SUM('1.  LRAMVA Summary'!E$22:E$24)+SUM('1.  LRAMVA Summary'!E$25:E$26)*(MONTH($E31)-1)/12)*$H31</f>
        <v>0</v>
      </c>
      <c r="L31" s="627">
        <f>(SUM('1.  LRAMVA Summary'!F$22:F$24)+SUM('1.  LRAMVA Summary'!F$25:F$26)*(MONTH($E31)-1)/12)*$H31</f>
        <v>0</v>
      </c>
      <c r="M31" s="627">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0.40455754281600009</v>
      </c>
      <c r="Q31" s="183">
        <f t="shared" ref="Q31:Q42" si="8">SUM(I31:P31)</f>
        <v>11.908524979616999</v>
      </c>
    </row>
    <row r="32" spans="2:17" s="3" customFormat="1" ht="12.75" x14ac:dyDescent="0.2">
      <c r="B32" s="175" t="s">
        <v>82</v>
      </c>
      <c r="C32" s="175">
        <v>1.47E-2</v>
      </c>
      <c r="D32" s="188"/>
      <c r="E32" s="180">
        <v>40940</v>
      </c>
      <c r="F32" s="180" t="s">
        <v>367</v>
      </c>
      <c r="G32" s="181" t="s">
        <v>87</v>
      </c>
      <c r="H32" s="449">
        <f t="shared" si="7"/>
        <v>1.225E-3</v>
      </c>
      <c r="I32" s="182">
        <f>(SUM('1.  LRAMVA Summary'!C$22:C$24)+SUM('1.  LRAMVA Summary'!C$25:C$26)*(MONTH($E32)-1)/12)*$H32</f>
        <v>3.6338219649817356</v>
      </c>
      <c r="J32" s="182">
        <f>(SUM('1.  LRAMVA Summary'!D$22:D$24)+SUM('1.  LRAMVA Summary'!D$25:D$26)*(MONTH($E32)-1)/12)*$H32</f>
        <v>9.7056486583588182</v>
      </c>
      <c r="K32" s="627">
        <f>(SUM('1.  LRAMVA Summary'!E$22:E$24)+SUM('1.  LRAMVA Summary'!E$25:E$26)*(MONTH($E32)-1)/12)*$H32</f>
        <v>0</v>
      </c>
      <c r="L32" s="627">
        <f>(SUM('1.  LRAMVA Summary'!F$22:F$24)+SUM('1.  LRAMVA Summary'!F$25:F$26)*(MONTH($E32)-1)/12)*$H32</f>
        <v>0</v>
      </c>
      <c r="M32" s="627">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0.59706197462566668</v>
      </c>
      <c r="Q32" s="183">
        <f t="shared" si="8"/>
        <v>13.93653259796622</v>
      </c>
    </row>
    <row r="33" spans="2:17" s="3" customFormat="1" ht="12.75" x14ac:dyDescent="0.2">
      <c r="B33" s="175" t="s">
        <v>83</v>
      </c>
      <c r="C33" s="175">
        <v>1.0999999999999999E-2</v>
      </c>
      <c r="D33" s="188"/>
      <c r="E33" s="180">
        <v>40969</v>
      </c>
      <c r="F33" s="180" t="s">
        <v>367</v>
      </c>
      <c r="G33" s="181" t="s">
        <v>87</v>
      </c>
      <c r="H33" s="449">
        <f t="shared" si="7"/>
        <v>1.225E-3</v>
      </c>
      <c r="I33" s="182">
        <f>(SUM('1.  LRAMVA Summary'!C$22:C$24)+SUM('1.  LRAMVA Summary'!C$25:C$26)*(MONTH($E33)-1)/12)*$H33</f>
        <v>4.0697414643384713</v>
      </c>
      <c r="J33" s="182">
        <f>(SUM('1.  LRAMVA Summary'!D$22:D$24)+SUM('1.  LRAMVA Summary'!D$25:D$26)*(MONTH($E33)-1)/12)*$H33</f>
        <v>11.105232345541639</v>
      </c>
      <c r="K33" s="627">
        <f>(SUM('1.  LRAMVA Summary'!E$22:E$24)+SUM('1.  LRAMVA Summary'!E$25:E$26)*(MONTH($E33)-1)/12)*$H33</f>
        <v>0</v>
      </c>
      <c r="L33" s="627">
        <f>(SUM('1.  LRAMVA Summary'!F$22:F$24)+SUM('1.  LRAMVA Summary'!F$25:F$26)*(MONTH($E33)-1)/12)*$H33</f>
        <v>0</v>
      </c>
      <c r="M33" s="627">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0.78956640643533338</v>
      </c>
      <c r="Q33" s="183">
        <f t="shared" si="8"/>
        <v>15.964540216315445</v>
      </c>
    </row>
    <row r="34" spans="2:17" s="3" customFormat="1" ht="12.75" x14ac:dyDescent="0.2">
      <c r="B34" s="175" t="s">
        <v>365</v>
      </c>
      <c r="C34" s="175">
        <v>1.0999999999999999E-2</v>
      </c>
      <c r="D34" s="188"/>
      <c r="E34" s="180">
        <v>41000</v>
      </c>
      <c r="F34" s="180" t="s">
        <v>367</v>
      </c>
      <c r="G34" s="181" t="s">
        <v>88</v>
      </c>
      <c r="H34" s="450">
        <f>C$21/12</f>
        <v>1.225E-3</v>
      </c>
      <c r="I34" s="182">
        <f>(SUM('1.  LRAMVA Summary'!C$22:C$24)+SUM('1.  LRAMVA Summary'!C$25:C$26)*(MONTH($E34)-1)/12)*$H34</f>
        <v>4.505660963695207</v>
      </c>
      <c r="J34" s="182">
        <f>(SUM('1.  LRAMVA Summary'!D$22:D$24)+SUM('1.  LRAMVA Summary'!D$25:D$26)*(MONTH($E34)-1)/12)*$H34</f>
        <v>12.504816032724456</v>
      </c>
      <c r="K34" s="627">
        <f>(SUM('1.  LRAMVA Summary'!E$22:E$24)+SUM('1.  LRAMVA Summary'!E$25:E$26)*(MONTH($E34)-1)/12)*$H34</f>
        <v>0</v>
      </c>
      <c r="L34" s="627">
        <f>(SUM('1.  LRAMVA Summary'!F$22:F$24)+SUM('1.  LRAMVA Summary'!F$25:F$26)*(MONTH($E34)-1)/12)*$H34</f>
        <v>0</v>
      </c>
      <c r="M34" s="627">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0.98207083824500019</v>
      </c>
      <c r="Q34" s="183">
        <f t="shared" si="8"/>
        <v>17.992547834664663</v>
      </c>
    </row>
    <row r="35" spans="2:17" s="3" customFormat="1" ht="12.75" x14ac:dyDescent="0.2">
      <c r="B35" s="175" t="s">
        <v>366</v>
      </c>
      <c r="C35" s="175">
        <v>1.0999999999999999E-2</v>
      </c>
      <c r="D35" s="188"/>
      <c r="E35" s="180">
        <v>41030</v>
      </c>
      <c r="F35" s="180" t="s">
        <v>367</v>
      </c>
      <c r="G35" s="181" t="s">
        <v>88</v>
      </c>
      <c r="H35" s="449">
        <f>C$21/12</f>
        <v>1.225E-3</v>
      </c>
      <c r="I35" s="182">
        <f>(SUM('1.  LRAMVA Summary'!C$22:C$24)+SUM('1.  LRAMVA Summary'!C$25:C$26)*(MONTH($E35)-1)/12)*$H35</f>
        <v>4.9415804630519435</v>
      </c>
      <c r="J35" s="182">
        <f>(SUM('1.  LRAMVA Summary'!D$22:D$24)+SUM('1.  LRAMVA Summary'!D$25:D$26)*(MONTH($E35)-1)/12)*$H35</f>
        <v>13.904399719907277</v>
      </c>
      <c r="K35" s="627">
        <f>(SUM('1.  LRAMVA Summary'!E$22:E$24)+SUM('1.  LRAMVA Summary'!E$25:E$26)*(MONTH($E35)-1)/12)*$H35</f>
        <v>0</v>
      </c>
      <c r="L35" s="627">
        <f>(SUM('1.  LRAMVA Summary'!F$22:F$24)+SUM('1.  LRAMVA Summary'!F$25:F$26)*(MONTH($E35)-1)/12)*$H35</f>
        <v>0</v>
      </c>
      <c r="M35" s="627">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1.1745752700546668</v>
      </c>
      <c r="Q35" s="183">
        <f t="shared" si="8"/>
        <v>20.020555453013888</v>
      </c>
    </row>
    <row r="36" spans="2:17" s="3" customFormat="1" ht="12.75" x14ac:dyDescent="0.2">
      <c r="B36" s="175" t="s">
        <v>120</v>
      </c>
      <c r="C36" s="175">
        <v>1.0999999999999999E-2</v>
      </c>
      <c r="D36" s="188"/>
      <c r="E36" s="180">
        <v>41061</v>
      </c>
      <c r="F36" s="180" t="s">
        <v>367</v>
      </c>
      <c r="G36" s="181" t="s">
        <v>88</v>
      </c>
      <c r="H36" s="449">
        <f>C$21/12</f>
        <v>1.225E-3</v>
      </c>
      <c r="I36" s="182">
        <f>(SUM('1.  LRAMVA Summary'!C$22:C$24)+SUM('1.  LRAMVA Summary'!C$25:C$26)*(MONTH($E36)-1)/12)*$H36</f>
        <v>5.3774999624086801</v>
      </c>
      <c r="J36" s="182">
        <f>(SUM('1.  LRAMVA Summary'!D$22:D$24)+SUM('1.  LRAMVA Summary'!D$25:D$26)*(MONTH($E36)-1)/12)*$H36</f>
        <v>15.303983407090097</v>
      </c>
      <c r="K36" s="627">
        <f>(SUM('1.  LRAMVA Summary'!E$22:E$24)+SUM('1.  LRAMVA Summary'!E$25:E$26)*(MONTH($E36)-1)/12)*$H36</f>
        <v>0</v>
      </c>
      <c r="L36" s="627">
        <f>(SUM('1.  LRAMVA Summary'!F$22:F$24)+SUM('1.  LRAMVA Summary'!F$25:F$26)*(MONTH($E36)-1)/12)*$H36</f>
        <v>0</v>
      </c>
      <c r="M36" s="627">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1.3670797018643335</v>
      </c>
      <c r="Q36" s="183">
        <f t="shared" si="8"/>
        <v>22.048563071363112</v>
      </c>
    </row>
    <row r="37" spans="2:17" s="3" customFormat="1" ht="12.75" x14ac:dyDescent="0.2">
      <c r="B37" s="175" t="s">
        <v>121</v>
      </c>
      <c r="C37" s="175">
        <v>1.0999999999999999E-2</v>
      </c>
      <c r="D37" s="188"/>
      <c r="E37" s="180">
        <v>41091</v>
      </c>
      <c r="F37" s="180" t="s">
        <v>367</v>
      </c>
      <c r="G37" s="181" t="s">
        <v>90</v>
      </c>
      <c r="H37" s="450">
        <f>C$22/12</f>
        <v>1.225E-3</v>
      </c>
      <c r="I37" s="182">
        <f>(SUM('1.  LRAMVA Summary'!C$22:C$24)+SUM('1.  LRAMVA Summary'!C$25:C$26)*(MONTH($E37)-1)/12)*$H37</f>
        <v>5.8134194617654149</v>
      </c>
      <c r="J37" s="182">
        <f>(SUM('1.  LRAMVA Summary'!D$22:D$24)+SUM('1.  LRAMVA Summary'!D$25:D$26)*(MONTH($E37)-1)/12)*$H37</f>
        <v>16.703567094272916</v>
      </c>
      <c r="K37" s="627">
        <f>(SUM('1.  LRAMVA Summary'!E$22:E$24)+SUM('1.  LRAMVA Summary'!E$25:E$26)*(MONTH($E37)-1)/12)*$H37</f>
        <v>0</v>
      </c>
      <c r="L37" s="627">
        <f>(SUM('1.  LRAMVA Summary'!F$22:F$24)+SUM('1.  LRAMVA Summary'!F$25:F$26)*(MONTH($E37)-1)/12)*$H37</f>
        <v>0</v>
      </c>
      <c r="M37" s="627">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1.5595841336740002</v>
      </c>
      <c r="Q37" s="183">
        <f t="shared" si="8"/>
        <v>24.076570689712334</v>
      </c>
    </row>
    <row r="38" spans="2:17" s="3" customFormat="1" ht="12.75" x14ac:dyDescent="0.2">
      <c r="B38" s="175" t="s">
        <v>122</v>
      </c>
      <c r="C38" s="175">
        <v>1.0999999999999999E-2</v>
      </c>
      <c r="D38" s="188"/>
      <c r="E38" s="180">
        <v>41122</v>
      </c>
      <c r="F38" s="180" t="s">
        <v>367</v>
      </c>
      <c r="G38" s="181" t="s">
        <v>90</v>
      </c>
      <c r="H38" s="449">
        <f>C$22/12</f>
        <v>1.225E-3</v>
      </c>
      <c r="I38" s="182">
        <f>(SUM('1.  LRAMVA Summary'!C$22:C$24)+SUM('1.  LRAMVA Summary'!C$25:C$26)*(MONTH($E38)-1)/12)*$H38</f>
        <v>6.2493389611221524</v>
      </c>
      <c r="J38" s="182">
        <f>(SUM('1.  LRAMVA Summary'!D$22:D$24)+SUM('1.  LRAMVA Summary'!D$25:D$26)*(MONTH($E38)-1)/12)*$H38</f>
        <v>18.103150781455735</v>
      </c>
      <c r="K38" s="627">
        <f>(SUM('1.  LRAMVA Summary'!E$22:E$24)+SUM('1.  LRAMVA Summary'!E$25:E$26)*(MONTH($E38)-1)/12)*$H38</f>
        <v>0</v>
      </c>
      <c r="L38" s="627">
        <f>(SUM('1.  LRAMVA Summary'!F$22:F$24)+SUM('1.  LRAMVA Summary'!F$25:F$26)*(MONTH($E38)-1)/12)*$H38</f>
        <v>0</v>
      </c>
      <c r="M38" s="627">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1.7520885654836669</v>
      </c>
      <c r="Q38" s="183">
        <f t="shared" si="8"/>
        <v>26.104578308061555</v>
      </c>
    </row>
    <row r="39" spans="2:17" s="3" customFormat="1" ht="12.75" x14ac:dyDescent="0.2">
      <c r="B39" s="175" t="s">
        <v>123</v>
      </c>
      <c r="C39" s="218">
        <v>1.0999999999999999E-2</v>
      </c>
      <c r="D39" s="188"/>
      <c r="E39" s="180">
        <v>41153</v>
      </c>
      <c r="F39" s="180" t="s">
        <v>367</v>
      </c>
      <c r="G39" s="181" t="s">
        <v>90</v>
      </c>
      <c r="H39" s="449">
        <f>C$22/12</f>
        <v>1.225E-3</v>
      </c>
      <c r="I39" s="182">
        <f>(SUM('1.  LRAMVA Summary'!C$22:C$24)+SUM('1.  LRAMVA Summary'!C$25:C$26)*(MONTH($E39)-1)/12)*$H39</f>
        <v>6.6852584604788872</v>
      </c>
      <c r="J39" s="182">
        <f>(SUM('1.  LRAMVA Summary'!D$22:D$24)+SUM('1.  LRAMVA Summary'!D$25:D$26)*(MONTH($E39)-1)/12)*$H39</f>
        <v>19.502734468638558</v>
      </c>
      <c r="K39" s="627">
        <f>(SUM('1.  LRAMVA Summary'!E$22:E$24)+SUM('1.  LRAMVA Summary'!E$25:E$26)*(MONTH($E39)-1)/12)*$H39</f>
        <v>0</v>
      </c>
      <c r="L39" s="627">
        <f>(SUM('1.  LRAMVA Summary'!F$22:F$24)+SUM('1.  LRAMVA Summary'!F$25:F$26)*(MONTH($E39)-1)/12)*$H39</f>
        <v>0</v>
      </c>
      <c r="M39" s="627">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1.9445929972933333</v>
      </c>
      <c r="Q39" s="183">
        <f t="shared" si="8"/>
        <v>28.13258592641078</v>
      </c>
    </row>
    <row r="40" spans="2:17" s="3" customFormat="1" ht="12.75" x14ac:dyDescent="0.2">
      <c r="B40" s="175" t="s">
        <v>124</v>
      </c>
      <c r="C40" s="218"/>
      <c r="D40" s="188"/>
      <c r="E40" s="180">
        <v>41183</v>
      </c>
      <c r="F40" s="180" t="s">
        <v>367</v>
      </c>
      <c r="G40" s="181" t="s">
        <v>91</v>
      </c>
      <c r="H40" s="450">
        <f>C$23/12</f>
        <v>1.225E-3</v>
      </c>
      <c r="I40" s="182">
        <f>(SUM('1.  LRAMVA Summary'!C$22:C$24)+SUM('1.  LRAMVA Summary'!C$25:C$26)*(MONTH($E40)-1)/12)*$H40</f>
        <v>7.1211779598356237</v>
      </c>
      <c r="J40" s="182">
        <f>(SUM('1.  LRAMVA Summary'!D$22:D$24)+SUM('1.  LRAMVA Summary'!D$25:D$26)*(MONTH($E40)-1)/12)*$H40</f>
        <v>20.902318155821373</v>
      </c>
      <c r="K40" s="627">
        <f>(SUM('1.  LRAMVA Summary'!E$22:E$24)+SUM('1.  LRAMVA Summary'!E$25:E$26)*(MONTH($E40)-1)/12)*$H40</f>
        <v>0</v>
      </c>
      <c r="L40" s="627">
        <f>(SUM('1.  LRAMVA Summary'!F$22:F$24)+SUM('1.  LRAMVA Summary'!F$25:F$26)*(MONTH($E40)-1)/12)*$H40</f>
        <v>0</v>
      </c>
      <c r="M40" s="627">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2.137097429103</v>
      </c>
      <c r="Q40" s="183">
        <f t="shared" si="8"/>
        <v>30.160593544759998</v>
      </c>
    </row>
    <row r="41" spans="2:17" s="3" customFormat="1" ht="12.75" x14ac:dyDescent="0.2">
      <c r="B41" s="175" t="s">
        <v>125</v>
      </c>
      <c r="C41" s="218"/>
      <c r="D41" s="188"/>
      <c r="E41" s="180">
        <v>41214</v>
      </c>
      <c r="F41" s="180" t="s">
        <v>367</v>
      </c>
      <c r="G41" s="181" t="s">
        <v>91</v>
      </c>
      <c r="H41" s="449">
        <f>C$23/12</f>
        <v>1.225E-3</v>
      </c>
      <c r="I41" s="182">
        <f>(SUM('1.  LRAMVA Summary'!C$22:C$24)+SUM('1.  LRAMVA Summary'!C$25:C$26)*(MONTH($E41)-1)/12)*$H41</f>
        <v>7.5570974591923603</v>
      </c>
      <c r="J41" s="182">
        <f>(SUM('1.  LRAMVA Summary'!D$22:D$24)+SUM('1.  LRAMVA Summary'!D$25:D$26)*(MONTH($E41)-1)/12)*$H41</f>
        <v>22.301901843004195</v>
      </c>
      <c r="K41" s="627">
        <f>(SUM('1.  LRAMVA Summary'!E$22:E$24)+SUM('1.  LRAMVA Summary'!E$25:E$26)*(MONTH($E41)-1)/12)*$H41</f>
        <v>0</v>
      </c>
      <c r="L41" s="627">
        <f>(SUM('1.  LRAMVA Summary'!F$22:F$24)+SUM('1.  LRAMVA Summary'!F$25:F$26)*(MONTH($E41)-1)/12)*$H41</f>
        <v>0</v>
      </c>
      <c r="M41" s="627">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2.3296018609126667</v>
      </c>
      <c r="Q41" s="183">
        <f t="shared" si="8"/>
        <v>32.188601163109219</v>
      </c>
    </row>
    <row r="42" spans="2:17" s="3" customFormat="1" ht="12.75" x14ac:dyDescent="0.2">
      <c r="B42" s="175" t="s">
        <v>126</v>
      </c>
      <c r="C42" s="218"/>
      <c r="D42" s="188"/>
      <c r="E42" s="180">
        <v>41244</v>
      </c>
      <c r="F42" s="180" t="s">
        <v>367</v>
      </c>
      <c r="G42" s="181" t="s">
        <v>91</v>
      </c>
      <c r="H42" s="449">
        <f>C$23/12</f>
        <v>1.225E-3</v>
      </c>
      <c r="I42" s="182">
        <f>(SUM('1.  LRAMVA Summary'!C$22:C$24)+SUM('1.  LRAMVA Summary'!C$25:C$26)*(MONTH($E42)-1)/12)*$H42</f>
        <v>7.993016958549096</v>
      </c>
      <c r="J42" s="182">
        <f>(SUM('1.  LRAMVA Summary'!D$22:D$24)+SUM('1.  LRAMVA Summary'!D$25:D$26)*(MONTH($E42)-1)/12)*$H42</f>
        <v>23.701485530187014</v>
      </c>
      <c r="K42" s="627">
        <f>(SUM('1.  LRAMVA Summary'!E$22:E$24)+SUM('1.  LRAMVA Summary'!E$25:E$26)*(MONTH($E42)-1)/12)*$H42</f>
        <v>0</v>
      </c>
      <c r="L42" s="627">
        <f>(SUM('1.  LRAMVA Summary'!F$22:F$24)+SUM('1.  LRAMVA Summary'!F$25:F$26)*(MONTH($E42)-1)/12)*$H42</f>
        <v>0</v>
      </c>
      <c r="M42" s="627">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2.5221062927223339</v>
      </c>
      <c r="Q42" s="183">
        <f t="shared" si="8"/>
        <v>34.21660878145844</v>
      </c>
    </row>
    <row r="43" spans="2:17" s="3" customFormat="1" ht="13.5" thickBot="1" x14ac:dyDescent="0.25">
      <c r="B43" s="175" t="s">
        <v>127</v>
      </c>
      <c r="C43" s="218"/>
      <c r="D43" s="188"/>
      <c r="E43" s="192" t="s">
        <v>381</v>
      </c>
      <c r="F43" s="192"/>
      <c r="G43" s="193"/>
      <c r="H43" s="451"/>
      <c r="I43" s="194">
        <f>SUM(I30:I42)</f>
        <v>84.733980105982056</v>
      </c>
      <c r="J43" s="194">
        <f t="shared" ref="J43:P43" si="9">SUM(J30:J42)</f>
        <v>237.72866034964608</v>
      </c>
      <c r="K43" s="628">
        <f t="shared" si="9"/>
        <v>0</v>
      </c>
      <c r="L43" s="628">
        <f t="shared" si="9"/>
        <v>0</v>
      </c>
      <c r="M43" s="628">
        <f t="shared" si="9"/>
        <v>0</v>
      </c>
      <c r="N43" s="194">
        <f t="shared" si="9"/>
        <v>0</v>
      </c>
      <c r="O43" s="194">
        <f t="shared" si="9"/>
        <v>0</v>
      </c>
      <c r="P43" s="194">
        <f t="shared" si="9"/>
        <v>19.785049498718003</v>
      </c>
      <c r="Q43" s="194">
        <f>SUM(Q30:Q42)</f>
        <v>342.24768995434613</v>
      </c>
    </row>
    <row r="44" spans="2:17" s="3" customFormat="1" ht="13.5" thickTop="1" x14ac:dyDescent="0.2">
      <c r="B44" s="175" t="s">
        <v>128</v>
      </c>
      <c r="C44" s="218"/>
      <c r="D44" s="188"/>
      <c r="E44" s="221" t="s">
        <v>89</v>
      </c>
      <c r="F44" s="221"/>
      <c r="G44" s="222"/>
      <c r="H44" s="447"/>
      <c r="I44" s="223"/>
      <c r="J44" s="223"/>
      <c r="K44" s="629"/>
      <c r="L44" s="629"/>
      <c r="M44" s="629"/>
      <c r="N44" s="223"/>
      <c r="O44" s="223"/>
      <c r="P44" s="223"/>
      <c r="Q44" s="224"/>
    </row>
    <row r="45" spans="2:17" s="3" customFormat="1" ht="12.75" x14ac:dyDescent="0.2">
      <c r="B45" s="175" t="s">
        <v>129</v>
      </c>
      <c r="C45" s="218"/>
      <c r="D45" s="188"/>
      <c r="E45" s="189" t="s">
        <v>388</v>
      </c>
      <c r="F45" s="189"/>
      <c r="G45" s="190"/>
      <c r="H45" s="448"/>
      <c r="I45" s="191">
        <f t="shared" ref="I45:P45" si="10">I43+I44</f>
        <v>84.733980105982056</v>
      </c>
      <c r="J45" s="191">
        <f t="shared" si="10"/>
        <v>237.72866034964608</v>
      </c>
      <c r="K45" s="630">
        <f t="shared" si="10"/>
        <v>0</v>
      </c>
      <c r="L45" s="630">
        <f t="shared" si="10"/>
        <v>0</v>
      </c>
      <c r="M45" s="630">
        <f t="shared" si="10"/>
        <v>0</v>
      </c>
      <c r="N45" s="191">
        <f t="shared" si="10"/>
        <v>0</v>
      </c>
      <c r="O45" s="191">
        <f t="shared" si="10"/>
        <v>0</v>
      </c>
      <c r="P45" s="191">
        <f t="shared" si="10"/>
        <v>19.785049498718003</v>
      </c>
      <c r="Q45" s="191">
        <f>Q43+Q44</f>
        <v>342.24768995434613</v>
      </c>
    </row>
    <row r="46" spans="2:17" s="3" customFormat="1" ht="12.75" x14ac:dyDescent="0.2">
      <c r="B46" s="175" t="s">
        <v>130</v>
      </c>
      <c r="C46" s="218"/>
      <c r="D46" s="188"/>
      <c r="E46" s="180">
        <v>41275</v>
      </c>
      <c r="F46" s="180" t="s">
        <v>368</v>
      </c>
      <c r="G46" s="181" t="s">
        <v>87</v>
      </c>
      <c r="H46" s="450">
        <f>C$24/12</f>
        <v>1.225E-3</v>
      </c>
      <c r="I46" s="182">
        <f>(SUM('1.  LRAMVA Summary'!C$22:C$27)+SUM('1.  LRAMVA Summary'!C$28:C$29)*(MONTH($E46)-1)/12)*$H46</f>
        <v>8.4289364579058326</v>
      </c>
      <c r="J46" s="182">
        <f>(SUM('1.  LRAMVA Summary'!D$22:D$27)+SUM('1.  LRAMVA Summary'!D$28:D$29)*(MONTH($E46)-1)/12)*$H46</f>
        <v>25.101069217369833</v>
      </c>
      <c r="K46" s="627">
        <f>(SUM('1.  LRAMVA Summary'!E$22:E$27)+SUM('1.  LRAMVA Summary'!E$28:E$29)*(MONTH($E46)-1)/12)*$H46</f>
        <v>0</v>
      </c>
      <c r="L46" s="627">
        <f>(SUM('1.  LRAMVA Summary'!F$22:F$27)+SUM('1.  LRAMVA Summary'!F$28:F$29)*(MONTH($E46)-1)/12)*$H46</f>
        <v>0</v>
      </c>
      <c r="M46" s="627">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2.7146107245320001</v>
      </c>
      <c r="Q46" s="183">
        <f t="shared" ref="Q46:Q57" si="11">SUM(I46:P46)</f>
        <v>36.244616399807668</v>
      </c>
    </row>
    <row r="47" spans="2:17" s="3" customFormat="1" ht="12.75" x14ac:dyDescent="0.2">
      <c r="B47" s="175" t="s">
        <v>131</v>
      </c>
      <c r="C47" s="218"/>
      <c r="D47" s="188"/>
      <c r="E47" s="180">
        <v>41306</v>
      </c>
      <c r="F47" s="180" t="s">
        <v>368</v>
      </c>
      <c r="G47" s="181" t="s">
        <v>87</v>
      </c>
      <c r="H47" s="449">
        <f t="shared" ref="H47:H48" si="12">C$24/12</f>
        <v>1.225E-3</v>
      </c>
      <c r="I47" s="182">
        <f>(SUM('1.  LRAMVA Summary'!C$22:C$27)+SUM('1.  LRAMVA Summary'!C$28:C$29)*(MONTH($E47)-1)/12)*$H47</f>
        <v>9.0230872964227302</v>
      </c>
      <c r="J47" s="182">
        <f>(SUM('1.  LRAMVA Summary'!D$22:D$27)+SUM('1.  LRAMVA Summary'!D$28:D$29)*(MONTH($E47)-1)/12)*$H47</f>
        <v>26.945580833505201</v>
      </c>
      <c r="K47" s="627">
        <f>(SUM('1.  LRAMVA Summary'!E$22:E$27)+SUM('1.  LRAMVA Summary'!E$28:E$29)*(MONTH($E47)-1)/12)*$H47</f>
        <v>0</v>
      </c>
      <c r="L47" s="627">
        <f>(SUM('1.  LRAMVA Summary'!F$22:F$27)+SUM('1.  LRAMVA Summary'!F$28:F$29)*(MONTH($E47)-1)/12)*$H47</f>
        <v>0</v>
      </c>
      <c r="M47" s="627">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3.1860515020253035</v>
      </c>
      <c r="Q47" s="183">
        <f t="shared" si="11"/>
        <v>39.154719631953235</v>
      </c>
    </row>
    <row r="48" spans="2:17" s="3" customFormat="1" ht="12.75" x14ac:dyDescent="0.2">
      <c r="B48" s="175" t="s">
        <v>132</v>
      </c>
      <c r="C48" s="218"/>
      <c r="D48" s="188"/>
      <c r="E48" s="180">
        <v>41334</v>
      </c>
      <c r="F48" s="180" t="s">
        <v>368</v>
      </c>
      <c r="G48" s="181" t="s">
        <v>87</v>
      </c>
      <c r="H48" s="449">
        <f t="shared" si="12"/>
        <v>1.225E-3</v>
      </c>
      <c r="I48" s="182">
        <f>(SUM('1.  LRAMVA Summary'!C$22:C$27)+SUM('1.  LRAMVA Summary'!C$28:C$29)*(MONTH($E48)-1)/12)*$H48</f>
        <v>9.6172381349396279</v>
      </c>
      <c r="J48" s="182">
        <f>(SUM('1.  LRAMVA Summary'!D$22:D$27)+SUM('1.  LRAMVA Summary'!D$28:D$29)*(MONTH($E48)-1)/12)*$H48</f>
        <v>28.790092449640564</v>
      </c>
      <c r="K48" s="627">
        <f>(SUM('1.  LRAMVA Summary'!E$22:E$27)+SUM('1.  LRAMVA Summary'!E$28:E$29)*(MONTH($E48)-1)/12)*$H48</f>
        <v>0</v>
      </c>
      <c r="L48" s="627">
        <f>(SUM('1.  LRAMVA Summary'!F$22:F$27)+SUM('1.  LRAMVA Summary'!F$28:F$29)*(MONTH($E48)-1)/12)*$H48</f>
        <v>0</v>
      </c>
      <c r="M48" s="627">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3.6574922795186069</v>
      </c>
      <c r="Q48" s="183">
        <f t="shared" si="11"/>
        <v>42.064822864098801</v>
      </c>
    </row>
    <row r="49" spans="1:21" s="3" customFormat="1" ht="12.75" x14ac:dyDescent="0.2">
      <c r="B49" s="175" t="s">
        <v>133</v>
      </c>
      <c r="C49" s="218"/>
      <c r="D49" s="188"/>
      <c r="E49" s="180">
        <v>41365</v>
      </c>
      <c r="F49" s="180" t="s">
        <v>368</v>
      </c>
      <c r="G49" s="181" t="s">
        <v>88</v>
      </c>
      <c r="H49" s="450">
        <f>C$25/12</f>
        <v>1.225E-3</v>
      </c>
      <c r="I49" s="182">
        <f>(SUM('1.  LRAMVA Summary'!C$22:C$27)+SUM('1.  LRAMVA Summary'!C$28:C$29)*(MONTH($E49)-1)/12)*$H49</f>
        <v>10.211388973456526</v>
      </c>
      <c r="J49" s="182">
        <f>(SUM('1.  LRAMVA Summary'!D$22:D$27)+SUM('1.  LRAMVA Summary'!D$28:D$29)*(MONTH($E49)-1)/12)*$H49</f>
        <v>30.634604065775935</v>
      </c>
      <c r="K49" s="627">
        <f>(SUM('1.  LRAMVA Summary'!E$22:E$27)+SUM('1.  LRAMVA Summary'!E$28:E$29)*(MONTH($E49)-1)/12)*$H49</f>
        <v>0</v>
      </c>
      <c r="L49" s="627">
        <f>(SUM('1.  LRAMVA Summary'!F$22:F$27)+SUM('1.  LRAMVA Summary'!F$28:F$29)*(MONTH($E49)-1)/12)*$H49</f>
        <v>0</v>
      </c>
      <c r="M49" s="627">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4.1289330570119107</v>
      </c>
      <c r="Q49" s="183">
        <f t="shared" si="11"/>
        <v>44.974926096244374</v>
      </c>
    </row>
    <row r="50" spans="1:21" s="3" customFormat="1" ht="12.75" x14ac:dyDescent="0.2">
      <c r="B50" s="175" t="s">
        <v>134</v>
      </c>
      <c r="C50" s="218"/>
      <c r="D50" s="188"/>
      <c r="E50" s="180">
        <v>41395</v>
      </c>
      <c r="F50" s="180" t="s">
        <v>368</v>
      </c>
      <c r="G50" s="181" t="s">
        <v>88</v>
      </c>
      <c r="H50" s="449">
        <f t="shared" ref="H50:H51" si="13">C$25/12</f>
        <v>1.225E-3</v>
      </c>
      <c r="I50" s="182">
        <f>(SUM('1.  LRAMVA Summary'!C$22:C$27)+SUM('1.  LRAMVA Summary'!C$28:C$29)*(MONTH($E50)-1)/12)*$H50</f>
        <v>10.805539811973423</v>
      </c>
      <c r="J50" s="182">
        <f>(SUM('1.  LRAMVA Summary'!D$22:D$27)+SUM('1.  LRAMVA Summary'!D$28:D$29)*(MONTH($E50)-1)/12)*$H50</f>
        <v>32.479115681911303</v>
      </c>
      <c r="K50" s="627">
        <f>(SUM('1.  LRAMVA Summary'!E$22:E$27)+SUM('1.  LRAMVA Summary'!E$28:E$29)*(MONTH($E50)-1)/12)*$H50</f>
        <v>0</v>
      </c>
      <c r="L50" s="627">
        <f>(SUM('1.  LRAMVA Summary'!F$22:F$27)+SUM('1.  LRAMVA Summary'!F$28:F$29)*(MONTH($E50)-1)/12)*$H50</f>
        <v>0</v>
      </c>
      <c r="M50" s="627">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4.6003738345052145</v>
      </c>
      <c r="Q50" s="183">
        <f t="shared" si="11"/>
        <v>47.88502932838994</v>
      </c>
    </row>
    <row r="51" spans="1:21" s="3" customFormat="1" ht="12.75" x14ac:dyDescent="0.2">
      <c r="B51" s="175" t="s">
        <v>135</v>
      </c>
      <c r="C51" s="218"/>
      <c r="D51" s="188"/>
      <c r="E51" s="180">
        <v>41426</v>
      </c>
      <c r="F51" s="180" t="s">
        <v>368</v>
      </c>
      <c r="G51" s="181" t="s">
        <v>88</v>
      </c>
      <c r="H51" s="449">
        <f t="shared" si="13"/>
        <v>1.225E-3</v>
      </c>
      <c r="I51" s="182">
        <f>(SUM('1.  LRAMVA Summary'!C$22:C$27)+SUM('1.  LRAMVA Summary'!C$28:C$29)*(MONTH($E51)-1)/12)*$H51</f>
        <v>11.399690650490319</v>
      </c>
      <c r="J51" s="182">
        <f>(SUM('1.  LRAMVA Summary'!D$22:D$27)+SUM('1.  LRAMVA Summary'!D$28:D$29)*(MONTH($E51)-1)/12)*$H51</f>
        <v>34.323627298046667</v>
      </c>
      <c r="K51" s="627">
        <f>(SUM('1.  LRAMVA Summary'!E$22:E$27)+SUM('1.  LRAMVA Summary'!E$28:E$29)*(MONTH($E51)-1)/12)*$H51</f>
        <v>0</v>
      </c>
      <c r="L51" s="627">
        <f>(SUM('1.  LRAMVA Summary'!F$22:F$27)+SUM('1.  LRAMVA Summary'!F$28:F$29)*(MONTH($E51)-1)/12)*$H51</f>
        <v>0</v>
      </c>
      <c r="M51" s="627">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5.0718146119985175</v>
      </c>
      <c r="Q51" s="183">
        <f t="shared" si="11"/>
        <v>50.795132560535507</v>
      </c>
    </row>
    <row r="52" spans="1:21" s="3" customFormat="1" ht="12.75" x14ac:dyDescent="0.2">
      <c r="B52" s="175" t="s">
        <v>136</v>
      </c>
      <c r="C52" s="218"/>
      <c r="D52" s="188"/>
      <c r="E52" s="180">
        <v>41456</v>
      </c>
      <c r="F52" s="180" t="s">
        <v>368</v>
      </c>
      <c r="G52" s="181" t="s">
        <v>90</v>
      </c>
      <c r="H52" s="450">
        <f>C$26/12</f>
        <v>1.225E-3</v>
      </c>
      <c r="I52" s="182">
        <f>(SUM('1.  LRAMVA Summary'!C$22:C$27)+SUM('1.  LRAMVA Summary'!C$28:C$29)*(MONTH($E52)-1)/12)*$H52</f>
        <v>11.993841489007217</v>
      </c>
      <c r="J52" s="182">
        <f>(SUM('1.  LRAMVA Summary'!D$22:D$27)+SUM('1.  LRAMVA Summary'!D$28:D$29)*(MONTH($E52)-1)/12)*$H52</f>
        <v>36.168138914182038</v>
      </c>
      <c r="K52" s="627">
        <f>(SUM('1.  LRAMVA Summary'!E$22:E$27)+SUM('1.  LRAMVA Summary'!E$28:E$29)*(MONTH($E52)-1)/12)*$H52</f>
        <v>0</v>
      </c>
      <c r="L52" s="627">
        <f>(SUM('1.  LRAMVA Summary'!F$22:F$27)+SUM('1.  LRAMVA Summary'!F$28:F$29)*(MONTH($E52)-1)/12)*$H52</f>
        <v>0</v>
      </c>
      <c r="M52" s="627">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5.5432553894918213</v>
      </c>
      <c r="Q52" s="183">
        <f t="shared" si="11"/>
        <v>53.705235792681073</v>
      </c>
    </row>
    <row r="53" spans="1:21" s="3" customFormat="1" ht="12.75" x14ac:dyDescent="0.2">
      <c r="B53" s="175" t="s">
        <v>138</v>
      </c>
      <c r="C53" s="218"/>
      <c r="D53" s="188"/>
      <c r="E53" s="180">
        <v>41487</v>
      </c>
      <c r="F53" s="180" t="s">
        <v>368</v>
      </c>
      <c r="G53" s="181" t="s">
        <v>90</v>
      </c>
      <c r="H53" s="449">
        <f t="shared" ref="H53:H54" si="14">C$26/12</f>
        <v>1.225E-3</v>
      </c>
      <c r="I53" s="182">
        <f>(SUM('1.  LRAMVA Summary'!C$22:C$27)+SUM('1.  LRAMVA Summary'!C$28:C$29)*(MONTH($E53)-1)/12)*$H53</f>
        <v>12.587992327524114</v>
      </c>
      <c r="J53" s="182">
        <f>(SUM('1.  LRAMVA Summary'!D$22:D$27)+SUM('1.  LRAMVA Summary'!D$28:D$29)*(MONTH($E53)-1)/12)*$H53</f>
        <v>38.012650530317401</v>
      </c>
      <c r="K53" s="627">
        <f>(SUM('1.  LRAMVA Summary'!E$22:E$27)+SUM('1.  LRAMVA Summary'!E$28:E$29)*(MONTH($E53)-1)/12)*$H53</f>
        <v>0</v>
      </c>
      <c r="L53" s="627">
        <f>(SUM('1.  LRAMVA Summary'!F$22:F$27)+SUM('1.  LRAMVA Summary'!F$28:F$29)*(MONTH($E53)-1)/12)*$H53</f>
        <v>0</v>
      </c>
      <c r="M53" s="627">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6.0146961669851251</v>
      </c>
      <c r="Q53" s="183">
        <f t="shared" si="11"/>
        <v>56.615339024826639</v>
      </c>
    </row>
    <row r="54" spans="1:21" s="3" customFormat="1" ht="12.75" x14ac:dyDescent="0.2">
      <c r="B54" s="175" t="s">
        <v>137</v>
      </c>
      <c r="C54" s="218"/>
      <c r="D54" s="188"/>
      <c r="E54" s="180">
        <v>41518</v>
      </c>
      <c r="F54" s="180" t="s">
        <v>368</v>
      </c>
      <c r="G54" s="181" t="s">
        <v>90</v>
      </c>
      <c r="H54" s="449">
        <f t="shared" si="14"/>
        <v>1.225E-3</v>
      </c>
      <c r="I54" s="182">
        <f>(SUM('1.  LRAMVA Summary'!C$22:C$27)+SUM('1.  LRAMVA Summary'!C$28:C$29)*(MONTH($E54)-1)/12)*$H54</f>
        <v>13.182143166041012</v>
      </c>
      <c r="J54" s="182">
        <f>(SUM('1.  LRAMVA Summary'!D$22:D$27)+SUM('1.  LRAMVA Summary'!D$28:D$29)*(MONTH($E54)-1)/12)*$H54</f>
        <v>39.857162146452772</v>
      </c>
      <c r="K54" s="627">
        <f>(SUM('1.  LRAMVA Summary'!E$22:E$27)+SUM('1.  LRAMVA Summary'!E$28:E$29)*(MONTH($E54)-1)/12)*$H54</f>
        <v>0</v>
      </c>
      <c r="L54" s="627">
        <f>(SUM('1.  LRAMVA Summary'!F$22:F$27)+SUM('1.  LRAMVA Summary'!F$28:F$29)*(MONTH($E54)-1)/12)*$H54</f>
        <v>0</v>
      </c>
      <c r="M54" s="627">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6.486136944478428</v>
      </c>
      <c r="Q54" s="183">
        <f t="shared" si="11"/>
        <v>59.525442256972212</v>
      </c>
    </row>
    <row r="55" spans="1:21" s="3" customFormat="1" ht="12.75" x14ac:dyDescent="0.2">
      <c r="B55" s="215" t="s">
        <v>139</v>
      </c>
      <c r="C55" s="219"/>
      <c r="D55" s="188"/>
      <c r="E55" s="180">
        <v>41548</v>
      </c>
      <c r="F55" s="180" t="s">
        <v>368</v>
      </c>
      <c r="G55" s="181" t="s">
        <v>91</v>
      </c>
      <c r="H55" s="450">
        <f>C$27/12</f>
        <v>1.225E-3</v>
      </c>
      <c r="I55" s="182">
        <f>(SUM('1.  LRAMVA Summary'!C$22:C$27)+SUM('1.  LRAMVA Summary'!C$28:C$29)*(MONTH($E55)-1)/12)*$H55</f>
        <v>13.776294004557908</v>
      </c>
      <c r="J55" s="182">
        <f>(SUM('1.  LRAMVA Summary'!D$22:D$27)+SUM('1.  LRAMVA Summary'!D$28:D$29)*(MONTH($E55)-1)/12)*$H55</f>
        <v>41.701673762588136</v>
      </c>
      <c r="K55" s="627">
        <f>(SUM('1.  LRAMVA Summary'!E$22:E$27)+SUM('1.  LRAMVA Summary'!E$28:E$29)*(MONTH($E55)-1)/12)*$H55</f>
        <v>0</v>
      </c>
      <c r="L55" s="627">
        <f>(SUM('1.  LRAMVA Summary'!F$22:F$27)+SUM('1.  LRAMVA Summary'!F$28:F$29)*(MONTH($E55)-1)/12)*$H55</f>
        <v>0</v>
      </c>
      <c r="M55" s="627">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6.9575777219717327</v>
      </c>
      <c r="Q55" s="183">
        <f t="shared" si="11"/>
        <v>62.435545489117771</v>
      </c>
    </row>
    <row r="56" spans="1:21" s="3" customFormat="1" ht="12.75" x14ac:dyDescent="0.2">
      <c r="D56" s="188"/>
      <c r="E56" s="180">
        <v>41579</v>
      </c>
      <c r="F56" s="180" t="s">
        <v>368</v>
      </c>
      <c r="G56" s="181" t="s">
        <v>91</v>
      </c>
      <c r="H56" s="449">
        <f t="shared" ref="H56:H57" si="15">C$27/12</f>
        <v>1.225E-3</v>
      </c>
      <c r="I56" s="182">
        <f>(SUM('1.  LRAMVA Summary'!C$22:C$27)+SUM('1.  LRAMVA Summary'!C$28:C$29)*(MONTH($E56)-1)/12)*$H56</f>
        <v>14.370444843074806</v>
      </c>
      <c r="J56" s="182">
        <f>(SUM('1.  LRAMVA Summary'!D$22:D$27)+SUM('1.  LRAMVA Summary'!D$28:D$29)*(MONTH($E56)-1)/12)*$H56</f>
        <v>43.5461853787235</v>
      </c>
      <c r="K56" s="627">
        <f>(SUM('1.  LRAMVA Summary'!E$22:E$27)+SUM('1.  LRAMVA Summary'!E$28:E$29)*(MONTH($E56)-1)/12)*$H56</f>
        <v>0</v>
      </c>
      <c r="L56" s="627">
        <f>(SUM('1.  LRAMVA Summary'!F$22:F$27)+SUM('1.  LRAMVA Summary'!F$28:F$29)*(MONTH($E56)-1)/12)*$H56</f>
        <v>0</v>
      </c>
      <c r="M56" s="627">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7.4290184994650357</v>
      </c>
      <c r="Q56" s="183">
        <f t="shared" si="11"/>
        <v>65.345648721263345</v>
      </c>
    </row>
    <row r="57" spans="1:21" s="3" customFormat="1" ht="14.25" x14ac:dyDescent="0.2">
      <c r="B57" s="225" t="s">
        <v>371</v>
      </c>
      <c r="C57" s="4"/>
      <c r="D57" s="188"/>
      <c r="E57" s="180">
        <v>41609</v>
      </c>
      <c r="F57" s="180" t="s">
        <v>368</v>
      </c>
      <c r="G57" s="181" t="s">
        <v>91</v>
      </c>
      <c r="H57" s="449">
        <f t="shared" si="15"/>
        <v>1.225E-3</v>
      </c>
      <c r="I57" s="182">
        <f>(SUM('1.  LRAMVA Summary'!C$22:C$27)+SUM('1.  LRAMVA Summary'!C$28:C$29)*(MONTH($E57)-1)/12)*$H57</f>
        <v>14.964595681591703</v>
      </c>
      <c r="J57" s="182">
        <f>(SUM('1.  LRAMVA Summary'!D$22:D$27)+SUM('1.  LRAMVA Summary'!D$28:D$29)*(MONTH($E57)-1)/12)*$H57</f>
        <v>45.390696994858871</v>
      </c>
      <c r="K57" s="627">
        <f>(SUM('1.  LRAMVA Summary'!E$22:E$27)+SUM('1.  LRAMVA Summary'!E$28:E$29)*(MONTH($E57)-1)/12)*$H57</f>
        <v>0</v>
      </c>
      <c r="L57" s="627">
        <f>(SUM('1.  LRAMVA Summary'!F$22:F$27)+SUM('1.  LRAMVA Summary'!F$28:F$29)*(MONTH($E57)-1)/12)*$H57</f>
        <v>0</v>
      </c>
      <c r="M57" s="627">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7.9004592769583386</v>
      </c>
      <c r="Q57" s="183">
        <f t="shared" si="11"/>
        <v>68.255751953408918</v>
      </c>
    </row>
    <row r="58" spans="1:21" s="3" customFormat="1" ht="13.5" thickBot="1" x14ac:dyDescent="0.25">
      <c r="B58" s="4"/>
      <c r="C58" s="4"/>
      <c r="D58" s="188"/>
      <c r="E58" s="192" t="s">
        <v>382</v>
      </c>
      <c r="F58" s="192"/>
      <c r="G58" s="193"/>
      <c r="H58" s="446"/>
      <c r="I58" s="194">
        <f>SUM(I45:I57)</f>
        <v>225.09517294296731</v>
      </c>
      <c r="J58" s="194">
        <f t="shared" ref="J58:P58" si="16">SUM(J45:J57)</f>
        <v>660.67925762301832</v>
      </c>
      <c r="K58" s="628">
        <f t="shared" si="16"/>
        <v>0</v>
      </c>
      <c r="L58" s="628">
        <f t="shared" si="16"/>
        <v>0</v>
      </c>
      <c r="M58" s="628">
        <f t="shared" si="16"/>
        <v>0</v>
      </c>
      <c r="N58" s="194">
        <f t="shared" si="16"/>
        <v>0</v>
      </c>
      <c r="O58" s="194">
        <f t="shared" si="16"/>
        <v>0</v>
      </c>
      <c r="P58" s="194">
        <f t="shared" si="16"/>
        <v>83.475469507660037</v>
      </c>
      <c r="Q58" s="194">
        <f>SUM(Q45:Q57)</f>
        <v>969.24990007364556</v>
      </c>
    </row>
    <row r="59" spans="1:21" s="3" customFormat="1" ht="13.5" thickTop="1" x14ac:dyDescent="0.2">
      <c r="D59" s="188"/>
      <c r="E59" s="221" t="s">
        <v>89</v>
      </c>
      <c r="F59" s="221"/>
      <c r="G59" s="222"/>
      <c r="H59" s="447"/>
      <c r="I59" s="223"/>
      <c r="J59" s="223"/>
      <c r="K59" s="629"/>
      <c r="L59" s="629"/>
      <c r="M59" s="629"/>
      <c r="N59" s="223"/>
      <c r="O59" s="223"/>
      <c r="P59" s="223"/>
      <c r="Q59" s="224"/>
    </row>
    <row r="60" spans="1:21" s="3" customFormat="1" ht="12.75" x14ac:dyDescent="0.2">
      <c r="D60" s="188"/>
      <c r="E60" s="189" t="s">
        <v>389</v>
      </c>
      <c r="F60" s="189"/>
      <c r="G60" s="190"/>
      <c r="H60" s="448"/>
      <c r="I60" s="191">
        <f t="shared" ref="I60:Q60" si="17">I58+I59</f>
        <v>225.09517294296731</v>
      </c>
      <c r="J60" s="191">
        <f t="shared" si="17"/>
        <v>660.67925762301832</v>
      </c>
      <c r="K60" s="630">
        <f t="shared" si="17"/>
        <v>0</v>
      </c>
      <c r="L60" s="630">
        <f t="shared" si="17"/>
        <v>0</v>
      </c>
      <c r="M60" s="630">
        <f t="shared" si="17"/>
        <v>0</v>
      </c>
      <c r="N60" s="191">
        <f t="shared" si="17"/>
        <v>0</v>
      </c>
      <c r="O60" s="191">
        <f t="shared" si="17"/>
        <v>0</v>
      </c>
      <c r="P60" s="191">
        <f t="shared" si="17"/>
        <v>83.475469507660037</v>
      </c>
      <c r="Q60" s="191">
        <f t="shared" si="17"/>
        <v>969.24990007364556</v>
      </c>
    </row>
    <row r="61" spans="1:21" s="3" customFormat="1" ht="12.75" x14ac:dyDescent="0.2">
      <c r="D61" s="188"/>
      <c r="E61" s="180">
        <v>41640</v>
      </c>
      <c r="F61" s="180" t="s">
        <v>369</v>
      </c>
      <c r="G61" s="181" t="s">
        <v>87</v>
      </c>
      <c r="H61" s="450">
        <f>C$28/12</f>
        <v>1.225E-3</v>
      </c>
      <c r="I61" s="182">
        <f>(SUM('1.  LRAMVA Summary'!C$22:C$30)+SUM('1.  LRAMVA Summary'!C$31:C$32)*(MONTH($E61)-1)/12)*$H61</f>
        <v>15.558746520108601</v>
      </c>
      <c r="J61" s="182">
        <f>(SUM('1.  LRAMVA Summary'!D$22:D$30)+SUM('1.  LRAMVA Summary'!D$31:D$32)*(MONTH($E61)-1)/12)*$H61</f>
        <v>47.235208610994242</v>
      </c>
      <c r="K61" s="627">
        <f>(SUM('1.  LRAMVA Summary'!E$22:E$30)+SUM('1.  LRAMVA Summary'!E$31:E$32)*(MONTH($E61)-1)/12)*$H61</f>
        <v>0</v>
      </c>
      <c r="L61" s="627">
        <f>(SUM('1.  LRAMVA Summary'!F$22:F$30)+SUM('1.  LRAMVA Summary'!F$31:F$32)*(MONTH($E61)-1)/12)*$H61</f>
        <v>0</v>
      </c>
      <c r="M61" s="627">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8.3719000544516433</v>
      </c>
      <c r="Q61" s="183">
        <f t="shared" ref="Q61:Q72" si="18">SUM(I61:P61)</f>
        <v>71.165855185554477</v>
      </c>
    </row>
    <row r="62" spans="1:21" s="3" customFormat="1" ht="12.75" x14ac:dyDescent="0.2">
      <c r="A62" s="14"/>
      <c r="E62" s="180">
        <v>41671</v>
      </c>
      <c r="F62" s="180" t="s">
        <v>369</v>
      </c>
      <c r="G62" s="181" t="s">
        <v>87</v>
      </c>
      <c r="H62" s="449">
        <f t="shared" ref="H62:H63" si="19">C$28/12</f>
        <v>1.225E-3</v>
      </c>
      <c r="I62" s="182">
        <f>(SUM('1.  LRAMVA Summary'!C$22:C$30)+SUM('1.  LRAMVA Summary'!C$31:C$32)*(MONTH($E62)-1)/12)*$H62</f>
        <v>15.158353495185276</v>
      </c>
      <c r="J62" s="182">
        <f>(SUM('1.  LRAMVA Summary'!D$22:D$30)+SUM('1.  LRAMVA Summary'!D$31:D$32)*(MONTH($E62)-1)/12)*$H62</f>
        <v>48.706450689900997</v>
      </c>
      <c r="K62" s="627">
        <f>(SUM('1.  LRAMVA Summary'!E$22:E$30)+SUM('1.  LRAMVA Summary'!E$31:E$32)*(MONTH($E62)-1)/12)*$H62</f>
        <v>0</v>
      </c>
      <c r="L62" s="627">
        <f>(SUM('1.  LRAMVA Summary'!F$22:F$30)+SUM('1.  LRAMVA Summary'!F$31:F$32)*(MONTH($E62)-1)/12)*$H62</f>
        <v>0</v>
      </c>
      <c r="M62" s="627">
        <f>(SUM('1.  LRAMVA Summary'!G$22:G$30)+SUM('1.  LRAMVA Summary'!G$31:G$32)*(MONTH($E62)-1)/12)*$H62</f>
        <v>0</v>
      </c>
      <c r="N62" s="182">
        <f>(SUM('1.  LRAMVA Summary'!H$22:H$30)+SUM('1.  LRAMVA Summary'!H$31:H$32)*(MONTH($E62)-1)/12)*$H62</f>
        <v>-0.13648832165436572</v>
      </c>
      <c r="O62" s="182">
        <f>(SUM('1.  LRAMVA Summary'!I$22:I$30)+SUM('1.  LRAMVA Summary'!I$31:I$32)*(MONTH($E62)-1)/12)*$H62</f>
        <v>-3.5446947059861035E-3</v>
      </c>
      <c r="P62" s="182">
        <f>(SUM('1.  LRAMVA Summary'!J$22:J$30)+SUM('1.  LRAMVA Summary'!J$31:J$32)*(MONTH($E62)-1)/12)*$H62</f>
        <v>8.2444728193960124</v>
      </c>
      <c r="Q62" s="183">
        <f t="shared" si="18"/>
        <v>71.969243988121931</v>
      </c>
    </row>
    <row r="63" spans="1:21" x14ac:dyDescent="0.25">
      <c r="A63" s="2"/>
      <c r="C63" s="2"/>
      <c r="E63" s="180">
        <v>41699</v>
      </c>
      <c r="F63" s="180" t="s">
        <v>369</v>
      </c>
      <c r="G63" s="181" t="s">
        <v>87</v>
      </c>
      <c r="H63" s="449">
        <f t="shared" si="19"/>
        <v>1.225E-3</v>
      </c>
      <c r="I63" s="182">
        <f>(SUM('1.  LRAMVA Summary'!C$22:C$30)+SUM('1.  LRAMVA Summary'!C$31:C$32)*(MONTH($E63)-1)/12)*$H63</f>
        <v>14.757960470261954</v>
      </c>
      <c r="J63" s="182">
        <f>(SUM('1.  LRAMVA Summary'!D$22:D$30)+SUM('1.  LRAMVA Summary'!D$31:D$32)*(MONTH($E63)-1)/12)*$H63</f>
        <v>50.177692768807745</v>
      </c>
      <c r="K63" s="627">
        <f>(SUM('1.  LRAMVA Summary'!E$22:E$30)+SUM('1.  LRAMVA Summary'!E$31:E$32)*(MONTH($E63)-1)/12)*$H63</f>
        <v>0</v>
      </c>
      <c r="L63" s="627">
        <f>(SUM('1.  LRAMVA Summary'!F$22:F$30)+SUM('1.  LRAMVA Summary'!F$31:F$32)*(MONTH($E63)-1)/12)*$H63</f>
        <v>0</v>
      </c>
      <c r="M63" s="627">
        <f>(SUM('1.  LRAMVA Summary'!G$22:G$30)+SUM('1.  LRAMVA Summary'!G$31:G$32)*(MONTH($E63)-1)/12)*$H63</f>
        <v>0</v>
      </c>
      <c r="N63" s="182">
        <f>(SUM('1.  LRAMVA Summary'!H$22:H$30)+SUM('1.  LRAMVA Summary'!H$31:H$32)*(MONTH($E63)-1)/12)*$H63</f>
        <v>-0.27297664330873145</v>
      </c>
      <c r="O63" s="182">
        <f>(SUM('1.  LRAMVA Summary'!I$22:I$30)+SUM('1.  LRAMVA Summary'!I$31:I$32)*(MONTH($E63)-1)/12)*$H63</f>
        <v>-7.089389411972207E-3</v>
      </c>
      <c r="P63" s="182">
        <f>(SUM('1.  LRAMVA Summary'!J$22:J$30)+SUM('1.  LRAMVA Summary'!J$31:J$32)*(MONTH($E63)-1)/12)*$H63</f>
        <v>8.1170455843403797</v>
      </c>
      <c r="Q63" s="183">
        <f t="shared" si="18"/>
        <v>72.772632790689357</v>
      </c>
      <c r="R63" s="2"/>
      <c r="S63" s="2"/>
      <c r="T63" s="2"/>
      <c r="U63" s="2"/>
    </row>
    <row r="64" spans="1:21" x14ac:dyDescent="0.25">
      <c r="A64" s="2"/>
      <c r="C64" s="2"/>
      <c r="E64" s="180">
        <v>41730</v>
      </c>
      <c r="F64" s="180" t="s">
        <v>369</v>
      </c>
      <c r="G64" s="181" t="s">
        <v>88</v>
      </c>
      <c r="H64" s="450">
        <f>C$29/12</f>
        <v>1.225E-3</v>
      </c>
      <c r="I64" s="182">
        <f>(SUM('1.  LRAMVA Summary'!C$22:C$30)+SUM('1.  LRAMVA Summary'!C$31:C$32)*(MONTH($E64)-1)/12)*$H64</f>
        <v>14.357567445338629</v>
      </c>
      <c r="J64" s="182">
        <f>(SUM('1.  LRAMVA Summary'!D$22:D$30)+SUM('1.  LRAMVA Summary'!D$31:D$32)*(MONTH($E64)-1)/12)*$H64</f>
        <v>51.648934847714507</v>
      </c>
      <c r="K64" s="627">
        <f>(SUM('1.  LRAMVA Summary'!E$22:E$30)+SUM('1.  LRAMVA Summary'!E$31:E$32)*(MONTH($E64)-1)/12)*$H64</f>
        <v>0</v>
      </c>
      <c r="L64" s="627">
        <f>(SUM('1.  LRAMVA Summary'!F$22:F$30)+SUM('1.  LRAMVA Summary'!F$31:F$32)*(MONTH($E64)-1)/12)*$H64</f>
        <v>0</v>
      </c>
      <c r="M64" s="627">
        <f>(SUM('1.  LRAMVA Summary'!G$22:G$30)+SUM('1.  LRAMVA Summary'!G$31:G$32)*(MONTH($E64)-1)/12)*$H64</f>
        <v>0</v>
      </c>
      <c r="N64" s="182">
        <f>(SUM('1.  LRAMVA Summary'!H$22:H$30)+SUM('1.  LRAMVA Summary'!H$31:H$32)*(MONTH($E64)-1)/12)*$H64</f>
        <v>-0.4094649649630972</v>
      </c>
      <c r="O64" s="182">
        <f>(SUM('1.  LRAMVA Summary'!I$22:I$30)+SUM('1.  LRAMVA Summary'!I$31:I$32)*(MONTH($E64)-1)/12)*$H64</f>
        <v>-1.063408411795831E-2</v>
      </c>
      <c r="P64" s="182">
        <f>(SUM('1.  LRAMVA Summary'!J$22:J$30)+SUM('1.  LRAMVA Summary'!J$31:J$32)*(MONTH($E64)-1)/12)*$H64</f>
        <v>7.9896183492847497</v>
      </c>
      <c r="Q64" s="183">
        <f t="shared" si="18"/>
        <v>73.57602159325684</v>
      </c>
      <c r="R64" s="2"/>
      <c r="S64" s="2"/>
      <c r="T64" s="2"/>
      <c r="U64" s="2"/>
    </row>
    <row r="65" spans="1:21" x14ac:dyDescent="0.25">
      <c r="A65" s="2"/>
      <c r="C65" s="2"/>
      <c r="E65" s="180">
        <v>41760</v>
      </c>
      <c r="F65" s="180" t="s">
        <v>369</v>
      </c>
      <c r="G65" s="181" t="s">
        <v>88</v>
      </c>
      <c r="H65" s="449">
        <f t="shared" ref="H65:H66" si="20">C$29/12</f>
        <v>1.225E-3</v>
      </c>
      <c r="I65" s="182">
        <f>(SUM('1.  LRAMVA Summary'!C$22:C$30)+SUM('1.  LRAMVA Summary'!C$31:C$32)*(MONTH($E65)-1)/12)*$H65</f>
        <v>13.957174420415308</v>
      </c>
      <c r="J65" s="182">
        <f>(SUM('1.  LRAMVA Summary'!D$22:D$30)+SUM('1.  LRAMVA Summary'!D$31:D$32)*(MONTH($E65)-1)/12)*$H65</f>
        <v>53.120176926621255</v>
      </c>
      <c r="K65" s="627">
        <f>(SUM('1.  LRAMVA Summary'!E$22:E$30)+SUM('1.  LRAMVA Summary'!E$31:E$32)*(MONTH($E65)-1)/12)*$H65</f>
        <v>0</v>
      </c>
      <c r="L65" s="627">
        <f>(SUM('1.  LRAMVA Summary'!F$22:F$30)+SUM('1.  LRAMVA Summary'!F$31:F$32)*(MONTH($E65)-1)/12)*$H65</f>
        <v>0</v>
      </c>
      <c r="M65" s="627">
        <f>(SUM('1.  LRAMVA Summary'!G$22:G$30)+SUM('1.  LRAMVA Summary'!G$31:G$32)*(MONTH($E65)-1)/12)*$H65</f>
        <v>0</v>
      </c>
      <c r="N65" s="182">
        <f>(SUM('1.  LRAMVA Summary'!H$22:H$30)+SUM('1.  LRAMVA Summary'!H$31:H$32)*(MONTH($E65)-1)/12)*$H65</f>
        <v>-0.5459532866174629</v>
      </c>
      <c r="O65" s="182">
        <f>(SUM('1.  LRAMVA Summary'!I$22:I$30)+SUM('1.  LRAMVA Summary'!I$31:I$32)*(MONTH($E65)-1)/12)*$H65</f>
        <v>-1.4178778823944414E-2</v>
      </c>
      <c r="P65" s="182">
        <f>(SUM('1.  LRAMVA Summary'!J$22:J$30)+SUM('1.  LRAMVA Summary'!J$31:J$32)*(MONTH($E65)-1)/12)*$H65</f>
        <v>7.8621911142291179</v>
      </c>
      <c r="Q65" s="183">
        <f t="shared" si="18"/>
        <v>74.37941039582428</v>
      </c>
      <c r="R65" s="2"/>
      <c r="S65" s="2"/>
      <c r="T65" s="2"/>
      <c r="U65" s="2"/>
    </row>
    <row r="66" spans="1:21" s="3" customFormat="1" ht="12.75" x14ac:dyDescent="0.2">
      <c r="B66" s="56"/>
      <c r="E66" s="180">
        <v>41791</v>
      </c>
      <c r="F66" s="180" t="s">
        <v>369</v>
      </c>
      <c r="G66" s="181" t="s">
        <v>88</v>
      </c>
      <c r="H66" s="449">
        <f t="shared" si="20"/>
        <v>1.225E-3</v>
      </c>
      <c r="I66" s="182">
        <f>(SUM('1.  LRAMVA Summary'!C$22:C$30)+SUM('1.  LRAMVA Summary'!C$31:C$32)*(MONTH($E66)-1)/12)*$H66</f>
        <v>13.556781395491983</v>
      </c>
      <c r="J66" s="182">
        <f>(SUM('1.  LRAMVA Summary'!D$22:D$30)+SUM('1.  LRAMVA Summary'!D$31:D$32)*(MONTH($E66)-1)/12)*$H66</f>
        <v>54.59141900552801</v>
      </c>
      <c r="K66" s="627">
        <f>(SUM('1.  LRAMVA Summary'!E$22:E$30)+SUM('1.  LRAMVA Summary'!E$31:E$32)*(MONTH($E66)-1)/12)*$H66</f>
        <v>0</v>
      </c>
      <c r="L66" s="627">
        <f>(SUM('1.  LRAMVA Summary'!F$22:F$30)+SUM('1.  LRAMVA Summary'!F$31:F$32)*(MONTH($E66)-1)/12)*$H66</f>
        <v>0</v>
      </c>
      <c r="M66" s="627">
        <f>(SUM('1.  LRAMVA Summary'!G$22:G$30)+SUM('1.  LRAMVA Summary'!G$31:G$32)*(MONTH($E66)-1)/12)*$H66</f>
        <v>0</v>
      </c>
      <c r="N66" s="182">
        <f>(SUM('1.  LRAMVA Summary'!H$22:H$30)+SUM('1.  LRAMVA Summary'!H$31:H$32)*(MONTH($E66)-1)/12)*$H66</f>
        <v>-0.68244160827182876</v>
      </c>
      <c r="O66" s="182">
        <f>(SUM('1.  LRAMVA Summary'!I$22:I$30)+SUM('1.  LRAMVA Summary'!I$31:I$32)*(MONTH($E66)-1)/12)*$H66</f>
        <v>-1.772347352993052E-2</v>
      </c>
      <c r="P66" s="182">
        <f>(SUM('1.  LRAMVA Summary'!J$22:J$30)+SUM('1.  LRAMVA Summary'!J$31:J$32)*(MONTH($E66)-1)/12)*$H66</f>
        <v>7.734763879173487</v>
      </c>
      <c r="Q66" s="183">
        <f t="shared" si="18"/>
        <v>75.18279919839172</v>
      </c>
    </row>
    <row r="67" spans="1:21" s="3" customFormat="1" ht="12.75" x14ac:dyDescent="0.2">
      <c r="B67" s="56"/>
      <c r="E67" s="180">
        <v>41821</v>
      </c>
      <c r="F67" s="180" t="s">
        <v>369</v>
      </c>
      <c r="G67" s="181" t="s">
        <v>90</v>
      </c>
      <c r="H67" s="450">
        <f>C$30/12</f>
        <v>1.225E-3</v>
      </c>
      <c r="I67" s="182">
        <f>(SUM('1.  LRAMVA Summary'!C$22:C$30)+SUM('1.  LRAMVA Summary'!C$31:C$32)*(MONTH($E67)-1)/12)*$H67</f>
        <v>13.15638837056866</v>
      </c>
      <c r="J67" s="182">
        <f>(SUM('1.  LRAMVA Summary'!D$22:D$30)+SUM('1.  LRAMVA Summary'!D$31:D$32)*(MONTH($E67)-1)/12)*$H67</f>
        <v>56.062661084434758</v>
      </c>
      <c r="K67" s="627">
        <f>(SUM('1.  LRAMVA Summary'!E$22:E$30)+SUM('1.  LRAMVA Summary'!E$31:E$32)*(MONTH($E67)-1)/12)*$H67</f>
        <v>0</v>
      </c>
      <c r="L67" s="627">
        <f>(SUM('1.  LRAMVA Summary'!F$22:F$30)+SUM('1.  LRAMVA Summary'!F$31:F$32)*(MONTH($E67)-1)/12)*$H67</f>
        <v>0</v>
      </c>
      <c r="M67" s="627">
        <f>(SUM('1.  LRAMVA Summary'!G$22:G$30)+SUM('1.  LRAMVA Summary'!G$31:G$32)*(MONTH($E67)-1)/12)*$H67</f>
        <v>0</v>
      </c>
      <c r="N67" s="182">
        <f>(SUM('1.  LRAMVA Summary'!H$22:H$30)+SUM('1.  LRAMVA Summary'!H$31:H$32)*(MONTH($E67)-1)/12)*$H67</f>
        <v>-0.8189299299261944</v>
      </c>
      <c r="O67" s="182">
        <f>(SUM('1.  LRAMVA Summary'!I$22:I$30)+SUM('1.  LRAMVA Summary'!I$31:I$32)*(MONTH($E67)-1)/12)*$H67</f>
        <v>-2.126816823591662E-2</v>
      </c>
      <c r="P67" s="182">
        <f>(SUM('1.  LRAMVA Summary'!J$22:J$30)+SUM('1.  LRAMVA Summary'!J$31:J$32)*(MONTH($E67)-1)/12)*$H67</f>
        <v>7.607336644117856</v>
      </c>
      <c r="Q67" s="183">
        <f t="shared" si="18"/>
        <v>75.986188000959146</v>
      </c>
    </row>
    <row r="68" spans="1:21" s="3" customFormat="1" ht="12.75" x14ac:dyDescent="0.2">
      <c r="B68" s="56"/>
      <c r="E68" s="180">
        <v>41852</v>
      </c>
      <c r="F68" s="180" t="s">
        <v>369</v>
      </c>
      <c r="G68" s="181" t="s">
        <v>90</v>
      </c>
      <c r="H68" s="449">
        <f t="shared" ref="H68:H69" si="21">C$30/12</f>
        <v>1.225E-3</v>
      </c>
      <c r="I68" s="182">
        <f>(SUM('1.  LRAMVA Summary'!C$22:C$30)+SUM('1.  LRAMVA Summary'!C$31:C$32)*(MONTH($E68)-1)/12)*$H68</f>
        <v>12.755995345645339</v>
      </c>
      <c r="J68" s="182">
        <f>(SUM('1.  LRAMVA Summary'!D$22:D$30)+SUM('1.  LRAMVA Summary'!D$31:D$32)*(MONTH($E68)-1)/12)*$H68</f>
        <v>57.53390316334152</v>
      </c>
      <c r="K68" s="627">
        <f>(SUM('1.  LRAMVA Summary'!E$22:E$30)+SUM('1.  LRAMVA Summary'!E$31:E$32)*(MONTH($E68)-1)/12)*$H68</f>
        <v>0</v>
      </c>
      <c r="L68" s="627">
        <f>(SUM('1.  LRAMVA Summary'!F$22:F$30)+SUM('1.  LRAMVA Summary'!F$31:F$32)*(MONTH($E68)-1)/12)*$H68</f>
        <v>0</v>
      </c>
      <c r="M68" s="627">
        <f>(SUM('1.  LRAMVA Summary'!G$22:G$30)+SUM('1.  LRAMVA Summary'!G$31:G$32)*(MONTH($E68)-1)/12)*$H68</f>
        <v>0</v>
      </c>
      <c r="N68" s="182">
        <f>(SUM('1.  LRAMVA Summary'!H$22:H$30)+SUM('1.  LRAMVA Summary'!H$31:H$32)*(MONTH($E68)-1)/12)*$H68</f>
        <v>-0.95541825158056015</v>
      </c>
      <c r="O68" s="182">
        <f>(SUM('1.  LRAMVA Summary'!I$22:I$30)+SUM('1.  LRAMVA Summary'!I$31:I$32)*(MONTH($E68)-1)/12)*$H68</f>
        <v>-2.4812862941902724E-2</v>
      </c>
      <c r="P68" s="182">
        <f>(SUM('1.  LRAMVA Summary'!J$22:J$30)+SUM('1.  LRAMVA Summary'!J$31:J$32)*(MONTH($E68)-1)/12)*$H68</f>
        <v>7.4799094090622251</v>
      </c>
      <c r="Q68" s="183">
        <f t="shared" si="18"/>
        <v>76.789576803526629</v>
      </c>
    </row>
    <row r="69" spans="1:21" s="3" customFormat="1" ht="12.75" x14ac:dyDescent="0.2">
      <c r="B69" s="56"/>
      <c r="E69" s="180">
        <v>41883</v>
      </c>
      <c r="F69" s="180" t="s">
        <v>369</v>
      </c>
      <c r="G69" s="181" t="s">
        <v>90</v>
      </c>
      <c r="H69" s="449">
        <f t="shared" si="21"/>
        <v>1.225E-3</v>
      </c>
      <c r="I69" s="182">
        <f>(SUM('1.  LRAMVA Summary'!C$22:C$30)+SUM('1.  LRAMVA Summary'!C$31:C$32)*(MONTH($E69)-1)/12)*$H69</f>
        <v>12.355602320722014</v>
      </c>
      <c r="J69" s="182">
        <f>(SUM('1.  LRAMVA Summary'!D$22:D$30)+SUM('1.  LRAMVA Summary'!D$31:D$32)*(MONTH($E69)-1)/12)*$H69</f>
        <v>59.005145242248268</v>
      </c>
      <c r="K69" s="627">
        <f>(SUM('1.  LRAMVA Summary'!E$22:E$30)+SUM('1.  LRAMVA Summary'!E$31:E$32)*(MONTH($E69)-1)/12)*$H69</f>
        <v>0</v>
      </c>
      <c r="L69" s="627">
        <f>(SUM('1.  LRAMVA Summary'!F$22:F$30)+SUM('1.  LRAMVA Summary'!F$31:F$32)*(MONTH($E69)-1)/12)*$H69</f>
        <v>0</v>
      </c>
      <c r="M69" s="627">
        <f>(SUM('1.  LRAMVA Summary'!G$22:G$30)+SUM('1.  LRAMVA Summary'!G$31:G$32)*(MONTH($E69)-1)/12)*$H69</f>
        <v>0</v>
      </c>
      <c r="N69" s="182">
        <f>(SUM('1.  LRAMVA Summary'!H$22:H$30)+SUM('1.  LRAMVA Summary'!H$31:H$32)*(MONTH($E69)-1)/12)*$H69</f>
        <v>-1.0919065732349258</v>
      </c>
      <c r="O69" s="182">
        <f>(SUM('1.  LRAMVA Summary'!I$22:I$30)+SUM('1.  LRAMVA Summary'!I$31:I$32)*(MONTH($E69)-1)/12)*$H69</f>
        <v>-2.8357557647888828E-2</v>
      </c>
      <c r="P69" s="182">
        <f>(SUM('1.  LRAMVA Summary'!J$22:J$30)+SUM('1.  LRAMVA Summary'!J$31:J$32)*(MONTH($E69)-1)/12)*$H69</f>
        <v>7.3524821740065942</v>
      </c>
      <c r="Q69" s="183">
        <f t="shared" si="18"/>
        <v>77.592965606094069</v>
      </c>
    </row>
    <row r="70" spans="1:21" s="3" customFormat="1" ht="12.75" x14ac:dyDescent="0.2">
      <c r="B70" s="56"/>
      <c r="E70" s="180">
        <v>41913</v>
      </c>
      <c r="F70" s="180" t="s">
        <v>369</v>
      </c>
      <c r="G70" s="181" t="s">
        <v>91</v>
      </c>
      <c r="H70" s="450">
        <f>C$31/12</f>
        <v>1.225E-3</v>
      </c>
      <c r="I70" s="182">
        <f>(SUM('1.  LRAMVA Summary'!C$22:C$30)+SUM('1.  LRAMVA Summary'!C$31:C$32)*(MONTH($E70)-1)/12)*$H70</f>
        <v>11.955209295798692</v>
      </c>
      <c r="J70" s="182">
        <f>(SUM('1.  LRAMVA Summary'!D$22:D$30)+SUM('1.  LRAMVA Summary'!D$31:D$32)*(MONTH($E70)-1)/12)*$H70</f>
        <v>60.476387321155023</v>
      </c>
      <c r="K70" s="627">
        <f>(SUM('1.  LRAMVA Summary'!E$22:E$30)+SUM('1.  LRAMVA Summary'!E$31:E$32)*(MONTH($E70)-1)/12)*$H70</f>
        <v>0</v>
      </c>
      <c r="L70" s="627">
        <f>(SUM('1.  LRAMVA Summary'!F$22:F$30)+SUM('1.  LRAMVA Summary'!F$31:F$32)*(MONTH($E70)-1)/12)*$H70</f>
        <v>0</v>
      </c>
      <c r="M70" s="627">
        <f>(SUM('1.  LRAMVA Summary'!G$22:G$30)+SUM('1.  LRAMVA Summary'!G$31:G$32)*(MONTH($E70)-1)/12)*$H70</f>
        <v>0</v>
      </c>
      <c r="N70" s="182">
        <f>(SUM('1.  LRAMVA Summary'!H$22:H$30)+SUM('1.  LRAMVA Summary'!H$31:H$32)*(MONTH($E70)-1)/12)*$H70</f>
        <v>-1.2283948948892915</v>
      </c>
      <c r="O70" s="182">
        <f>(SUM('1.  LRAMVA Summary'!I$22:I$30)+SUM('1.  LRAMVA Summary'!I$31:I$32)*(MONTH($E70)-1)/12)*$H70</f>
        <v>-3.1902252353874935E-2</v>
      </c>
      <c r="P70" s="182">
        <f>(SUM('1.  LRAMVA Summary'!J$22:J$30)+SUM('1.  LRAMVA Summary'!J$31:J$32)*(MONTH($E70)-1)/12)*$H70</f>
        <v>7.2250549389509624</v>
      </c>
      <c r="Q70" s="183">
        <f t="shared" si="18"/>
        <v>78.396354408661509</v>
      </c>
    </row>
    <row r="71" spans="1:21" s="3" customFormat="1" ht="12.75" x14ac:dyDescent="0.2">
      <c r="B71" s="56"/>
      <c r="E71" s="180">
        <v>41944</v>
      </c>
      <c r="F71" s="180" t="s">
        <v>369</v>
      </c>
      <c r="G71" s="181" t="s">
        <v>91</v>
      </c>
      <c r="H71" s="449">
        <f t="shared" ref="H71:H72" si="22">C$31/12</f>
        <v>1.225E-3</v>
      </c>
      <c r="I71" s="182">
        <f>(SUM('1.  LRAMVA Summary'!C$22:C$30)+SUM('1.  LRAMVA Summary'!C$31:C$32)*(MONTH($E71)-1)/12)*$H71</f>
        <v>11.554816270875367</v>
      </c>
      <c r="J71" s="182">
        <f>(SUM('1.  LRAMVA Summary'!D$22:D$30)+SUM('1.  LRAMVA Summary'!D$31:D$32)*(MONTH($E71)-1)/12)*$H71</f>
        <v>61.947629400061771</v>
      </c>
      <c r="K71" s="627">
        <f>(SUM('1.  LRAMVA Summary'!E$22:E$30)+SUM('1.  LRAMVA Summary'!E$31:E$32)*(MONTH($E71)-1)/12)*$H71</f>
        <v>0</v>
      </c>
      <c r="L71" s="627">
        <f>(SUM('1.  LRAMVA Summary'!F$22:F$30)+SUM('1.  LRAMVA Summary'!F$31:F$32)*(MONTH($E71)-1)/12)*$H71</f>
        <v>0</v>
      </c>
      <c r="M71" s="627">
        <f>(SUM('1.  LRAMVA Summary'!G$22:G$30)+SUM('1.  LRAMVA Summary'!G$31:G$32)*(MONTH($E71)-1)/12)*$H71</f>
        <v>0</v>
      </c>
      <c r="N71" s="182">
        <f>(SUM('1.  LRAMVA Summary'!H$22:H$30)+SUM('1.  LRAMVA Summary'!H$31:H$32)*(MONTH($E71)-1)/12)*$H71</f>
        <v>-1.3648832165436575</v>
      </c>
      <c r="O71" s="182">
        <f>(SUM('1.  LRAMVA Summary'!I$22:I$30)+SUM('1.  LRAMVA Summary'!I$31:I$32)*(MONTH($E71)-1)/12)*$H71</f>
        <v>-3.5446947059861039E-2</v>
      </c>
      <c r="P71" s="182">
        <f>(SUM('1.  LRAMVA Summary'!J$22:J$30)+SUM('1.  LRAMVA Summary'!J$31:J$32)*(MONTH($E71)-1)/12)*$H71</f>
        <v>7.0976277038953315</v>
      </c>
      <c r="Q71" s="183">
        <f t="shared" si="18"/>
        <v>79.199743211228935</v>
      </c>
    </row>
    <row r="72" spans="1:21" s="3" customFormat="1" ht="12.75" x14ac:dyDescent="0.2">
      <c r="B72" s="56"/>
      <c r="E72" s="180">
        <v>41974</v>
      </c>
      <c r="F72" s="180" t="s">
        <v>369</v>
      </c>
      <c r="G72" s="181" t="s">
        <v>91</v>
      </c>
      <c r="H72" s="449">
        <f t="shared" si="22"/>
        <v>1.225E-3</v>
      </c>
      <c r="I72" s="182">
        <f>(SUM('1.  LRAMVA Summary'!C$22:C$30)+SUM('1.  LRAMVA Summary'!C$31:C$32)*(MONTH($E72)-1)/12)*$H72</f>
        <v>11.154423245952046</v>
      </c>
      <c r="J72" s="182">
        <f>(SUM('1.  LRAMVA Summary'!D$22:D$30)+SUM('1.  LRAMVA Summary'!D$31:D$32)*(MONTH($E72)-1)/12)*$H72</f>
        <v>63.418871478968533</v>
      </c>
      <c r="K72" s="627">
        <f>(SUM('1.  LRAMVA Summary'!E$22:E$30)+SUM('1.  LRAMVA Summary'!E$31:E$32)*(MONTH($E72)-1)/12)*$H72</f>
        <v>0</v>
      </c>
      <c r="L72" s="627">
        <f>(SUM('1.  LRAMVA Summary'!F$22:F$30)+SUM('1.  LRAMVA Summary'!F$31:F$32)*(MONTH($E72)-1)/12)*$H72</f>
        <v>0</v>
      </c>
      <c r="M72" s="627">
        <f>(SUM('1.  LRAMVA Summary'!G$22:G$30)+SUM('1.  LRAMVA Summary'!G$31:G$32)*(MONTH($E72)-1)/12)*$H72</f>
        <v>0</v>
      </c>
      <c r="N72" s="182">
        <f>(SUM('1.  LRAMVA Summary'!H$22:H$30)+SUM('1.  LRAMVA Summary'!H$31:H$32)*(MONTH($E72)-1)/12)*$H72</f>
        <v>-1.501371538198023</v>
      </c>
      <c r="O72" s="182">
        <f>(SUM('1.  LRAMVA Summary'!I$22:I$30)+SUM('1.  LRAMVA Summary'!I$31:I$32)*(MONTH($E72)-1)/12)*$H72</f>
        <v>-3.8991641765847143E-2</v>
      </c>
      <c r="P72" s="182">
        <f>(SUM('1.  LRAMVA Summary'!J$22:J$30)+SUM('1.  LRAMVA Summary'!J$31:J$32)*(MONTH($E72)-1)/12)*$H72</f>
        <v>6.9702004688396997</v>
      </c>
      <c r="Q72" s="183">
        <f t="shared" si="18"/>
        <v>80.003132013796403</v>
      </c>
    </row>
    <row r="73" spans="1:21" s="3" customFormat="1" ht="13.5" thickBot="1" x14ac:dyDescent="0.25">
      <c r="B73" s="56"/>
      <c r="E73" s="192" t="s">
        <v>395</v>
      </c>
      <c r="F73" s="192"/>
      <c r="G73" s="193"/>
      <c r="H73" s="446"/>
      <c r="I73" s="194">
        <f>SUM(I60:I72)</f>
        <v>385.37419153933121</v>
      </c>
      <c r="J73" s="194">
        <f t="shared" ref="J73" si="23">SUM(J60:J72)</f>
        <v>1324.6037381627953</v>
      </c>
      <c r="K73" s="628">
        <f t="shared" ref="K73" si="24">SUM(K60:K72)</f>
        <v>0</v>
      </c>
      <c r="L73" s="628">
        <f t="shared" ref="L73" si="25">SUM(L60:L72)</f>
        <v>0</v>
      </c>
      <c r="M73" s="628">
        <f t="shared" ref="M73" si="26">SUM(M60:M72)</f>
        <v>0</v>
      </c>
      <c r="N73" s="194">
        <f t="shared" ref="N73" si="27">SUM(N60:N72)</f>
        <v>-9.0082292291881387</v>
      </c>
      <c r="O73" s="194">
        <f t="shared" ref="O73" si="28">SUM(O60:O72)</f>
        <v>-0.23394985059508283</v>
      </c>
      <c r="P73" s="194">
        <f t="shared" ref="P73" si="29">SUM(P60:P72)</f>
        <v>175.5280726474081</v>
      </c>
      <c r="Q73" s="194">
        <f>SUM(Q60:Q72)</f>
        <v>1876.2638232697509</v>
      </c>
    </row>
    <row r="74" spans="1:21" s="3" customFormat="1" ht="13.5" thickTop="1" x14ac:dyDescent="0.2">
      <c r="B74" s="56"/>
      <c r="E74" s="221" t="s">
        <v>89</v>
      </c>
      <c r="F74" s="221"/>
      <c r="G74" s="222"/>
      <c r="H74" s="447"/>
      <c r="I74" s="223">
        <f>$Q74*'1.  LRAMVA Summary'!C33/'1.  LRAMVA Summary'!$K33</f>
        <v>-181.00162316688323</v>
      </c>
      <c r="J74" s="223">
        <f>$Q74*'1.  LRAMVA Summary'!D33/'1.  LRAMVA Summary'!$K33</f>
        <v>-534.40756190829779</v>
      </c>
      <c r="K74" s="629">
        <v>0</v>
      </c>
      <c r="L74" s="629">
        <v>0</v>
      </c>
      <c r="M74" s="629">
        <v>0</v>
      </c>
      <c r="N74" s="223">
        <f>$Q74*'1.  LRAMVA Summary'!J33/'1.  LRAMVA Summary'!$K33</f>
        <v>-10.510814924819009</v>
      </c>
      <c r="O74" s="223"/>
      <c r="P74" s="223"/>
      <c r="Q74" s="224">
        <v>-725.92</v>
      </c>
    </row>
    <row r="75" spans="1:21" s="3" customFormat="1" ht="12.75" x14ac:dyDescent="0.2">
      <c r="B75" s="56"/>
      <c r="E75" s="189" t="s">
        <v>390</v>
      </c>
      <c r="F75" s="189"/>
      <c r="G75" s="190"/>
      <c r="H75" s="448"/>
      <c r="I75" s="191">
        <f t="shared" ref="I75:Q75" si="30">I73+I74</f>
        <v>204.37256837244797</v>
      </c>
      <c r="J75" s="191">
        <f t="shared" si="30"/>
        <v>790.19617625449746</v>
      </c>
      <c r="K75" s="630">
        <f t="shared" si="30"/>
        <v>0</v>
      </c>
      <c r="L75" s="630">
        <f t="shared" si="30"/>
        <v>0</v>
      </c>
      <c r="M75" s="630">
        <f t="shared" si="30"/>
        <v>0</v>
      </c>
      <c r="N75" s="191">
        <f t="shared" si="30"/>
        <v>-19.519044154007148</v>
      </c>
      <c r="O75" s="191">
        <f t="shared" si="30"/>
        <v>-0.23394985059508283</v>
      </c>
      <c r="P75" s="191">
        <f t="shared" si="30"/>
        <v>175.5280726474081</v>
      </c>
      <c r="Q75" s="191">
        <f t="shared" si="30"/>
        <v>1150.3438232697508</v>
      </c>
    </row>
    <row r="76" spans="1:21" s="3" customFormat="1" ht="12.75" x14ac:dyDescent="0.2">
      <c r="B76" s="56"/>
      <c r="E76" s="180">
        <v>42005</v>
      </c>
      <c r="F76" s="180" t="s">
        <v>370</v>
      </c>
      <c r="G76" s="181" t="s">
        <v>87</v>
      </c>
      <c r="H76" s="449">
        <f>C$32/12</f>
        <v>1.225E-3</v>
      </c>
      <c r="I76" s="182">
        <f>(SUM('1.  LRAMVA Summary'!C$22:C$33)+SUM('1.  LRAMVA Summary'!C$34:C$35)*(MONTH($E76)-1)/12)*$H76</f>
        <v>2.5269302210287221</v>
      </c>
      <c r="J76" s="182">
        <f>(SUM('1.  LRAMVA Summary'!D$22:D$33)+SUM('1.  LRAMVA Summary'!D$34:D$35)*(MONTH($E76)-1)/12)*$H76</f>
        <v>40.599588557875286</v>
      </c>
      <c r="K76" s="627">
        <f>(SUM('1.  LRAMVA Summary'!E$22:E$33)+SUM('1.  LRAMVA Summary'!E$34:E$35)*(MONTH($E76)-1)/12)*$H76</f>
        <v>0</v>
      </c>
      <c r="L76" s="627">
        <f>(SUM('1.  LRAMVA Summary'!F$22:F$33)+SUM('1.  LRAMVA Summary'!F$34:F$35)*(MONTH($E76)-1)/12)*$H76</f>
        <v>0</v>
      </c>
      <c r="M76" s="627">
        <f>(SUM('1.  LRAMVA Summary'!G$22:G$33)+SUM('1.  LRAMVA Summary'!G$34:G$35)*(MONTH($E76)-1)/12)*$H76</f>
        <v>0</v>
      </c>
      <c r="N76" s="182">
        <f>(SUM('1.  LRAMVA Summary'!H$22:H$33)+SUM('1.  LRAMVA Summary'!H$34:H$35)*(MONTH($E76)-1)/12)*$H76</f>
        <v>-1.6378598598523888</v>
      </c>
      <c r="O76" s="182">
        <f>(SUM('1.  LRAMVA Summary'!I$22:I$33)+SUM('1.  LRAMVA Summary'!I$34:I$35)*(MONTH($E76)-1)/12)*$H76</f>
        <v>-4.253633647183324E-2</v>
      </c>
      <c r="P76" s="182">
        <f>(SUM('1.  LRAMVA Summary'!J$22:J$33)+SUM('1.  LRAMVA Summary'!J$34:J$35)*(MONTH($E76)-1)/12)*$H76</f>
        <v>6.3650232337840693</v>
      </c>
      <c r="Q76" s="183">
        <f>SUM(I76:P76)</f>
        <v>47.811145816363855</v>
      </c>
    </row>
    <row r="77" spans="1:21" s="15" customFormat="1" ht="12.75" x14ac:dyDescent="0.2">
      <c r="B77" s="212"/>
      <c r="E77" s="180">
        <v>42036</v>
      </c>
      <c r="F77" s="180" t="s">
        <v>370</v>
      </c>
      <c r="G77" s="181" t="s">
        <v>87</v>
      </c>
      <c r="H77" s="449">
        <v>1.225E-3</v>
      </c>
      <c r="I77" s="182">
        <f>(SUM('1.  LRAMVA Summary'!C$22:C$33)+SUM('1.  LRAMVA Summary'!C$34:C$35)*(MONTH($E77)-1)/12)*$H77</f>
        <v>2.485323435111181</v>
      </c>
      <c r="J77" s="182">
        <f>(SUM('1.  LRAMVA Summary'!D$22:D$33)+SUM('1.  LRAMVA Summary'!D$34:D$35)*(MONTH($E77)-1)/12)*$H77</f>
        <v>42.312911334208266</v>
      </c>
      <c r="K77" s="627">
        <f>(SUM('1.  LRAMVA Summary'!E$22:E$33)+SUM('1.  LRAMVA Summary'!E$34:E$35)*(MONTH($E77)-1)/12)*$H77</f>
        <v>0</v>
      </c>
      <c r="L77" s="627">
        <f>(SUM('1.  LRAMVA Summary'!F$22:F$33)+SUM('1.  LRAMVA Summary'!F$34:F$35)*(MONTH($E77)-1)/12)*$H77</f>
        <v>0</v>
      </c>
      <c r="M77" s="627">
        <f>(SUM('1.  LRAMVA Summary'!G$22:G$33)+SUM('1.  LRAMVA Summary'!G$34:G$35)*(MONTH($E77)-1)/12)*$H77</f>
        <v>0</v>
      </c>
      <c r="N77" s="182">
        <f>(SUM('1.  LRAMVA Summary'!H$22:H$33)+SUM('1.  LRAMVA Summary'!H$34:H$35)*(MONTH($E77)-1)/12)*$H77</f>
        <v>-1.7924929187924432</v>
      </c>
      <c r="O77" s="182">
        <f>(SUM('1.  LRAMVA Summary'!I$22:I$33)+SUM('1.  LRAMVA Summary'!I$34:I$35)*(MONTH($E77)-1)/12)*$H77</f>
        <v>-4.4815963455894982E-2</v>
      </c>
      <c r="P77" s="182">
        <f>(SUM('1.  LRAMVA Summary'!J$22:J$33)+SUM('1.  LRAMVA Summary'!J$34:J$35)*(MONTH($E77)-1)/12)*$H77</f>
        <v>6.9338887889433041</v>
      </c>
      <c r="Q77" s="183">
        <f>SUM(I77:P77)</f>
        <v>49.89481467601442</v>
      </c>
    </row>
    <row r="78" spans="1:21" s="3" customFormat="1" ht="12.75" x14ac:dyDescent="0.2">
      <c r="B78" s="56"/>
      <c r="E78" s="180">
        <v>42064</v>
      </c>
      <c r="F78" s="180" t="s">
        <v>370</v>
      </c>
      <c r="G78" s="181" t="s">
        <v>87</v>
      </c>
      <c r="H78" s="449">
        <v>1.225E-3</v>
      </c>
      <c r="I78" s="182">
        <f>(SUM('1.  LRAMVA Summary'!C$22:C$33)+SUM('1.  LRAMVA Summary'!C$34:C$35)*(MONTH($E78)-1)/12)*$H78</f>
        <v>2.4437166491936395</v>
      </c>
      <c r="J78" s="182">
        <f>(SUM('1.  LRAMVA Summary'!D$22:D$33)+SUM('1.  LRAMVA Summary'!D$34:D$35)*(MONTH($E78)-1)/12)*$H78</f>
        <v>44.026234110541246</v>
      </c>
      <c r="K78" s="627">
        <f>(SUM('1.  LRAMVA Summary'!E$22:E$33)+SUM('1.  LRAMVA Summary'!E$34:E$35)*(MONTH($E78)-1)/12)*$H78</f>
        <v>0</v>
      </c>
      <c r="L78" s="627">
        <f>(SUM('1.  LRAMVA Summary'!F$22:F$33)+SUM('1.  LRAMVA Summary'!F$34:F$35)*(MONTH($E78)-1)/12)*$H78</f>
        <v>0</v>
      </c>
      <c r="M78" s="627">
        <f>(SUM('1.  LRAMVA Summary'!G$22:G$33)+SUM('1.  LRAMVA Summary'!G$34:G$35)*(MONTH($E78)-1)/12)*$H78</f>
        <v>0</v>
      </c>
      <c r="N78" s="182">
        <f>(SUM('1.  LRAMVA Summary'!H$22:H$33)+SUM('1.  LRAMVA Summary'!H$34:H$35)*(MONTH($E78)-1)/12)*$H78</f>
        <v>-1.9471259777324972</v>
      </c>
      <c r="O78" s="182">
        <f>(SUM('1.  LRAMVA Summary'!I$22:I$33)+SUM('1.  LRAMVA Summary'!I$34:I$35)*(MONTH($E78)-1)/12)*$H78</f>
        <v>-4.709559043995671E-2</v>
      </c>
      <c r="P78" s="182">
        <f>(SUM('1.  LRAMVA Summary'!J$22:J$33)+SUM('1.  LRAMVA Summary'!J$34:J$35)*(MONTH($E78)-1)/12)*$H78</f>
        <v>7.5027543441025388</v>
      </c>
      <c r="Q78" s="183">
        <f>SUM(I78:P78)</f>
        <v>51.978483535664971</v>
      </c>
    </row>
    <row r="79" spans="1:21" s="3" customFormat="1" ht="12.75" x14ac:dyDescent="0.2">
      <c r="B79" s="56"/>
      <c r="E79" s="180">
        <v>42095</v>
      </c>
      <c r="F79" s="180" t="s">
        <v>370</v>
      </c>
      <c r="G79" s="181" t="s">
        <v>88</v>
      </c>
      <c r="H79" s="449">
        <f>C$33/12</f>
        <v>9.1666666666666665E-4</v>
      </c>
      <c r="I79" s="182">
        <f>(SUM('1.  LRAMVA Summary'!C$22:C$33)+SUM('1.  LRAMVA Summary'!C$34:C$35)*(MONTH($E79)-1)/12)*$H79</f>
        <v>1.7974971766011623</v>
      </c>
      <c r="J79" s="182">
        <f>(SUM('1.  LRAMVA Summary'!D$22:D$33)+SUM('1.  LRAMVA Summary'!D$34:D$35)*(MONTH($E79)-1)/12)*$H79</f>
        <v>34.226879303103175</v>
      </c>
      <c r="K79" s="627">
        <f>(SUM('1.  LRAMVA Summary'!E$22:E$33)+SUM('1.  LRAMVA Summary'!E$34:E$35)*(MONTH($E79)-1)/12)*$H79</f>
        <v>0</v>
      </c>
      <c r="L79" s="627">
        <f>(SUM('1.  LRAMVA Summary'!F$22:F$33)+SUM('1.  LRAMVA Summary'!F$34:F$35)*(MONTH($E79)-1)/12)*$H79</f>
        <v>0</v>
      </c>
      <c r="M79" s="627">
        <f>(SUM('1.  LRAMVA Summary'!G$22:G$33)+SUM('1.  LRAMVA Summary'!G$34:G$35)*(MONTH($E79)-1)/12)*$H79</f>
        <v>0</v>
      </c>
      <c r="N79" s="182">
        <f>(SUM('1.  LRAMVA Summary'!H$22:H$33)+SUM('1.  LRAMVA Summary'!H$34:H$35)*(MONTH($E79)-1)/12)*$H79</f>
        <v>-1.5727448573740184</v>
      </c>
      <c r="O79" s="182">
        <f>(SUM('1.  LRAMVA Summary'!I$22:I$33)+SUM('1.  LRAMVA Summary'!I$34:I$35)*(MONTH($E79)-1)/12)*$H79</f>
        <v>-3.6947441609809721E-2</v>
      </c>
      <c r="P79" s="182">
        <f>(SUM('1.  LRAMVA Summary'!J$22:J$33)+SUM('1.  LRAMVA Summary'!J$34:J$35)*(MONTH($E79)-1)/12)*$H79</f>
        <v>6.0399876797196947</v>
      </c>
      <c r="Q79" s="183">
        <f>SUM(I79:P79)</f>
        <v>40.4546718604402</v>
      </c>
    </row>
    <row r="80" spans="1:21" s="3" customFormat="1" ht="12.75" x14ac:dyDescent="0.2">
      <c r="B80" s="56"/>
      <c r="E80" s="180">
        <v>42125</v>
      </c>
      <c r="F80" s="180" t="s">
        <v>370</v>
      </c>
      <c r="G80" s="181" t="s">
        <v>88</v>
      </c>
      <c r="H80" s="449">
        <v>9.1666666666666665E-4</v>
      </c>
      <c r="I80" s="182">
        <f>(SUM('1.  LRAMVA Summary'!C$22:C$33)+SUM('1.  LRAMVA Summary'!C$34:C$35)*(MONTH($E80)-1)/12)*$H80</f>
        <v>1.7663628470030022</v>
      </c>
      <c r="J80" s="182">
        <f>(SUM('1.  LRAMVA Summary'!D$22:D$33)+SUM('1.  LRAMVA Summary'!D$34:D$35)*(MONTH($E80)-1)/12)*$H80</f>
        <v>35.508957571107445</v>
      </c>
      <c r="K80" s="627">
        <f>(SUM('1.  LRAMVA Summary'!E$22:E$33)+SUM('1.  LRAMVA Summary'!E$34:E$35)*(MONTH($E80)-1)/12)*$H80</f>
        <v>0</v>
      </c>
      <c r="L80" s="627">
        <f>(SUM('1.  LRAMVA Summary'!F$22:F$33)+SUM('1.  LRAMVA Summary'!F$34:F$35)*(MONTH($E80)-1)/12)*$H80</f>
        <v>0</v>
      </c>
      <c r="M80" s="627">
        <f>(SUM('1.  LRAMVA Summary'!G$22:G$33)+SUM('1.  LRAMVA Summary'!G$34:G$35)*(MONTH($E80)-1)/12)*$H80</f>
        <v>0</v>
      </c>
      <c r="N80" s="182">
        <f>(SUM('1.  LRAMVA Summary'!H$22:H$33)+SUM('1.  LRAMVA Summary'!H$34:H$35)*(MONTH($E80)-1)/12)*$H80</f>
        <v>-1.688456670186304</v>
      </c>
      <c r="O80" s="182">
        <f>(SUM('1.  LRAMVA Summary'!I$22:I$33)+SUM('1.  LRAMVA Summary'!I$34:I$35)*(MONTH($E80)-1)/12)*$H80</f>
        <v>-3.8653284931216468E-2</v>
      </c>
      <c r="P80" s="182">
        <f>(SUM('1.  LRAMVA Summary'!J$22:J$33)+SUM('1.  LRAMVA Summary'!J$34:J$35)*(MONTH($E80)-1)/12)*$H80</f>
        <v>6.4656693876619791</v>
      </c>
      <c r="Q80" s="183">
        <f t="shared" ref="Q80:Q87" si="31">SUM(I80:P80)</f>
        <v>42.013879850654902</v>
      </c>
    </row>
    <row r="81" spans="2:17" s="3" customFormat="1" ht="12.75" x14ac:dyDescent="0.2">
      <c r="B81" s="56"/>
      <c r="E81" s="180">
        <v>42156</v>
      </c>
      <c r="F81" s="180" t="s">
        <v>370</v>
      </c>
      <c r="G81" s="181" t="s">
        <v>88</v>
      </c>
      <c r="H81" s="449">
        <v>9.1666666666666665E-4</v>
      </c>
      <c r="I81" s="182">
        <f>(SUM('1.  LRAMVA Summary'!C$22:C$33)+SUM('1.  LRAMVA Summary'!C$34:C$35)*(MONTH($E81)-1)/12)*$H81</f>
        <v>1.7352285174048421</v>
      </c>
      <c r="J81" s="182">
        <f>(SUM('1.  LRAMVA Summary'!D$22:D$33)+SUM('1.  LRAMVA Summary'!D$34:D$35)*(MONTH($E81)-1)/12)*$H81</f>
        <v>36.791035839111714</v>
      </c>
      <c r="K81" s="627">
        <f>(SUM('1.  LRAMVA Summary'!E$22:E$33)+SUM('1.  LRAMVA Summary'!E$34:E$35)*(MONTH($E81)-1)/12)*$H81</f>
        <v>0</v>
      </c>
      <c r="L81" s="627">
        <f>(SUM('1.  LRAMVA Summary'!F$22:F$33)+SUM('1.  LRAMVA Summary'!F$34:F$35)*(MONTH($E81)-1)/12)*$H81</f>
        <v>0</v>
      </c>
      <c r="M81" s="627">
        <f>(SUM('1.  LRAMVA Summary'!G$22:G$33)+SUM('1.  LRAMVA Summary'!G$34:G$35)*(MONTH($E81)-1)/12)*$H81</f>
        <v>0</v>
      </c>
      <c r="N81" s="182">
        <f>(SUM('1.  LRAMVA Summary'!H$22:H$33)+SUM('1.  LRAMVA Summary'!H$34:H$35)*(MONTH($E81)-1)/12)*$H81</f>
        <v>-1.8041684829985896</v>
      </c>
      <c r="O81" s="182">
        <f>(SUM('1.  LRAMVA Summary'!I$22:I$33)+SUM('1.  LRAMVA Summary'!I$34:I$35)*(MONTH($E81)-1)/12)*$H81</f>
        <v>-4.0359128252623201E-2</v>
      </c>
      <c r="P81" s="182">
        <f>(SUM('1.  LRAMVA Summary'!J$22:J$33)+SUM('1.  LRAMVA Summary'!J$34:J$35)*(MONTH($E81)-1)/12)*$H81</f>
        <v>6.8913510956042652</v>
      </c>
      <c r="Q81" s="183">
        <f t="shared" si="31"/>
        <v>43.573087840869604</v>
      </c>
    </row>
    <row r="82" spans="2:17" s="3" customFormat="1" ht="12.75" x14ac:dyDescent="0.2">
      <c r="B82" s="56"/>
      <c r="E82" s="180">
        <v>42186</v>
      </c>
      <c r="F82" s="180" t="s">
        <v>370</v>
      </c>
      <c r="G82" s="181" t="s">
        <v>90</v>
      </c>
      <c r="H82" s="449">
        <f>$C$34/12</f>
        <v>9.1666666666666665E-4</v>
      </c>
      <c r="I82" s="182">
        <f>(SUM('1.  LRAMVA Summary'!C$22:C$33)+SUM('1.  LRAMVA Summary'!C$34:C$35)*(MONTH($E82)-1)/12)*$H82</f>
        <v>1.704094187806682</v>
      </c>
      <c r="J82" s="182">
        <f>(SUM('1.  LRAMVA Summary'!D$22:D$33)+SUM('1.  LRAMVA Summary'!D$34:D$35)*(MONTH($E82)-1)/12)*$H82</f>
        <v>38.073114107115991</v>
      </c>
      <c r="K82" s="627">
        <f>(SUM('1.  LRAMVA Summary'!E$22:E$33)+SUM('1.  LRAMVA Summary'!E$34:E$35)*(MONTH($E82)-1)/12)*$H82</f>
        <v>0</v>
      </c>
      <c r="L82" s="627">
        <f>(SUM('1.  LRAMVA Summary'!F$22:F$33)+SUM('1.  LRAMVA Summary'!F$34:F$35)*(MONTH($E82)-1)/12)*$H82</f>
        <v>0</v>
      </c>
      <c r="M82" s="627">
        <f>(SUM('1.  LRAMVA Summary'!G$22:G$33)+SUM('1.  LRAMVA Summary'!G$34:G$35)*(MONTH($E82)-1)/12)*$H82</f>
        <v>0</v>
      </c>
      <c r="N82" s="182">
        <f>(SUM('1.  LRAMVA Summary'!H$22:H$33)+SUM('1.  LRAMVA Summary'!H$34:H$35)*(MONTH($E82)-1)/12)*$H82</f>
        <v>-1.9198802958108752</v>
      </c>
      <c r="O82" s="182">
        <f>(SUM('1.  LRAMVA Summary'!I$22:I$33)+SUM('1.  LRAMVA Summary'!I$34:I$35)*(MONTH($E82)-1)/12)*$H82</f>
        <v>-4.2064971574029948E-2</v>
      </c>
      <c r="P82" s="182">
        <f>(SUM('1.  LRAMVA Summary'!J$22:J$33)+SUM('1.  LRAMVA Summary'!J$34:J$35)*(MONTH($E82)-1)/12)*$H82</f>
        <v>7.3170328035465495</v>
      </c>
      <c r="Q82" s="183">
        <f t="shared" si="31"/>
        <v>45.132295831084321</v>
      </c>
    </row>
    <row r="83" spans="2:17" s="3" customFormat="1" ht="12.75" x14ac:dyDescent="0.2">
      <c r="B83" s="56"/>
      <c r="E83" s="180">
        <v>42217</v>
      </c>
      <c r="F83" s="180" t="s">
        <v>370</v>
      </c>
      <c r="G83" s="181" t="s">
        <v>90</v>
      </c>
      <c r="H83" s="449">
        <f t="shared" ref="H83:H84" si="32">$C$34/12</f>
        <v>9.1666666666666665E-4</v>
      </c>
      <c r="I83" s="182">
        <f>(SUM('1.  LRAMVA Summary'!C$22:C$33)+SUM('1.  LRAMVA Summary'!C$34:C$35)*(MONTH($E83)-1)/12)*$H83</f>
        <v>1.6729598582085221</v>
      </c>
      <c r="J83" s="182">
        <f>(SUM('1.  LRAMVA Summary'!D$22:D$33)+SUM('1.  LRAMVA Summary'!D$34:D$35)*(MONTH($E83)-1)/12)*$H83</f>
        <v>39.355192375120261</v>
      </c>
      <c r="K83" s="627">
        <f>(SUM('1.  LRAMVA Summary'!E$22:E$33)+SUM('1.  LRAMVA Summary'!E$34:E$35)*(MONTH($E83)-1)/12)*$H83</f>
        <v>0</v>
      </c>
      <c r="L83" s="627">
        <f>(SUM('1.  LRAMVA Summary'!F$22:F$33)+SUM('1.  LRAMVA Summary'!F$34:F$35)*(MONTH($E83)-1)/12)*$H83</f>
        <v>0</v>
      </c>
      <c r="M83" s="627">
        <f>(SUM('1.  LRAMVA Summary'!G$22:G$33)+SUM('1.  LRAMVA Summary'!G$34:G$35)*(MONTH($E83)-1)/12)*$H83</f>
        <v>0</v>
      </c>
      <c r="N83" s="182">
        <f>(SUM('1.  LRAMVA Summary'!H$22:H$33)+SUM('1.  LRAMVA Summary'!H$34:H$35)*(MONTH($E83)-1)/12)*$H83</f>
        <v>-2.0355921086231605</v>
      </c>
      <c r="O83" s="182">
        <f>(SUM('1.  LRAMVA Summary'!I$22:I$33)+SUM('1.  LRAMVA Summary'!I$34:I$35)*(MONTH($E83)-1)/12)*$H83</f>
        <v>-4.3770814895436681E-2</v>
      </c>
      <c r="P83" s="182">
        <f>(SUM('1.  LRAMVA Summary'!J$22:J$33)+SUM('1.  LRAMVA Summary'!J$34:J$35)*(MONTH($E83)-1)/12)*$H83</f>
        <v>7.7427145114888338</v>
      </c>
      <c r="Q83" s="183">
        <f t="shared" si="31"/>
        <v>46.691503821299015</v>
      </c>
    </row>
    <row r="84" spans="2:17" s="3" customFormat="1" ht="12.75" x14ac:dyDescent="0.2">
      <c r="B84" s="56"/>
      <c r="E84" s="180">
        <v>42248</v>
      </c>
      <c r="F84" s="180" t="s">
        <v>370</v>
      </c>
      <c r="G84" s="181" t="s">
        <v>90</v>
      </c>
      <c r="H84" s="449">
        <f t="shared" si="32"/>
        <v>9.1666666666666665E-4</v>
      </c>
      <c r="I84" s="182">
        <f>(SUM('1.  LRAMVA Summary'!C$22:C$33)+SUM('1.  LRAMVA Summary'!C$34:C$35)*(MONTH($E84)-1)/12)*$H84</f>
        <v>1.6418255286103618</v>
      </c>
      <c r="J84" s="182">
        <f>(SUM('1.  LRAMVA Summary'!D$22:D$33)+SUM('1.  LRAMVA Summary'!D$34:D$35)*(MONTH($E84)-1)/12)*$H84</f>
        <v>40.637270643124531</v>
      </c>
      <c r="K84" s="627">
        <f>(SUM('1.  LRAMVA Summary'!E$22:E$33)+SUM('1.  LRAMVA Summary'!E$34:E$35)*(MONTH($E84)-1)/12)*$H84</f>
        <v>0</v>
      </c>
      <c r="L84" s="627">
        <f>(SUM('1.  LRAMVA Summary'!F$22:F$33)+SUM('1.  LRAMVA Summary'!F$34:F$35)*(MONTH($E84)-1)/12)*$H84</f>
        <v>0</v>
      </c>
      <c r="M84" s="627">
        <f>(SUM('1.  LRAMVA Summary'!G$22:G$33)+SUM('1.  LRAMVA Summary'!G$34:G$35)*(MONTH($E84)-1)/12)*$H84</f>
        <v>0</v>
      </c>
      <c r="N84" s="182">
        <f>(SUM('1.  LRAMVA Summary'!H$22:H$33)+SUM('1.  LRAMVA Summary'!H$34:H$35)*(MONTH($E84)-1)/12)*$H84</f>
        <v>-2.1513039214354457</v>
      </c>
      <c r="O84" s="182">
        <f>(SUM('1.  LRAMVA Summary'!I$22:I$33)+SUM('1.  LRAMVA Summary'!I$34:I$35)*(MONTH($E84)-1)/12)*$H84</f>
        <v>-4.5476658216843421E-2</v>
      </c>
      <c r="P84" s="182">
        <f>(SUM('1.  LRAMVA Summary'!J$22:J$33)+SUM('1.  LRAMVA Summary'!J$34:J$35)*(MONTH($E84)-1)/12)*$H84</f>
        <v>8.1683962194311182</v>
      </c>
      <c r="Q84" s="183">
        <f t="shared" si="31"/>
        <v>48.250711811513725</v>
      </c>
    </row>
    <row r="85" spans="2:17" s="3" customFormat="1" ht="12.75" x14ac:dyDescent="0.2">
      <c r="B85" s="56"/>
      <c r="E85" s="180">
        <v>42278</v>
      </c>
      <c r="F85" s="180" t="s">
        <v>370</v>
      </c>
      <c r="G85" s="181" t="s">
        <v>91</v>
      </c>
      <c r="H85" s="449">
        <f>$C$35/12</f>
        <v>9.1666666666666665E-4</v>
      </c>
      <c r="I85" s="182">
        <f>(SUM('1.  LRAMVA Summary'!C$22:C$33)+SUM('1.  LRAMVA Summary'!C$34:C$35)*(MONTH($E85)-1)/12)*$H85</f>
        <v>1.6106911990122019</v>
      </c>
      <c r="J85" s="182">
        <f>(SUM('1.  LRAMVA Summary'!D$22:D$33)+SUM('1.  LRAMVA Summary'!D$34:D$35)*(MONTH($E85)-1)/12)*$H85</f>
        <v>41.919348911128807</v>
      </c>
      <c r="K85" s="627">
        <f>(SUM('1.  LRAMVA Summary'!E$22:E$33)+SUM('1.  LRAMVA Summary'!E$34:E$35)*(MONTH($E85)-1)/12)*$H85</f>
        <v>0</v>
      </c>
      <c r="L85" s="627">
        <f>(SUM('1.  LRAMVA Summary'!F$22:F$33)+SUM('1.  LRAMVA Summary'!F$34:F$35)*(MONTH($E85)-1)/12)*$H85</f>
        <v>0</v>
      </c>
      <c r="M85" s="627">
        <f>(SUM('1.  LRAMVA Summary'!G$22:G$33)+SUM('1.  LRAMVA Summary'!G$34:G$35)*(MONTH($E85)-1)/12)*$H85</f>
        <v>0</v>
      </c>
      <c r="N85" s="182">
        <f>(SUM('1.  LRAMVA Summary'!H$22:H$33)+SUM('1.  LRAMVA Summary'!H$34:H$35)*(MONTH($E85)-1)/12)*$H85</f>
        <v>-2.2670157342477317</v>
      </c>
      <c r="O85" s="182">
        <f>(SUM('1.  LRAMVA Summary'!I$22:I$33)+SUM('1.  LRAMVA Summary'!I$34:I$35)*(MONTH($E85)-1)/12)*$H85</f>
        <v>-4.7182501538250168E-2</v>
      </c>
      <c r="P85" s="182">
        <f>(SUM('1.  LRAMVA Summary'!J$22:J$33)+SUM('1.  LRAMVA Summary'!J$34:J$35)*(MONTH($E85)-1)/12)*$H85</f>
        <v>8.5940779273734034</v>
      </c>
      <c r="Q85" s="183">
        <f t="shared" si="31"/>
        <v>49.809919801728434</v>
      </c>
    </row>
    <row r="86" spans="2:17" s="3" customFormat="1" ht="12.75" x14ac:dyDescent="0.2">
      <c r="B86" s="56"/>
      <c r="E86" s="180">
        <v>42309</v>
      </c>
      <c r="F86" s="180" t="s">
        <v>370</v>
      </c>
      <c r="G86" s="181" t="s">
        <v>91</v>
      </c>
      <c r="H86" s="449">
        <f t="shared" ref="H86:H87" si="33">$C$35/12</f>
        <v>9.1666666666666665E-4</v>
      </c>
      <c r="I86" s="182">
        <f>(SUM('1.  LRAMVA Summary'!C$22:C$33)+SUM('1.  LRAMVA Summary'!C$34:C$35)*(MONTH($E86)-1)/12)*$H86</f>
        <v>1.5795568694140418</v>
      </c>
      <c r="J86" s="182">
        <f>(SUM('1.  LRAMVA Summary'!D$22:D$33)+SUM('1.  LRAMVA Summary'!D$34:D$35)*(MONTH($E86)-1)/12)*$H86</f>
        <v>43.201427179133084</v>
      </c>
      <c r="K86" s="627">
        <f>(SUM('1.  LRAMVA Summary'!E$22:E$33)+SUM('1.  LRAMVA Summary'!E$34:E$35)*(MONTH($E86)-1)/12)*$H86</f>
        <v>0</v>
      </c>
      <c r="L86" s="627">
        <f>(SUM('1.  LRAMVA Summary'!F$22:F$33)+SUM('1.  LRAMVA Summary'!F$34:F$35)*(MONTH($E86)-1)/12)*$H86</f>
        <v>0</v>
      </c>
      <c r="M86" s="627">
        <f>(SUM('1.  LRAMVA Summary'!G$22:G$33)+SUM('1.  LRAMVA Summary'!G$34:G$35)*(MONTH($E86)-1)/12)*$H86</f>
        <v>0</v>
      </c>
      <c r="N86" s="182">
        <f>(SUM('1.  LRAMVA Summary'!H$22:H$33)+SUM('1.  LRAMVA Summary'!H$34:H$35)*(MONTH($E86)-1)/12)*$H86</f>
        <v>-2.3827275470600169</v>
      </c>
      <c r="O86" s="182">
        <f>(SUM('1.  LRAMVA Summary'!I$22:I$33)+SUM('1.  LRAMVA Summary'!I$34:I$35)*(MONTH($E86)-1)/12)*$H86</f>
        <v>-4.8888344859656908E-2</v>
      </c>
      <c r="P86" s="182">
        <f>(SUM('1.  LRAMVA Summary'!J$22:J$33)+SUM('1.  LRAMVA Summary'!J$34:J$35)*(MONTH($E86)-1)/12)*$H86</f>
        <v>9.0197596353156886</v>
      </c>
      <c r="Q86" s="183">
        <f t="shared" si="31"/>
        <v>51.369127791943143</v>
      </c>
    </row>
    <row r="87" spans="2:17" s="3" customFormat="1" ht="12.75" x14ac:dyDescent="0.2">
      <c r="B87" s="56"/>
      <c r="E87" s="180">
        <v>42339</v>
      </c>
      <c r="F87" s="180" t="s">
        <v>370</v>
      </c>
      <c r="G87" s="181" t="s">
        <v>91</v>
      </c>
      <c r="H87" s="449">
        <f t="shared" si="33"/>
        <v>9.1666666666666665E-4</v>
      </c>
      <c r="I87" s="182">
        <f>(SUM('1.  LRAMVA Summary'!C$22:C$33)+SUM('1.  LRAMVA Summary'!C$34:C$35)*(MONTH($E87)-1)/12)*$H87</f>
        <v>1.5484225398158817</v>
      </c>
      <c r="J87" s="182">
        <f>(SUM('1.  LRAMVA Summary'!D$22:D$33)+SUM('1.  LRAMVA Summary'!D$34:D$35)*(MONTH($E87)-1)/12)*$H87</f>
        <v>44.483505447137354</v>
      </c>
      <c r="K87" s="627">
        <f>(SUM('1.  LRAMVA Summary'!E$22:E$33)+SUM('1.  LRAMVA Summary'!E$34:E$35)*(MONTH($E87)-1)/12)*$H87</f>
        <v>0</v>
      </c>
      <c r="L87" s="627">
        <f>(SUM('1.  LRAMVA Summary'!F$22:F$33)+SUM('1.  LRAMVA Summary'!F$34:F$35)*(MONTH($E87)-1)/12)*$H87</f>
        <v>0</v>
      </c>
      <c r="M87" s="627">
        <f>(SUM('1.  LRAMVA Summary'!G$22:G$33)+SUM('1.  LRAMVA Summary'!G$34:G$35)*(MONTH($E87)-1)/12)*$H87</f>
        <v>0</v>
      </c>
      <c r="N87" s="182">
        <f>(SUM('1.  LRAMVA Summary'!H$22:H$33)+SUM('1.  LRAMVA Summary'!H$34:H$35)*(MONTH($E87)-1)/12)*$H87</f>
        <v>-2.4984393598723025</v>
      </c>
      <c r="O87" s="182">
        <f>(SUM('1.  LRAMVA Summary'!I$22:I$33)+SUM('1.  LRAMVA Summary'!I$34:I$35)*(MONTH($E87)-1)/12)*$H87</f>
        <v>-5.0594188181063648E-2</v>
      </c>
      <c r="P87" s="182">
        <f>(SUM('1.  LRAMVA Summary'!J$22:J$33)+SUM('1.  LRAMVA Summary'!J$34:J$35)*(MONTH($E87)-1)/12)*$H87</f>
        <v>9.445441343257972</v>
      </c>
      <c r="Q87" s="183">
        <f t="shared" si="31"/>
        <v>52.928335782157845</v>
      </c>
    </row>
    <row r="88" spans="2:17" s="3" customFormat="1" ht="13.5" thickBot="1" x14ac:dyDescent="0.25">
      <c r="B88" s="56"/>
      <c r="E88" s="192" t="s">
        <v>396</v>
      </c>
      <c r="F88" s="192"/>
      <c r="G88" s="193"/>
      <c r="H88" s="446"/>
      <c r="I88" s="194">
        <f>SUM(I75:I87)</f>
        <v>226.88517740165815</v>
      </c>
      <c r="J88" s="194">
        <f>SUM(J75:J87)</f>
        <v>1271.3316416332045</v>
      </c>
      <c r="K88" s="628">
        <f t="shared" ref="K88:P88" si="34">SUM(K75:K87)</f>
        <v>0</v>
      </c>
      <c r="L88" s="628">
        <f t="shared" si="34"/>
        <v>0</v>
      </c>
      <c r="M88" s="628">
        <f t="shared" si="34"/>
        <v>0</v>
      </c>
      <c r="N88" s="194">
        <f t="shared" si="34"/>
        <v>-43.216851887992924</v>
      </c>
      <c r="O88" s="194">
        <f t="shared" si="34"/>
        <v>-0.76233507502169795</v>
      </c>
      <c r="P88" s="194">
        <f t="shared" si="34"/>
        <v>266.01416961763749</v>
      </c>
      <c r="Q88" s="194">
        <f>SUM(Q75:Q87)</f>
        <v>1720.2518016894853</v>
      </c>
    </row>
    <row r="89" spans="2:17" s="3" customFormat="1" ht="13.5" thickTop="1" x14ac:dyDescent="0.2">
      <c r="B89" s="56"/>
      <c r="E89" s="221" t="s">
        <v>89</v>
      </c>
      <c r="F89" s="221"/>
      <c r="G89" s="222"/>
      <c r="H89" s="447"/>
      <c r="I89" s="223"/>
      <c r="J89" s="223"/>
      <c r="K89" s="629"/>
      <c r="L89" s="629"/>
      <c r="M89" s="629"/>
      <c r="N89" s="223"/>
      <c r="O89" s="223"/>
      <c r="P89" s="223"/>
      <c r="Q89" s="224"/>
    </row>
    <row r="90" spans="2:17" s="3" customFormat="1" ht="12.75" hidden="1" x14ac:dyDescent="0.2">
      <c r="B90" s="56"/>
      <c r="E90" s="189" t="s">
        <v>391</v>
      </c>
      <c r="F90" s="189"/>
      <c r="G90" s="190"/>
      <c r="H90" s="448"/>
      <c r="I90" s="191">
        <f>I88+I89</f>
        <v>226.88517740165815</v>
      </c>
      <c r="J90" s="191">
        <f t="shared" ref="J90" si="35">J88+J89</f>
        <v>1271.3316416332045</v>
      </c>
      <c r="K90" s="191">
        <f t="shared" ref="K90" si="36">K88+K89</f>
        <v>0</v>
      </c>
      <c r="L90" s="191">
        <f t="shared" ref="L90" si="37">L88+L89</f>
        <v>0</v>
      </c>
      <c r="M90" s="191">
        <f t="shared" ref="M90" si="38">M88+M89</f>
        <v>0</v>
      </c>
      <c r="N90" s="191">
        <f t="shared" ref="N90" si="39">N88+N89</f>
        <v>-43.216851887992924</v>
      </c>
      <c r="O90" s="191">
        <f t="shared" ref="O90" si="40">O88+O89</f>
        <v>-0.76233507502169795</v>
      </c>
      <c r="P90" s="191">
        <f t="shared" ref="P90" si="41">P88+P89</f>
        <v>266.01416961763749</v>
      </c>
      <c r="Q90" s="191">
        <f t="shared" ref="Q90" si="42">Q88+Q89</f>
        <v>1720.2518016894853</v>
      </c>
    </row>
    <row r="91" spans="2:17" s="3" customFormat="1" ht="12.75" hidden="1" x14ac:dyDescent="0.2">
      <c r="B91" s="56"/>
      <c r="E91" s="180">
        <v>42370</v>
      </c>
      <c r="F91" s="180" t="s">
        <v>375</v>
      </c>
      <c r="G91" s="181" t="s">
        <v>87</v>
      </c>
      <c r="H91" s="449">
        <f>$C$36/12</f>
        <v>9.1666666666666665E-4</v>
      </c>
      <c r="I91" s="182" t="e">
        <f>(SUM('1.  LRAMVA Summary'!C$22:C$36)+SUM('1.  LRAMVA Summary'!#REF!)*(MONTH($E91)-1)/12)*$H91</f>
        <v>#REF!</v>
      </c>
      <c r="J91" s="182" t="e">
        <f>(SUM('1.  LRAMVA Summary'!D$22:D$36)+SUM('1.  LRAMVA Summary'!#REF!)*(MONTH($E91)-1)/12)*$H91</f>
        <v>#REF!</v>
      </c>
      <c r="K91" s="182" t="e">
        <f>(SUM('1.  LRAMVA Summary'!E$22:E$36)+SUM('1.  LRAMVA Summary'!#REF!)*(MONTH($E91)-1)/12)*$H91</f>
        <v>#REF!</v>
      </c>
      <c r="L91" s="182" t="e">
        <f>(SUM('1.  LRAMVA Summary'!F$22:F$36)+SUM('1.  LRAMVA Summary'!#REF!)*(MONTH($E91)-1)/12)*$H91</f>
        <v>#REF!</v>
      </c>
      <c r="M91" s="182" t="e">
        <f>(SUM('1.  LRAMVA Summary'!G$22:G$36)+SUM('1.  LRAMVA Summary'!#REF!)*(MONTH($E91)-1)/12)*$H91</f>
        <v>#REF!</v>
      </c>
      <c r="N91" s="182" t="e">
        <f>(SUM('1.  LRAMVA Summary'!H$22:H$36)+SUM('1.  LRAMVA Summary'!#REF!)*(MONTH($E91)-1)/12)*$H91</f>
        <v>#REF!</v>
      </c>
      <c r="O91" s="182" t="e">
        <f>(SUM('1.  LRAMVA Summary'!I$22:I$36)+SUM('1.  LRAMVA Summary'!#REF!)*(MONTH($E91)-1)/12)*$H91</f>
        <v>#REF!</v>
      </c>
      <c r="P91" s="182"/>
      <c r="Q91" s="183" t="e">
        <f>SUM(I91:P91)</f>
        <v>#REF!</v>
      </c>
    </row>
    <row r="92" spans="2:17" s="3" customFormat="1" ht="12.75" hidden="1" x14ac:dyDescent="0.2">
      <c r="B92" s="56"/>
      <c r="E92" s="180">
        <v>42401</v>
      </c>
      <c r="F92" s="180" t="s">
        <v>375</v>
      </c>
      <c r="G92" s="181" t="s">
        <v>87</v>
      </c>
      <c r="H92" s="449">
        <f t="shared" ref="H92:H93" si="43">$C$36/12</f>
        <v>9.1666666666666665E-4</v>
      </c>
      <c r="I92" s="182" t="e">
        <f>(SUM('1.  LRAMVA Summary'!C$22:C$36)+SUM('1.  LRAMVA Summary'!#REF!)*(MONTH($E92)-1)/12)*$H92</f>
        <v>#REF!</v>
      </c>
      <c r="J92" s="182" t="e">
        <f>(SUM('1.  LRAMVA Summary'!D$22:D$36)+SUM('1.  LRAMVA Summary'!#REF!)*(MONTH($E92)-1)/12)*$H92</f>
        <v>#REF!</v>
      </c>
      <c r="K92" s="182" t="e">
        <f>(SUM('1.  LRAMVA Summary'!E$22:E$36)+SUM('1.  LRAMVA Summary'!#REF!)*(MONTH($E92)-1)/12)*$H92</f>
        <v>#REF!</v>
      </c>
      <c r="L92" s="182" t="e">
        <f>(SUM('1.  LRAMVA Summary'!F$22:F$36)+SUM('1.  LRAMVA Summary'!#REF!)*(MONTH($E92)-1)/12)*$H92</f>
        <v>#REF!</v>
      </c>
      <c r="M92" s="182" t="e">
        <f>(SUM('1.  LRAMVA Summary'!G$22:G$36)+SUM('1.  LRAMVA Summary'!#REF!)*(MONTH($E92)-1)/12)*$H92</f>
        <v>#REF!</v>
      </c>
      <c r="N92" s="182" t="e">
        <f>(SUM('1.  LRAMVA Summary'!H$22:H$36)+SUM('1.  LRAMVA Summary'!#REF!)*(MONTH($E92)-1)/12)*$H92</f>
        <v>#REF!</v>
      </c>
      <c r="O92" s="182" t="e">
        <f>(SUM('1.  LRAMVA Summary'!I$22:I$36)+SUM('1.  LRAMVA Summary'!#REF!)*(MONTH($E92)-1)/12)*$H92</f>
        <v>#REF!</v>
      </c>
      <c r="P92" s="182"/>
      <c r="Q92" s="183" t="e">
        <f t="shared" ref="Q92:Q102" si="44">SUM(I92:P92)</f>
        <v>#REF!</v>
      </c>
    </row>
    <row r="93" spans="2:17" s="3" customFormat="1" ht="14.25" hidden="1" customHeight="1" x14ac:dyDescent="0.2">
      <c r="B93" s="56"/>
      <c r="E93" s="180">
        <v>42430</v>
      </c>
      <c r="F93" s="180" t="s">
        <v>375</v>
      </c>
      <c r="G93" s="181" t="s">
        <v>87</v>
      </c>
      <c r="H93" s="449">
        <f t="shared" si="43"/>
        <v>9.1666666666666665E-4</v>
      </c>
      <c r="I93" s="182" t="e">
        <f>(SUM('1.  LRAMVA Summary'!C$22:C$36)+SUM('1.  LRAMVA Summary'!#REF!)*(MONTH($E93)-1)/12)*$H93</f>
        <v>#REF!</v>
      </c>
      <c r="J93" s="182" t="e">
        <f>(SUM('1.  LRAMVA Summary'!D$22:D$36)+SUM('1.  LRAMVA Summary'!#REF!)*(MONTH($E93)-1)/12)*$H93</f>
        <v>#REF!</v>
      </c>
      <c r="K93" s="182" t="e">
        <f>(SUM('1.  LRAMVA Summary'!E$22:E$36)+SUM('1.  LRAMVA Summary'!#REF!)*(MONTH($E93)-1)/12)*$H93</f>
        <v>#REF!</v>
      </c>
      <c r="L93" s="182" t="e">
        <f>(SUM('1.  LRAMVA Summary'!F$22:F$36)+SUM('1.  LRAMVA Summary'!#REF!)*(MONTH($E93)-1)/12)*$H93</f>
        <v>#REF!</v>
      </c>
      <c r="M93" s="182" t="e">
        <f>(SUM('1.  LRAMVA Summary'!G$22:G$36)+SUM('1.  LRAMVA Summary'!#REF!)*(MONTH($E93)-1)/12)*$H93</f>
        <v>#REF!</v>
      </c>
      <c r="N93" s="182" t="e">
        <f>(SUM('1.  LRAMVA Summary'!H$22:H$36)+SUM('1.  LRAMVA Summary'!#REF!)*(MONTH($E93)-1)/12)*$H93</f>
        <v>#REF!</v>
      </c>
      <c r="O93" s="182" t="e">
        <f>(SUM('1.  LRAMVA Summary'!I$22:I$36)+SUM('1.  LRAMVA Summary'!#REF!)*(MONTH($E93)-1)/12)*$H93</f>
        <v>#REF!</v>
      </c>
      <c r="P93" s="182"/>
      <c r="Q93" s="183" t="e">
        <f t="shared" si="44"/>
        <v>#REF!</v>
      </c>
    </row>
    <row r="94" spans="2:17" s="16" customFormat="1" ht="12.75" hidden="1" x14ac:dyDescent="0.2">
      <c r="B94" s="213"/>
      <c r="D94" s="3"/>
      <c r="E94" s="180">
        <v>42461</v>
      </c>
      <c r="F94" s="180" t="s">
        <v>375</v>
      </c>
      <c r="G94" s="181" t="s">
        <v>88</v>
      </c>
      <c r="H94" s="449">
        <f>$C$37/12</f>
        <v>9.1666666666666665E-4</v>
      </c>
      <c r="I94" s="182" t="e">
        <f>(SUM('1.  LRAMVA Summary'!C$22:C$36)+SUM('1.  LRAMVA Summary'!#REF!)*(MONTH($E94)-1)/12)*$H94</f>
        <v>#REF!</v>
      </c>
      <c r="J94" s="182" t="e">
        <f>(SUM('1.  LRAMVA Summary'!D$22:D$36)+SUM('1.  LRAMVA Summary'!#REF!)*(MONTH($E94)-1)/12)*$H94</f>
        <v>#REF!</v>
      </c>
      <c r="K94" s="182" t="e">
        <f>(SUM('1.  LRAMVA Summary'!E$22:E$36)+SUM('1.  LRAMVA Summary'!#REF!)*(MONTH($E94)-1)/12)*$H94</f>
        <v>#REF!</v>
      </c>
      <c r="L94" s="182" t="e">
        <f>(SUM('1.  LRAMVA Summary'!F$22:F$36)+SUM('1.  LRAMVA Summary'!#REF!)*(MONTH($E94)-1)/12)*$H94</f>
        <v>#REF!</v>
      </c>
      <c r="M94" s="182" t="e">
        <f>(SUM('1.  LRAMVA Summary'!G$22:G$36)+SUM('1.  LRAMVA Summary'!#REF!)*(MONTH($E94)-1)/12)*$H94</f>
        <v>#REF!</v>
      </c>
      <c r="N94" s="182" t="e">
        <f>(SUM('1.  LRAMVA Summary'!H$22:H$36)+SUM('1.  LRAMVA Summary'!#REF!)*(MONTH($E94)-1)/12)*$H94</f>
        <v>#REF!</v>
      </c>
      <c r="O94" s="182" t="e">
        <f>(SUM('1.  LRAMVA Summary'!I$22:I$36)+SUM('1.  LRAMVA Summary'!#REF!)*(MONTH($E94)-1)/12)*$H94</f>
        <v>#REF!</v>
      </c>
      <c r="P94" s="182"/>
      <c r="Q94" s="183" t="e">
        <f t="shared" si="44"/>
        <v>#REF!</v>
      </c>
    </row>
    <row r="95" spans="2:17" s="3" customFormat="1" ht="12.75" hidden="1" x14ac:dyDescent="0.2">
      <c r="B95" s="56"/>
      <c r="E95" s="180">
        <v>42491</v>
      </c>
      <c r="F95" s="180" t="s">
        <v>375</v>
      </c>
      <c r="G95" s="181" t="s">
        <v>88</v>
      </c>
      <c r="H95" s="449">
        <f t="shared" ref="H95:H96" si="45">$C$37/12</f>
        <v>9.1666666666666665E-4</v>
      </c>
      <c r="I95" s="182" t="e">
        <f>(SUM('1.  LRAMVA Summary'!C$22:C$36)+SUM('1.  LRAMVA Summary'!#REF!)*(MONTH($E95)-1)/12)*$H95</f>
        <v>#REF!</v>
      </c>
      <c r="J95" s="182" t="e">
        <f>(SUM('1.  LRAMVA Summary'!D$22:D$36)+SUM('1.  LRAMVA Summary'!#REF!)*(MONTH($E95)-1)/12)*$H95</f>
        <v>#REF!</v>
      </c>
      <c r="K95" s="182" t="e">
        <f>(SUM('1.  LRAMVA Summary'!E$22:E$36)+SUM('1.  LRAMVA Summary'!#REF!)*(MONTH($E95)-1)/12)*$H95</f>
        <v>#REF!</v>
      </c>
      <c r="L95" s="182" t="e">
        <f>(SUM('1.  LRAMVA Summary'!F$22:F$36)+SUM('1.  LRAMVA Summary'!#REF!)*(MONTH($E95)-1)/12)*$H95</f>
        <v>#REF!</v>
      </c>
      <c r="M95" s="182" t="e">
        <f>(SUM('1.  LRAMVA Summary'!G$22:G$36)+SUM('1.  LRAMVA Summary'!#REF!)*(MONTH($E95)-1)/12)*$H95</f>
        <v>#REF!</v>
      </c>
      <c r="N95" s="182" t="e">
        <f>(SUM('1.  LRAMVA Summary'!H$22:H$36)+SUM('1.  LRAMVA Summary'!#REF!)*(MONTH($E95)-1)/12)*$H95</f>
        <v>#REF!</v>
      </c>
      <c r="O95" s="182" t="e">
        <f>(SUM('1.  LRAMVA Summary'!I$22:I$36)+SUM('1.  LRAMVA Summary'!#REF!)*(MONTH($E95)-1)/12)*$H95</f>
        <v>#REF!</v>
      </c>
      <c r="P95" s="182"/>
      <c r="Q95" s="183" t="e">
        <f t="shared" si="44"/>
        <v>#REF!</v>
      </c>
    </row>
    <row r="96" spans="2:17" s="15" customFormat="1" ht="12.75" hidden="1" x14ac:dyDescent="0.2">
      <c r="B96" s="212"/>
      <c r="D96" s="3"/>
      <c r="E96" s="180">
        <v>42522</v>
      </c>
      <c r="F96" s="180" t="s">
        <v>375</v>
      </c>
      <c r="G96" s="181" t="s">
        <v>88</v>
      </c>
      <c r="H96" s="449">
        <f t="shared" si="45"/>
        <v>9.1666666666666665E-4</v>
      </c>
      <c r="I96" s="182" t="e">
        <f>(SUM('1.  LRAMVA Summary'!C$22:C$36)+SUM('1.  LRAMVA Summary'!#REF!)*(MONTH($E96)-1)/12)*$H96</f>
        <v>#REF!</v>
      </c>
      <c r="J96" s="182" t="e">
        <f>(SUM('1.  LRAMVA Summary'!D$22:D$36)+SUM('1.  LRAMVA Summary'!#REF!)*(MONTH($E96)-1)/12)*$H96</f>
        <v>#REF!</v>
      </c>
      <c r="K96" s="182" t="e">
        <f>(SUM('1.  LRAMVA Summary'!E$22:E$36)+SUM('1.  LRAMVA Summary'!#REF!)*(MONTH($E96)-1)/12)*$H96</f>
        <v>#REF!</v>
      </c>
      <c r="L96" s="182" t="e">
        <f>(SUM('1.  LRAMVA Summary'!F$22:F$36)+SUM('1.  LRAMVA Summary'!#REF!)*(MONTH($E96)-1)/12)*$H96</f>
        <v>#REF!</v>
      </c>
      <c r="M96" s="182" t="e">
        <f>(SUM('1.  LRAMVA Summary'!G$22:G$36)+SUM('1.  LRAMVA Summary'!#REF!)*(MONTH($E96)-1)/12)*$H96</f>
        <v>#REF!</v>
      </c>
      <c r="N96" s="182" t="e">
        <f>(SUM('1.  LRAMVA Summary'!H$22:H$36)+SUM('1.  LRAMVA Summary'!#REF!)*(MONTH($E96)-1)/12)*$H96</f>
        <v>#REF!</v>
      </c>
      <c r="O96" s="182" t="e">
        <f>(SUM('1.  LRAMVA Summary'!I$22:I$36)+SUM('1.  LRAMVA Summary'!#REF!)*(MONTH($E96)-1)/12)*$H96</f>
        <v>#REF!</v>
      </c>
      <c r="P96" s="182"/>
      <c r="Q96" s="183" t="e">
        <f t="shared" si="44"/>
        <v>#REF!</v>
      </c>
    </row>
    <row r="97" spans="2:17" s="3" customFormat="1" ht="12.75" hidden="1" x14ac:dyDescent="0.2">
      <c r="B97" s="56"/>
      <c r="E97" s="180">
        <v>42552</v>
      </c>
      <c r="F97" s="180" t="s">
        <v>375</v>
      </c>
      <c r="G97" s="181" t="s">
        <v>90</v>
      </c>
      <c r="H97" s="449">
        <f>$C$38/12</f>
        <v>9.1666666666666665E-4</v>
      </c>
      <c r="I97" s="182" t="e">
        <f>(SUM('1.  LRAMVA Summary'!C$22:C$36)+SUM('1.  LRAMVA Summary'!#REF!)*(MONTH($E97)-1)/12)*$H97</f>
        <v>#REF!</v>
      </c>
      <c r="J97" s="182" t="e">
        <f>(SUM('1.  LRAMVA Summary'!D$22:D$36)+SUM('1.  LRAMVA Summary'!#REF!)*(MONTH($E97)-1)/12)*$H97</f>
        <v>#REF!</v>
      </c>
      <c r="K97" s="182" t="e">
        <f>(SUM('1.  LRAMVA Summary'!E$22:E$36)+SUM('1.  LRAMVA Summary'!#REF!)*(MONTH($E97)-1)/12)*$H97</f>
        <v>#REF!</v>
      </c>
      <c r="L97" s="182" t="e">
        <f>(SUM('1.  LRAMVA Summary'!F$22:F$36)+SUM('1.  LRAMVA Summary'!#REF!)*(MONTH($E97)-1)/12)*$H97</f>
        <v>#REF!</v>
      </c>
      <c r="M97" s="182" t="e">
        <f>(SUM('1.  LRAMVA Summary'!G$22:G$36)+SUM('1.  LRAMVA Summary'!#REF!)*(MONTH($E97)-1)/12)*$H97</f>
        <v>#REF!</v>
      </c>
      <c r="N97" s="182" t="e">
        <f>(SUM('1.  LRAMVA Summary'!H$22:H$36)+SUM('1.  LRAMVA Summary'!#REF!)*(MONTH($E97)-1)/12)*$H97</f>
        <v>#REF!</v>
      </c>
      <c r="O97" s="182" t="e">
        <f>(SUM('1.  LRAMVA Summary'!I$22:I$36)+SUM('1.  LRAMVA Summary'!#REF!)*(MONTH($E97)-1)/12)*$H97</f>
        <v>#REF!</v>
      </c>
      <c r="P97" s="182"/>
      <c r="Q97" s="183" t="e">
        <f t="shared" si="44"/>
        <v>#REF!</v>
      </c>
    </row>
    <row r="98" spans="2:17" s="3" customFormat="1" ht="12.75" hidden="1" x14ac:dyDescent="0.2">
      <c r="B98" s="56"/>
      <c r="E98" s="180">
        <v>42583</v>
      </c>
      <c r="F98" s="180" t="s">
        <v>375</v>
      </c>
      <c r="G98" s="181" t="s">
        <v>90</v>
      </c>
      <c r="H98" s="449">
        <f t="shared" ref="H98:H99" si="46">$C$38/12</f>
        <v>9.1666666666666665E-4</v>
      </c>
      <c r="I98" s="182" t="e">
        <f>(SUM('1.  LRAMVA Summary'!C$22:C$36)+SUM('1.  LRAMVA Summary'!#REF!)*(MONTH($E98)-1)/12)*$H98</f>
        <v>#REF!</v>
      </c>
      <c r="J98" s="182" t="e">
        <f>(SUM('1.  LRAMVA Summary'!D$22:D$36)+SUM('1.  LRAMVA Summary'!#REF!)*(MONTH($E98)-1)/12)*$H98</f>
        <v>#REF!</v>
      </c>
      <c r="K98" s="182" t="e">
        <f>(SUM('1.  LRAMVA Summary'!E$22:E$36)+SUM('1.  LRAMVA Summary'!#REF!)*(MONTH($E98)-1)/12)*$H98</f>
        <v>#REF!</v>
      </c>
      <c r="L98" s="182" t="e">
        <f>(SUM('1.  LRAMVA Summary'!F$22:F$36)+SUM('1.  LRAMVA Summary'!#REF!)*(MONTH($E98)-1)/12)*$H98</f>
        <v>#REF!</v>
      </c>
      <c r="M98" s="182" t="e">
        <f>(SUM('1.  LRAMVA Summary'!G$22:G$36)+SUM('1.  LRAMVA Summary'!#REF!)*(MONTH($E98)-1)/12)*$H98</f>
        <v>#REF!</v>
      </c>
      <c r="N98" s="182" t="e">
        <f>(SUM('1.  LRAMVA Summary'!H$22:H$36)+SUM('1.  LRAMVA Summary'!#REF!)*(MONTH($E98)-1)/12)*$H98</f>
        <v>#REF!</v>
      </c>
      <c r="O98" s="182" t="e">
        <f>(SUM('1.  LRAMVA Summary'!I$22:I$36)+SUM('1.  LRAMVA Summary'!#REF!)*(MONTH($E98)-1)/12)*$H98</f>
        <v>#REF!</v>
      </c>
      <c r="P98" s="182"/>
      <c r="Q98" s="183" t="e">
        <f t="shared" si="44"/>
        <v>#REF!</v>
      </c>
    </row>
    <row r="99" spans="2:17" s="3" customFormat="1" ht="12.75" hidden="1" x14ac:dyDescent="0.2">
      <c r="B99" s="56"/>
      <c r="E99" s="180">
        <v>42614</v>
      </c>
      <c r="F99" s="180" t="s">
        <v>375</v>
      </c>
      <c r="G99" s="181" t="s">
        <v>90</v>
      </c>
      <c r="H99" s="449">
        <f t="shared" si="46"/>
        <v>9.1666666666666665E-4</v>
      </c>
      <c r="I99" s="182" t="e">
        <f>(SUM('1.  LRAMVA Summary'!C$22:C$36)+SUM('1.  LRAMVA Summary'!#REF!)*(MONTH($E99)-1)/12)*$H99</f>
        <v>#REF!</v>
      </c>
      <c r="J99" s="182" t="e">
        <f>(SUM('1.  LRAMVA Summary'!D$22:D$36)+SUM('1.  LRAMVA Summary'!#REF!)*(MONTH($E99)-1)/12)*$H99</f>
        <v>#REF!</v>
      </c>
      <c r="K99" s="182" t="e">
        <f>(SUM('1.  LRAMVA Summary'!E$22:E$36)+SUM('1.  LRAMVA Summary'!#REF!)*(MONTH($E99)-1)/12)*$H99</f>
        <v>#REF!</v>
      </c>
      <c r="L99" s="182" t="e">
        <f>(SUM('1.  LRAMVA Summary'!F$22:F$36)+SUM('1.  LRAMVA Summary'!#REF!)*(MONTH($E99)-1)/12)*$H99</f>
        <v>#REF!</v>
      </c>
      <c r="M99" s="182" t="e">
        <f>(SUM('1.  LRAMVA Summary'!G$22:G$36)+SUM('1.  LRAMVA Summary'!#REF!)*(MONTH($E99)-1)/12)*$H99</f>
        <v>#REF!</v>
      </c>
      <c r="N99" s="182" t="e">
        <f>(SUM('1.  LRAMVA Summary'!H$22:H$36)+SUM('1.  LRAMVA Summary'!#REF!)*(MONTH($E99)-1)/12)*$H99</f>
        <v>#REF!</v>
      </c>
      <c r="O99" s="182" t="e">
        <f>(SUM('1.  LRAMVA Summary'!I$22:I$36)+SUM('1.  LRAMVA Summary'!#REF!)*(MONTH($E99)-1)/12)*$H99</f>
        <v>#REF!</v>
      </c>
      <c r="P99" s="182"/>
      <c r="Q99" s="183" t="e">
        <f t="shared" si="44"/>
        <v>#REF!</v>
      </c>
    </row>
    <row r="100" spans="2:17" s="3" customFormat="1" ht="12.75" hidden="1" x14ac:dyDescent="0.2">
      <c r="B100" s="56"/>
      <c r="E100" s="180">
        <v>42644</v>
      </c>
      <c r="F100" s="180" t="s">
        <v>375</v>
      </c>
      <c r="G100" s="181" t="s">
        <v>91</v>
      </c>
      <c r="H100" s="445">
        <f>$C$39/12</f>
        <v>9.1666666666666665E-4</v>
      </c>
      <c r="I100" s="182" t="e">
        <f>(SUM('1.  LRAMVA Summary'!C$22:C$36)+SUM('1.  LRAMVA Summary'!#REF!)*(MONTH($E100)-1)/12)*$H100</f>
        <v>#REF!</v>
      </c>
      <c r="J100" s="182" t="e">
        <f>(SUM('1.  LRAMVA Summary'!D$22:D$36)+SUM('1.  LRAMVA Summary'!#REF!)*(MONTH($E100)-1)/12)*$H100</f>
        <v>#REF!</v>
      </c>
      <c r="K100" s="182" t="e">
        <f>(SUM('1.  LRAMVA Summary'!E$22:E$36)+SUM('1.  LRAMVA Summary'!#REF!)*(MONTH($E100)-1)/12)*$H100</f>
        <v>#REF!</v>
      </c>
      <c r="L100" s="182" t="e">
        <f>(SUM('1.  LRAMVA Summary'!F$22:F$36)+SUM('1.  LRAMVA Summary'!#REF!)*(MONTH($E100)-1)/12)*$H100</f>
        <v>#REF!</v>
      </c>
      <c r="M100" s="182" t="e">
        <f>(SUM('1.  LRAMVA Summary'!G$22:G$36)+SUM('1.  LRAMVA Summary'!#REF!)*(MONTH($E100)-1)/12)*$H100</f>
        <v>#REF!</v>
      </c>
      <c r="N100" s="182" t="e">
        <f>(SUM('1.  LRAMVA Summary'!H$22:H$36)+SUM('1.  LRAMVA Summary'!#REF!)*(MONTH($E100)-1)/12)*$H100</f>
        <v>#REF!</v>
      </c>
      <c r="O100" s="182" t="e">
        <f>(SUM('1.  LRAMVA Summary'!I$22:I$36)+SUM('1.  LRAMVA Summary'!#REF!)*(MONTH($E100)-1)/12)*$H100</f>
        <v>#REF!</v>
      </c>
      <c r="P100" s="182"/>
      <c r="Q100" s="183" t="e">
        <f t="shared" si="44"/>
        <v>#REF!</v>
      </c>
    </row>
    <row r="101" spans="2:17" s="3" customFormat="1" ht="12.75" hidden="1" x14ac:dyDescent="0.2">
      <c r="B101" s="56"/>
      <c r="E101" s="180">
        <v>42675</v>
      </c>
      <c r="F101" s="180" t="s">
        <v>375</v>
      </c>
      <c r="G101" s="181" t="s">
        <v>91</v>
      </c>
      <c r="H101" s="445">
        <f t="shared" ref="H101:H102" si="47">$C$39/12</f>
        <v>9.1666666666666665E-4</v>
      </c>
      <c r="I101" s="182" t="e">
        <f>(SUM('1.  LRAMVA Summary'!C$22:C$36)+SUM('1.  LRAMVA Summary'!#REF!)*(MONTH($E101)-1)/12)*$H101</f>
        <v>#REF!</v>
      </c>
      <c r="J101" s="182" t="e">
        <f>(SUM('1.  LRAMVA Summary'!D$22:D$36)+SUM('1.  LRAMVA Summary'!#REF!)*(MONTH($E101)-1)/12)*$H101</f>
        <v>#REF!</v>
      </c>
      <c r="K101" s="182" t="e">
        <f>(SUM('1.  LRAMVA Summary'!E$22:E$36)+SUM('1.  LRAMVA Summary'!#REF!)*(MONTH($E101)-1)/12)*$H101</f>
        <v>#REF!</v>
      </c>
      <c r="L101" s="182" t="e">
        <f>(SUM('1.  LRAMVA Summary'!F$22:F$36)+SUM('1.  LRAMVA Summary'!#REF!)*(MONTH($E101)-1)/12)*$H101</f>
        <v>#REF!</v>
      </c>
      <c r="M101" s="182" t="e">
        <f>(SUM('1.  LRAMVA Summary'!G$22:G$36)+SUM('1.  LRAMVA Summary'!#REF!)*(MONTH($E101)-1)/12)*$H101</f>
        <v>#REF!</v>
      </c>
      <c r="N101" s="182" t="e">
        <f>(SUM('1.  LRAMVA Summary'!H$22:H$36)+SUM('1.  LRAMVA Summary'!#REF!)*(MONTH($E101)-1)/12)*$H101</f>
        <v>#REF!</v>
      </c>
      <c r="O101" s="182" t="e">
        <f>(SUM('1.  LRAMVA Summary'!I$22:I$36)+SUM('1.  LRAMVA Summary'!#REF!)*(MONTH($E101)-1)/12)*$H101</f>
        <v>#REF!</v>
      </c>
      <c r="P101" s="182"/>
      <c r="Q101" s="183" t="e">
        <f t="shared" si="44"/>
        <v>#REF!</v>
      </c>
    </row>
    <row r="102" spans="2:17" s="3" customFormat="1" ht="12.75" hidden="1" x14ac:dyDescent="0.2">
      <c r="B102" s="56"/>
      <c r="E102" s="180">
        <v>42705</v>
      </c>
      <c r="F102" s="180" t="s">
        <v>375</v>
      </c>
      <c r="G102" s="181" t="s">
        <v>91</v>
      </c>
      <c r="H102" s="445">
        <f t="shared" si="47"/>
        <v>9.1666666666666665E-4</v>
      </c>
      <c r="I102" s="182" t="e">
        <f>(SUM('1.  LRAMVA Summary'!C$22:C$36)+SUM('1.  LRAMVA Summary'!#REF!)*(MONTH($E102)-1)/12)*$H102</f>
        <v>#REF!</v>
      </c>
      <c r="J102" s="182" t="e">
        <f>(SUM('1.  LRAMVA Summary'!D$22:D$36)+SUM('1.  LRAMVA Summary'!#REF!)*(MONTH($E102)-1)/12)*$H102</f>
        <v>#REF!</v>
      </c>
      <c r="K102" s="182" t="e">
        <f>(SUM('1.  LRAMVA Summary'!E$22:E$36)+SUM('1.  LRAMVA Summary'!#REF!)*(MONTH($E102)-1)/12)*$H102</f>
        <v>#REF!</v>
      </c>
      <c r="L102" s="182" t="e">
        <f>(SUM('1.  LRAMVA Summary'!F$22:F$36)+SUM('1.  LRAMVA Summary'!#REF!)*(MONTH($E102)-1)/12)*$H102</f>
        <v>#REF!</v>
      </c>
      <c r="M102" s="182" t="e">
        <f>(SUM('1.  LRAMVA Summary'!G$22:G$36)+SUM('1.  LRAMVA Summary'!#REF!)*(MONTH($E102)-1)/12)*$H102</f>
        <v>#REF!</v>
      </c>
      <c r="N102" s="182" t="e">
        <f>(SUM('1.  LRAMVA Summary'!H$22:H$36)+SUM('1.  LRAMVA Summary'!#REF!)*(MONTH($E102)-1)/12)*$H102</f>
        <v>#REF!</v>
      </c>
      <c r="O102" s="182" t="e">
        <f>(SUM('1.  LRAMVA Summary'!I$22:I$36)+SUM('1.  LRAMVA Summary'!#REF!)*(MONTH($E102)-1)/12)*$H102</f>
        <v>#REF!</v>
      </c>
      <c r="P102" s="182"/>
      <c r="Q102" s="183" t="e">
        <f t="shared" si="44"/>
        <v>#REF!</v>
      </c>
    </row>
    <row r="103" spans="2:17" s="3" customFormat="1" ht="13.5" hidden="1" thickBot="1" x14ac:dyDescent="0.25">
      <c r="B103" s="56"/>
      <c r="E103" s="192" t="s">
        <v>397</v>
      </c>
      <c r="F103" s="192"/>
      <c r="G103" s="193"/>
      <c r="H103" s="446"/>
      <c r="I103" s="194" t="e">
        <f>SUM(I90:I102)</f>
        <v>#REF!</v>
      </c>
      <c r="J103" s="194" t="e">
        <f>SUM(J90:J102)</f>
        <v>#REF!</v>
      </c>
      <c r="K103" s="194" t="e">
        <f t="shared" ref="K103:P103" si="48">SUM(K90:K102)</f>
        <v>#REF!</v>
      </c>
      <c r="L103" s="194" t="e">
        <f t="shared" si="48"/>
        <v>#REF!</v>
      </c>
      <c r="M103" s="194" t="e">
        <f t="shared" si="48"/>
        <v>#REF!</v>
      </c>
      <c r="N103" s="194" t="e">
        <f t="shared" si="48"/>
        <v>#REF!</v>
      </c>
      <c r="O103" s="194" t="e">
        <f t="shared" si="48"/>
        <v>#REF!</v>
      </c>
      <c r="P103" s="194">
        <f t="shared" si="48"/>
        <v>266.01416961763749</v>
      </c>
      <c r="Q103" s="194" t="e">
        <f>SUM(Q90:Q102)</f>
        <v>#REF!</v>
      </c>
    </row>
    <row r="104" spans="2:17" s="3" customFormat="1" ht="13.5" hidden="1" thickTop="1" x14ac:dyDescent="0.2">
      <c r="B104" s="56"/>
      <c r="E104" s="221" t="s">
        <v>89</v>
      </c>
      <c r="F104" s="221"/>
      <c r="G104" s="222"/>
      <c r="H104" s="447"/>
      <c r="I104" s="223"/>
      <c r="J104" s="223"/>
      <c r="K104" s="223"/>
      <c r="L104" s="223"/>
      <c r="M104" s="223"/>
      <c r="N104" s="223"/>
      <c r="O104" s="223"/>
      <c r="P104" s="223"/>
      <c r="Q104" s="224"/>
    </row>
    <row r="105" spans="2:17" s="3" customFormat="1" ht="12.75" hidden="1" x14ac:dyDescent="0.2">
      <c r="B105" s="56"/>
      <c r="E105" s="189" t="s">
        <v>392</v>
      </c>
      <c r="F105" s="189"/>
      <c r="G105" s="190"/>
      <c r="H105" s="448"/>
      <c r="I105" s="191" t="e">
        <f>I103+I104</f>
        <v>#REF!</v>
      </c>
      <c r="J105" s="191" t="e">
        <f t="shared" ref="J105" si="49">J103+J104</f>
        <v>#REF!</v>
      </c>
      <c r="K105" s="191" t="e">
        <f t="shared" ref="K105" si="50">K103+K104</f>
        <v>#REF!</v>
      </c>
      <c r="L105" s="191" t="e">
        <f t="shared" ref="L105" si="51">L103+L104</f>
        <v>#REF!</v>
      </c>
      <c r="M105" s="191" t="e">
        <f t="shared" ref="M105" si="52">M103+M104</f>
        <v>#REF!</v>
      </c>
      <c r="N105" s="191" t="e">
        <f t="shared" ref="N105" si="53">N103+N104</f>
        <v>#REF!</v>
      </c>
      <c r="O105" s="191" t="e">
        <f t="shared" ref="O105" si="54">O103+O104</f>
        <v>#REF!</v>
      </c>
      <c r="P105" s="191">
        <f t="shared" ref="P105" si="55">P103+P104</f>
        <v>266.01416961763749</v>
      </c>
      <c r="Q105" s="191" t="e">
        <f t="shared" ref="Q105" si="56">Q103+Q104</f>
        <v>#REF!</v>
      </c>
    </row>
    <row r="106" spans="2:17" s="3" customFormat="1" ht="12.75" hidden="1" x14ac:dyDescent="0.2">
      <c r="B106" s="56"/>
      <c r="E106" s="180">
        <v>42736</v>
      </c>
      <c r="F106" s="180" t="s">
        <v>376</v>
      </c>
      <c r="G106" s="181" t="s">
        <v>87</v>
      </c>
      <c r="H106" s="452">
        <f>$C$40/12</f>
        <v>0</v>
      </c>
      <c r="I106" s="182" t="e">
        <f>(SUM('1.  LRAMVA Summary'!C$22:C$36)+SUM('1.  LRAMVA Summary'!#REF!)*(MONTH($E106)-1)/12)*$H106</f>
        <v>#REF!</v>
      </c>
      <c r="J106" s="182" t="e">
        <f>(SUM('1.  LRAMVA Summary'!D$22:D$36)+SUM('1.  LRAMVA Summary'!#REF!)*(MONTH($E106)-1)/12)*$H106</f>
        <v>#REF!</v>
      </c>
      <c r="K106" s="182" t="e">
        <f>(SUM('1.  LRAMVA Summary'!E$22:E$36)+SUM('1.  LRAMVA Summary'!#REF!)*(MONTH($E106)-1)/12)*$H106</f>
        <v>#REF!</v>
      </c>
      <c r="L106" s="182" t="e">
        <f>(SUM('1.  LRAMVA Summary'!F$22:F$36)+SUM('1.  LRAMVA Summary'!#REF!)*(MONTH($E106)-1)/12)*$H106</f>
        <v>#REF!</v>
      </c>
      <c r="M106" s="182" t="e">
        <f>(SUM('1.  LRAMVA Summary'!G$22:G$36)+SUM('1.  LRAMVA Summary'!#REF!)*(MONTH($E106)-1)/12)*$H106</f>
        <v>#REF!</v>
      </c>
      <c r="N106" s="182" t="e">
        <f>(SUM('1.  LRAMVA Summary'!H$22:H$36)+SUM('1.  LRAMVA Summary'!#REF!)*(MONTH($E106)-1)/12)*$H106</f>
        <v>#REF!</v>
      </c>
      <c r="O106" s="182" t="e">
        <f>(SUM('1.  LRAMVA Summary'!I$22:I$36)+SUM('1.  LRAMVA Summary'!#REF!)*(MONTH($E106)-1)/12)*$H106</f>
        <v>#REF!</v>
      </c>
      <c r="P106" s="182"/>
      <c r="Q106" s="183" t="e">
        <f>SUM(I106:P106)</f>
        <v>#REF!</v>
      </c>
    </row>
    <row r="107" spans="2:17" s="3" customFormat="1" ht="12.75" hidden="1" x14ac:dyDescent="0.2">
      <c r="B107" s="56"/>
      <c r="E107" s="180">
        <v>42767</v>
      </c>
      <c r="F107" s="180" t="s">
        <v>376</v>
      </c>
      <c r="G107" s="181" t="s">
        <v>87</v>
      </c>
      <c r="H107" s="452">
        <f t="shared" ref="H107:H108" si="57">$C$40/12</f>
        <v>0</v>
      </c>
      <c r="I107" s="182" t="e">
        <f>(SUM('1.  LRAMVA Summary'!C$22:C$36)+SUM('1.  LRAMVA Summary'!#REF!)*(MONTH($E107)-1)/12)*$H107</f>
        <v>#REF!</v>
      </c>
      <c r="J107" s="182" t="e">
        <f>(SUM('1.  LRAMVA Summary'!D$22:D$36)+SUM('1.  LRAMVA Summary'!#REF!)*(MONTH($E107)-1)/12)*$H107</f>
        <v>#REF!</v>
      </c>
      <c r="K107" s="182" t="e">
        <f>(SUM('1.  LRAMVA Summary'!E$22:E$36)+SUM('1.  LRAMVA Summary'!#REF!)*(MONTH($E107)-1)/12)*$H107</f>
        <v>#REF!</v>
      </c>
      <c r="L107" s="182" t="e">
        <f>(SUM('1.  LRAMVA Summary'!F$22:F$36)+SUM('1.  LRAMVA Summary'!#REF!)*(MONTH($E107)-1)/12)*$H107</f>
        <v>#REF!</v>
      </c>
      <c r="M107" s="182" t="e">
        <f>(SUM('1.  LRAMVA Summary'!G$22:G$36)+SUM('1.  LRAMVA Summary'!#REF!)*(MONTH($E107)-1)/12)*$H107</f>
        <v>#REF!</v>
      </c>
      <c r="N107" s="182" t="e">
        <f>(SUM('1.  LRAMVA Summary'!H$22:H$36)+SUM('1.  LRAMVA Summary'!#REF!)*(MONTH($E107)-1)/12)*$H107</f>
        <v>#REF!</v>
      </c>
      <c r="O107" s="182" t="e">
        <f>(SUM('1.  LRAMVA Summary'!I$22:I$36)+SUM('1.  LRAMVA Summary'!#REF!)*(MONTH($E107)-1)/12)*$H107</f>
        <v>#REF!</v>
      </c>
      <c r="P107" s="182"/>
      <c r="Q107" s="183" t="e">
        <f t="shared" ref="Q107:Q117" si="58">SUM(I107:P107)</f>
        <v>#REF!</v>
      </c>
    </row>
    <row r="108" spans="2:17" s="3" customFormat="1" ht="12.75" hidden="1" x14ac:dyDescent="0.2">
      <c r="B108" s="56"/>
      <c r="E108" s="180">
        <v>42795</v>
      </c>
      <c r="F108" s="180" t="s">
        <v>376</v>
      </c>
      <c r="G108" s="181" t="s">
        <v>87</v>
      </c>
      <c r="H108" s="452">
        <f t="shared" si="57"/>
        <v>0</v>
      </c>
      <c r="I108" s="182" t="e">
        <f>(SUM('1.  LRAMVA Summary'!C$22:C$36)+SUM('1.  LRAMVA Summary'!#REF!)*(MONTH($E108)-1)/12)*$H108</f>
        <v>#REF!</v>
      </c>
      <c r="J108" s="182" t="e">
        <f>(SUM('1.  LRAMVA Summary'!D$22:D$36)+SUM('1.  LRAMVA Summary'!#REF!)*(MONTH($E108)-1)/12)*$H108</f>
        <v>#REF!</v>
      </c>
      <c r="K108" s="182" t="e">
        <f>(SUM('1.  LRAMVA Summary'!E$22:E$36)+SUM('1.  LRAMVA Summary'!#REF!)*(MONTH($E108)-1)/12)*$H108</f>
        <v>#REF!</v>
      </c>
      <c r="L108" s="182" t="e">
        <f>(SUM('1.  LRAMVA Summary'!F$22:F$36)+SUM('1.  LRAMVA Summary'!#REF!)*(MONTH($E108)-1)/12)*$H108</f>
        <v>#REF!</v>
      </c>
      <c r="M108" s="182" t="e">
        <f>(SUM('1.  LRAMVA Summary'!G$22:G$36)+SUM('1.  LRAMVA Summary'!#REF!)*(MONTH($E108)-1)/12)*$H108</f>
        <v>#REF!</v>
      </c>
      <c r="N108" s="182" t="e">
        <f>(SUM('1.  LRAMVA Summary'!H$22:H$36)+SUM('1.  LRAMVA Summary'!#REF!)*(MONTH($E108)-1)/12)*$H108</f>
        <v>#REF!</v>
      </c>
      <c r="O108" s="182" t="e">
        <f>(SUM('1.  LRAMVA Summary'!I$22:I$36)+SUM('1.  LRAMVA Summary'!#REF!)*(MONTH($E108)-1)/12)*$H108</f>
        <v>#REF!</v>
      </c>
      <c r="P108" s="182"/>
      <c r="Q108" s="183" t="e">
        <f t="shared" si="58"/>
        <v>#REF!</v>
      </c>
    </row>
    <row r="109" spans="2:17" s="16" customFormat="1" ht="12.75" hidden="1" x14ac:dyDescent="0.2">
      <c r="B109" s="213"/>
      <c r="E109" s="180">
        <v>42826</v>
      </c>
      <c r="F109" s="180" t="s">
        <v>376</v>
      </c>
      <c r="G109" s="181" t="s">
        <v>88</v>
      </c>
      <c r="H109" s="452">
        <f>$C$41/12</f>
        <v>0</v>
      </c>
      <c r="I109" s="182" t="e">
        <f>(SUM('1.  LRAMVA Summary'!C$22:C$36)+SUM('1.  LRAMVA Summary'!#REF!)*(MONTH($E109)-1)/12)*$H109</f>
        <v>#REF!</v>
      </c>
      <c r="J109" s="182" t="e">
        <f>(SUM('1.  LRAMVA Summary'!D$22:D$36)+SUM('1.  LRAMVA Summary'!#REF!)*(MONTH($E109)-1)/12)*$H109</f>
        <v>#REF!</v>
      </c>
      <c r="K109" s="182" t="e">
        <f>(SUM('1.  LRAMVA Summary'!E$22:E$36)+SUM('1.  LRAMVA Summary'!#REF!)*(MONTH($E109)-1)/12)*$H109</f>
        <v>#REF!</v>
      </c>
      <c r="L109" s="182" t="e">
        <f>(SUM('1.  LRAMVA Summary'!F$22:F$36)+SUM('1.  LRAMVA Summary'!#REF!)*(MONTH($E109)-1)/12)*$H109</f>
        <v>#REF!</v>
      </c>
      <c r="M109" s="182" t="e">
        <f>(SUM('1.  LRAMVA Summary'!G$22:G$36)+SUM('1.  LRAMVA Summary'!#REF!)*(MONTH($E109)-1)/12)*$H109</f>
        <v>#REF!</v>
      </c>
      <c r="N109" s="182" t="e">
        <f>(SUM('1.  LRAMVA Summary'!H$22:H$36)+SUM('1.  LRAMVA Summary'!#REF!)*(MONTH($E109)-1)/12)*$H109</f>
        <v>#REF!</v>
      </c>
      <c r="O109" s="182" t="e">
        <f>(SUM('1.  LRAMVA Summary'!I$22:I$36)+SUM('1.  LRAMVA Summary'!#REF!)*(MONTH($E109)-1)/12)*$H109</f>
        <v>#REF!</v>
      </c>
      <c r="P109" s="182"/>
      <c r="Q109" s="183" t="e">
        <f t="shared" si="58"/>
        <v>#REF!</v>
      </c>
    </row>
    <row r="110" spans="2:17" s="3" customFormat="1" ht="12.75" hidden="1" x14ac:dyDescent="0.2">
      <c r="B110" s="56"/>
      <c r="E110" s="180">
        <v>42856</v>
      </c>
      <c r="F110" s="180" t="s">
        <v>376</v>
      </c>
      <c r="G110" s="181" t="s">
        <v>88</v>
      </c>
      <c r="H110" s="452">
        <f t="shared" ref="H110:H111" si="59">$C$41/12</f>
        <v>0</v>
      </c>
      <c r="I110" s="182" t="e">
        <f>(SUM('1.  LRAMVA Summary'!C$22:C$36)+SUM('1.  LRAMVA Summary'!#REF!)*(MONTH($E110)-1)/12)*$H110</f>
        <v>#REF!</v>
      </c>
      <c r="J110" s="182" t="e">
        <f>(SUM('1.  LRAMVA Summary'!D$22:D$36)+SUM('1.  LRAMVA Summary'!#REF!)*(MONTH($E110)-1)/12)*$H110</f>
        <v>#REF!</v>
      </c>
      <c r="K110" s="182" t="e">
        <f>(SUM('1.  LRAMVA Summary'!E$22:E$36)+SUM('1.  LRAMVA Summary'!#REF!)*(MONTH($E110)-1)/12)*$H110</f>
        <v>#REF!</v>
      </c>
      <c r="L110" s="182" t="e">
        <f>(SUM('1.  LRAMVA Summary'!F$22:F$36)+SUM('1.  LRAMVA Summary'!#REF!)*(MONTH($E110)-1)/12)*$H110</f>
        <v>#REF!</v>
      </c>
      <c r="M110" s="182" t="e">
        <f>(SUM('1.  LRAMVA Summary'!G$22:G$36)+SUM('1.  LRAMVA Summary'!#REF!)*(MONTH($E110)-1)/12)*$H110</f>
        <v>#REF!</v>
      </c>
      <c r="N110" s="182" t="e">
        <f>(SUM('1.  LRAMVA Summary'!H$22:H$36)+SUM('1.  LRAMVA Summary'!#REF!)*(MONTH($E110)-1)/12)*$H110</f>
        <v>#REF!</v>
      </c>
      <c r="O110" s="182" t="e">
        <f>(SUM('1.  LRAMVA Summary'!I$22:I$36)+SUM('1.  LRAMVA Summary'!#REF!)*(MONTH($E110)-1)/12)*$H110</f>
        <v>#REF!</v>
      </c>
      <c r="P110" s="182"/>
      <c r="Q110" s="183" t="e">
        <f t="shared" si="58"/>
        <v>#REF!</v>
      </c>
    </row>
    <row r="111" spans="2:17" s="15" customFormat="1" ht="12.75" hidden="1" x14ac:dyDescent="0.2">
      <c r="B111" s="212"/>
      <c r="E111" s="180">
        <v>42887</v>
      </c>
      <c r="F111" s="180" t="s">
        <v>376</v>
      </c>
      <c r="G111" s="181" t="s">
        <v>88</v>
      </c>
      <c r="H111" s="452">
        <f t="shared" si="59"/>
        <v>0</v>
      </c>
      <c r="I111" s="182" t="e">
        <f>(SUM('1.  LRAMVA Summary'!C$22:C$36)+SUM('1.  LRAMVA Summary'!#REF!)*(MONTH($E111)-1)/12)*$H111</f>
        <v>#REF!</v>
      </c>
      <c r="J111" s="182" t="e">
        <f>(SUM('1.  LRAMVA Summary'!D$22:D$36)+SUM('1.  LRAMVA Summary'!#REF!)*(MONTH($E111)-1)/12)*$H111</f>
        <v>#REF!</v>
      </c>
      <c r="K111" s="182" t="e">
        <f>(SUM('1.  LRAMVA Summary'!E$22:E$36)+SUM('1.  LRAMVA Summary'!#REF!)*(MONTH($E111)-1)/12)*$H111</f>
        <v>#REF!</v>
      </c>
      <c r="L111" s="182" t="e">
        <f>(SUM('1.  LRAMVA Summary'!F$22:F$36)+SUM('1.  LRAMVA Summary'!#REF!)*(MONTH($E111)-1)/12)*$H111</f>
        <v>#REF!</v>
      </c>
      <c r="M111" s="182" t="e">
        <f>(SUM('1.  LRAMVA Summary'!G$22:G$36)+SUM('1.  LRAMVA Summary'!#REF!)*(MONTH($E111)-1)/12)*$H111</f>
        <v>#REF!</v>
      </c>
      <c r="N111" s="182" t="e">
        <f>(SUM('1.  LRAMVA Summary'!H$22:H$36)+SUM('1.  LRAMVA Summary'!#REF!)*(MONTH($E111)-1)/12)*$H111</f>
        <v>#REF!</v>
      </c>
      <c r="O111" s="182" t="e">
        <f>(SUM('1.  LRAMVA Summary'!I$22:I$36)+SUM('1.  LRAMVA Summary'!#REF!)*(MONTH($E111)-1)/12)*$H111</f>
        <v>#REF!</v>
      </c>
      <c r="P111" s="182"/>
      <c r="Q111" s="183" t="e">
        <f t="shared" si="58"/>
        <v>#REF!</v>
      </c>
    </row>
    <row r="112" spans="2:17" s="3" customFormat="1" ht="12.75" hidden="1" x14ac:dyDescent="0.2">
      <c r="B112" s="56"/>
      <c r="E112" s="180">
        <v>42917</v>
      </c>
      <c r="F112" s="180" t="s">
        <v>376</v>
      </c>
      <c r="G112" s="181" t="s">
        <v>90</v>
      </c>
      <c r="H112" s="452">
        <f>$C$42/12</f>
        <v>0</v>
      </c>
      <c r="I112" s="182" t="e">
        <f>(SUM('1.  LRAMVA Summary'!C$22:C$36)+SUM('1.  LRAMVA Summary'!#REF!)*(MONTH($E112)-1)/12)*$H112</f>
        <v>#REF!</v>
      </c>
      <c r="J112" s="182" t="e">
        <f>(SUM('1.  LRAMVA Summary'!D$22:D$36)+SUM('1.  LRAMVA Summary'!#REF!)*(MONTH($E112)-1)/12)*$H112</f>
        <v>#REF!</v>
      </c>
      <c r="K112" s="182" t="e">
        <f>(SUM('1.  LRAMVA Summary'!E$22:E$36)+SUM('1.  LRAMVA Summary'!#REF!)*(MONTH($E112)-1)/12)*$H112</f>
        <v>#REF!</v>
      </c>
      <c r="L112" s="182" t="e">
        <f>(SUM('1.  LRAMVA Summary'!F$22:F$36)+SUM('1.  LRAMVA Summary'!#REF!)*(MONTH($E112)-1)/12)*$H112</f>
        <v>#REF!</v>
      </c>
      <c r="M112" s="182" t="e">
        <f>(SUM('1.  LRAMVA Summary'!G$22:G$36)+SUM('1.  LRAMVA Summary'!#REF!)*(MONTH($E112)-1)/12)*$H112</f>
        <v>#REF!</v>
      </c>
      <c r="N112" s="182" t="e">
        <f>(SUM('1.  LRAMVA Summary'!H$22:H$36)+SUM('1.  LRAMVA Summary'!#REF!)*(MONTH($E112)-1)/12)*$H112</f>
        <v>#REF!</v>
      </c>
      <c r="O112" s="182" t="e">
        <f>(SUM('1.  LRAMVA Summary'!I$22:I$36)+SUM('1.  LRAMVA Summary'!#REF!)*(MONTH($E112)-1)/12)*$H112</f>
        <v>#REF!</v>
      </c>
      <c r="P112" s="182"/>
      <c r="Q112" s="183" t="e">
        <f t="shared" si="58"/>
        <v>#REF!</v>
      </c>
    </row>
    <row r="113" spans="2:17" s="3" customFormat="1" ht="12.75" hidden="1" x14ac:dyDescent="0.2">
      <c r="B113" s="56"/>
      <c r="E113" s="180">
        <v>42948</v>
      </c>
      <c r="F113" s="180" t="s">
        <v>376</v>
      </c>
      <c r="G113" s="181" t="s">
        <v>90</v>
      </c>
      <c r="H113" s="452">
        <f t="shared" ref="H113:H114" si="60">$C$42/12</f>
        <v>0</v>
      </c>
      <c r="I113" s="182" t="e">
        <f>(SUM('1.  LRAMVA Summary'!C$22:C$36)+SUM('1.  LRAMVA Summary'!#REF!)*(MONTH($E113)-1)/12)*$H113</f>
        <v>#REF!</v>
      </c>
      <c r="J113" s="182" t="e">
        <f>(SUM('1.  LRAMVA Summary'!D$22:D$36)+SUM('1.  LRAMVA Summary'!#REF!)*(MONTH($E113)-1)/12)*$H113</f>
        <v>#REF!</v>
      </c>
      <c r="K113" s="182" t="e">
        <f>(SUM('1.  LRAMVA Summary'!E$22:E$36)+SUM('1.  LRAMVA Summary'!#REF!)*(MONTH($E113)-1)/12)*$H113</f>
        <v>#REF!</v>
      </c>
      <c r="L113" s="182" t="e">
        <f>(SUM('1.  LRAMVA Summary'!F$22:F$36)+SUM('1.  LRAMVA Summary'!#REF!)*(MONTH($E113)-1)/12)*$H113</f>
        <v>#REF!</v>
      </c>
      <c r="M113" s="182" t="e">
        <f>(SUM('1.  LRAMVA Summary'!G$22:G$36)+SUM('1.  LRAMVA Summary'!#REF!)*(MONTH($E113)-1)/12)*$H113</f>
        <v>#REF!</v>
      </c>
      <c r="N113" s="182" t="e">
        <f>(SUM('1.  LRAMVA Summary'!H$22:H$36)+SUM('1.  LRAMVA Summary'!#REF!)*(MONTH($E113)-1)/12)*$H113</f>
        <v>#REF!</v>
      </c>
      <c r="O113" s="182" t="e">
        <f>(SUM('1.  LRAMVA Summary'!I$22:I$36)+SUM('1.  LRAMVA Summary'!#REF!)*(MONTH($E113)-1)/12)*$H113</f>
        <v>#REF!</v>
      </c>
      <c r="P113" s="182"/>
      <c r="Q113" s="183" t="e">
        <f t="shared" si="58"/>
        <v>#REF!</v>
      </c>
    </row>
    <row r="114" spans="2:17" s="3" customFormat="1" ht="12.75" hidden="1" x14ac:dyDescent="0.2">
      <c r="B114" s="56"/>
      <c r="E114" s="180">
        <v>42979</v>
      </c>
      <c r="F114" s="180" t="s">
        <v>376</v>
      </c>
      <c r="G114" s="181" t="s">
        <v>90</v>
      </c>
      <c r="H114" s="452">
        <f t="shared" si="60"/>
        <v>0</v>
      </c>
      <c r="I114" s="182" t="e">
        <f>(SUM('1.  LRAMVA Summary'!C$22:C$36)+SUM('1.  LRAMVA Summary'!#REF!)*(MONTH($E114)-1)/12)*$H114</f>
        <v>#REF!</v>
      </c>
      <c r="J114" s="182" t="e">
        <f>(SUM('1.  LRAMVA Summary'!D$22:D$36)+SUM('1.  LRAMVA Summary'!#REF!)*(MONTH($E114)-1)/12)*$H114</f>
        <v>#REF!</v>
      </c>
      <c r="K114" s="182" t="e">
        <f>(SUM('1.  LRAMVA Summary'!E$22:E$36)+SUM('1.  LRAMVA Summary'!#REF!)*(MONTH($E114)-1)/12)*$H114</f>
        <v>#REF!</v>
      </c>
      <c r="L114" s="182" t="e">
        <f>(SUM('1.  LRAMVA Summary'!F$22:F$36)+SUM('1.  LRAMVA Summary'!#REF!)*(MONTH($E114)-1)/12)*$H114</f>
        <v>#REF!</v>
      </c>
      <c r="M114" s="182" t="e">
        <f>(SUM('1.  LRAMVA Summary'!G$22:G$36)+SUM('1.  LRAMVA Summary'!#REF!)*(MONTH($E114)-1)/12)*$H114</f>
        <v>#REF!</v>
      </c>
      <c r="N114" s="182" t="e">
        <f>(SUM('1.  LRAMVA Summary'!H$22:H$36)+SUM('1.  LRAMVA Summary'!#REF!)*(MONTH($E114)-1)/12)*$H114</f>
        <v>#REF!</v>
      </c>
      <c r="O114" s="182" t="e">
        <f>(SUM('1.  LRAMVA Summary'!I$22:I$36)+SUM('1.  LRAMVA Summary'!#REF!)*(MONTH($E114)-1)/12)*$H114</f>
        <v>#REF!</v>
      </c>
      <c r="P114" s="182"/>
      <c r="Q114" s="183" t="e">
        <f t="shared" si="58"/>
        <v>#REF!</v>
      </c>
    </row>
    <row r="115" spans="2:17" s="3" customFormat="1" ht="12.75" hidden="1" x14ac:dyDescent="0.2">
      <c r="B115" s="56"/>
      <c r="E115" s="180">
        <v>43009</v>
      </c>
      <c r="F115" s="180" t="s">
        <v>376</v>
      </c>
      <c r="G115" s="181" t="s">
        <v>91</v>
      </c>
      <c r="H115" s="452">
        <f>$C$43/12</f>
        <v>0</v>
      </c>
      <c r="I115" s="182" t="e">
        <f>(SUM('1.  LRAMVA Summary'!C$22:C$36)+SUM('1.  LRAMVA Summary'!#REF!)*(MONTH($E115)-1)/12)*$H115</f>
        <v>#REF!</v>
      </c>
      <c r="J115" s="182" t="e">
        <f>(SUM('1.  LRAMVA Summary'!D$22:D$36)+SUM('1.  LRAMVA Summary'!#REF!)*(MONTH($E115)-1)/12)*$H115</f>
        <v>#REF!</v>
      </c>
      <c r="K115" s="182" t="e">
        <f>(SUM('1.  LRAMVA Summary'!E$22:E$36)+SUM('1.  LRAMVA Summary'!#REF!)*(MONTH($E115)-1)/12)*$H115</f>
        <v>#REF!</v>
      </c>
      <c r="L115" s="182" t="e">
        <f>(SUM('1.  LRAMVA Summary'!F$22:F$36)+SUM('1.  LRAMVA Summary'!#REF!)*(MONTH($E115)-1)/12)*$H115</f>
        <v>#REF!</v>
      </c>
      <c r="M115" s="182" t="e">
        <f>(SUM('1.  LRAMVA Summary'!G$22:G$36)+SUM('1.  LRAMVA Summary'!#REF!)*(MONTH($E115)-1)/12)*$H115</f>
        <v>#REF!</v>
      </c>
      <c r="N115" s="182" t="e">
        <f>(SUM('1.  LRAMVA Summary'!H$22:H$36)+SUM('1.  LRAMVA Summary'!#REF!)*(MONTH($E115)-1)/12)*$H115</f>
        <v>#REF!</v>
      </c>
      <c r="O115" s="182" t="e">
        <f>(SUM('1.  LRAMVA Summary'!I$22:I$36)+SUM('1.  LRAMVA Summary'!#REF!)*(MONTH($E115)-1)/12)*$H115</f>
        <v>#REF!</v>
      </c>
      <c r="P115" s="182"/>
      <c r="Q115" s="183" t="e">
        <f t="shared" si="58"/>
        <v>#REF!</v>
      </c>
    </row>
    <row r="116" spans="2:17" s="3" customFormat="1" ht="12.75" hidden="1" x14ac:dyDescent="0.2">
      <c r="B116" s="56"/>
      <c r="E116" s="180">
        <v>43040</v>
      </c>
      <c r="F116" s="180" t="s">
        <v>376</v>
      </c>
      <c r="G116" s="181" t="s">
        <v>91</v>
      </c>
      <c r="H116" s="452">
        <f t="shared" ref="H116:H117" si="61">$C$43/12</f>
        <v>0</v>
      </c>
      <c r="I116" s="182" t="e">
        <f>(SUM('1.  LRAMVA Summary'!C$22:C$36)+SUM('1.  LRAMVA Summary'!#REF!)*(MONTH($E116)-1)/12)*$H116</f>
        <v>#REF!</v>
      </c>
      <c r="J116" s="182" t="e">
        <f>(SUM('1.  LRAMVA Summary'!D$22:D$36)+SUM('1.  LRAMVA Summary'!#REF!)*(MONTH($E116)-1)/12)*$H116</f>
        <v>#REF!</v>
      </c>
      <c r="K116" s="182" t="e">
        <f>(SUM('1.  LRAMVA Summary'!E$22:E$36)+SUM('1.  LRAMVA Summary'!#REF!)*(MONTH($E116)-1)/12)*$H116</f>
        <v>#REF!</v>
      </c>
      <c r="L116" s="182" t="e">
        <f>(SUM('1.  LRAMVA Summary'!F$22:F$36)+SUM('1.  LRAMVA Summary'!#REF!)*(MONTH($E116)-1)/12)*$H116</f>
        <v>#REF!</v>
      </c>
      <c r="M116" s="182" t="e">
        <f>(SUM('1.  LRAMVA Summary'!G$22:G$36)+SUM('1.  LRAMVA Summary'!#REF!)*(MONTH($E116)-1)/12)*$H116</f>
        <v>#REF!</v>
      </c>
      <c r="N116" s="182" t="e">
        <f>(SUM('1.  LRAMVA Summary'!H$22:H$36)+SUM('1.  LRAMVA Summary'!#REF!)*(MONTH($E116)-1)/12)*$H116</f>
        <v>#REF!</v>
      </c>
      <c r="O116" s="182" t="e">
        <f>(SUM('1.  LRAMVA Summary'!I$22:I$36)+SUM('1.  LRAMVA Summary'!#REF!)*(MONTH($E116)-1)/12)*$H116</f>
        <v>#REF!</v>
      </c>
      <c r="P116" s="182"/>
      <c r="Q116" s="183" t="e">
        <f t="shared" si="58"/>
        <v>#REF!</v>
      </c>
    </row>
    <row r="117" spans="2:17" s="3" customFormat="1" ht="12.75" hidden="1" x14ac:dyDescent="0.2">
      <c r="B117" s="56"/>
      <c r="E117" s="180">
        <v>43070</v>
      </c>
      <c r="F117" s="180" t="s">
        <v>376</v>
      </c>
      <c r="G117" s="181" t="s">
        <v>91</v>
      </c>
      <c r="H117" s="452">
        <f t="shared" si="61"/>
        <v>0</v>
      </c>
      <c r="I117" s="182" t="e">
        <f>(SUM('1.  LRAMVA Summary'!C$22:C$36)+SUM('1.  LRAMVA Summary'!#REF!)*(MONTH($E117)-1)/12)*$H117</f>
        <v>#REF!</v>
      </c>
      <c r="J117" s="182" t="e">
        <f>(SUM('1.  LRAMVA Summary'!D$22:D$36)+SUM('1.  LRAMVA Summary'!#REF!)*(MONTH($E117)-1)/12)*$H117</f>
        <v>#REF!</v>
      </c>
      <c r="K117" s="182" t="e">
        <f>(SUM('1.  LRAMVA Summary'!E$22:E$36)+SUM('1.  LRAMVA Summary'!#REF!)*(MONTH($E117)-1)/12)*$H117</f>
        <v>#REF!</v>
      </c>
      <c r="L117" s="182" t="e">
        <f>(SUM('1.  LRAMVA Summary'!F$22:F$36)+SUM('1.  LRAMVA Summary'!#REF!)*(MONTH($E117)-1)/12)*$H117</f>
        <v>#REF!</v>
      </c>
      <c r="M117" s="182" t="e">
        <f>(SUM('1.  LRAMVA Summary'!G$22:G$36)+SUM('1.  LRAMVA Summary'!#REF!)*(MONTH($E117)-1)/12)*$H117</f>
        <v>#REF!</v>
      </c>
      <c r="N117" s="182" t="e">
        <f>(SUM('1.  LRAMVA Summary'!H$22:H$36)+SUM('1.  LRAMVA Summary'!#REF!)*(MONTH($E117)-1)/12)*$H117</f>
        <v>#REF!</v>
      </c>
      <c r="O117" s="182" t="e">
        <f>(SUM('1.  LRAMVA Summary'!I$22:I$36)+SUM('1.  LRAMVA Summary'!#REF!)*(MONTH($E117)-1)/12)*$H117</f>
        <v>#REF!</v>
      </c>
      <c r="P117" s="182"/>
      <c r="Q117" s="183" t="e">
        <f t="shared" si="58"/>
        <v>#REF!</v>
      </c>
    </row>
    <row r="118" spans="2:17" s="3" customFormat="1" ht="13.5" hidden="1" thickBot="1" x14ac:dyDescent="0.25">
      <c r="B118" s="56"/>
      <c r="E118" s="192" t="s">
        <v>383</v>
      </c>
      <c r="F118" s="192"/>
      <c r="G118" s="193"/>
      <c r="H118" s="446"/>
      <c r="I118" s="194" t="e">
        <f>SUM(I105:I117)</f>
        <v>#REF!</v>
      </c>
      <c r="J118" s="194" t="e">
        <f>SUM(J105:J117)</f>
        <v>#REF!</v>
      </c>
      <c r="K118" s="194" t="e">
        <f t="shared" ref="K118:P118" si="62">SUM(K105:K117)</f>
        <v>#REF!</v>
      </c>
      <c r="L118" s="194" t="e">
        <f t="shared" si="62"/>
        <v>#REF!</v>
      </c>
      <c r="M118" s="194" t="e">
        <f t="shared" si="62"/>
        <v>#REF!</v>
      </c>
      <c r="N118" s="194" t="e">
        <f t="shared" si="62"/>
        <v>#REF!</v>
      </c>
      <c r="O118" s="194" t="e">
        <f t="shared" si="62"/>
        <v>#REF!</v>
      </c>
      <c r="P118" s="194">
        <f t="shared" si="62"/>
        <v>266.01416961763749</v>
      </c>
      <c r="Q118" s="194" t="e">
        <f>SUM(Q105:Q117)</f>
        <v>#REF!</v>
      </c>
    </row>
    <row r="119" spans="2:17" s="3" customFormat="1" ht="13.5" hidden="1" thickTop="1" x14ac:dyDescent="0.2">
      <c r="B119" s="56"/>
      <c r="E119" s="221" t="s">
        <v>89</v>
      </c>
      <c r="F119" s="221"/>
      <c r="G119" s="222"/>
      <c r="H119" s="447"/>
      <c r="I119" s="223"/>
      <c r="J119" s="223"/>
      <c r="K119" s="223"/>
      <c r="L119" s="223"/>
      <c r="M119" s="223"/>
      <c r="N119" s="223"/>
      <c r="O119" s="223"/>
      <c r="P119" s="223"/>
      <c r="Q119" s="224"/>
    </row>
    <row r="120" spans="2:17" s="3" customFormat="1" ht="12.75" hidden="1" x14ac:dyDescent="0.2">
      <c r="B120" s="56"/>
      <c r="E120" s="189" t="s">
        <v>393</v>
      </c>
      <c r="F120" s="189"/>
      <c r="G120" s="190"/>
      <c r="H120" s="448"/>
      <c r="I120" s="191" t="e">
        <f>I118+I119</f>
        <v>#REF!</v>
      </c>
      <c r="J120" s="191" t="e">
        <f t="shared" ref="J120" si="63">J118+J119</f>
        <v>#REF!</v>
      </c>
      <c r="K120" s="191" t="e">
        <f t="shared" ref="K120" si="64">K118+K119</f>
        <v>#REF!</v>
      </c>
      <c r="L120" s="191" t="e">
        <f t="shared" ref="L120" si="65">L118+L119</f>
        <v>#REF!</v>
      </c>
      <c r="M120" s="191" t="e">
        <f t="shared" ref="M120" si="66">M118+M119</f>
        <v>#REF!</v>
      </c>
      <c r="N120" s="191" t="e">
        <f t="shared" ref="N120" si="67">N118+N119</f>
        <v>#REF!</v>
      </c>
      <c r="O120" s="191" t="e">
        <f t="shared" ref="O120" si="68">O118+O119</f>
        <v>#REF!</v>
      </c>
      <c r="P120" s="191">
        <f t="shared" ref="P120" si="69">P118+P119</f>
        <v>266.01416961763749</v>
      </c>
      <c r="Q120" s="191" t="e">
        <f t="shared" ref="Q120" si="70">Q118+Q119</f>
        <v>#REF!</v>
      </c>
    </row>
    <row r="121" spans="2:17" s="3" customFormat="1" ht="12.75" hidden="1" x14ac:dyDescent="0.2">
      <c r="B121" s="56"/>
      <c r="E121" s="180">
        <v>43101</v>
      </c>
      <c r="F121" s="180" t="s">
        <v>377</v>
      </c>
      <c r="G121" s="181" t="s">
        <v>87</v>
      </c>
      <c r="H121" s="452">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c r="Q121" s="183" t="e">
        <f>SUM(I121:P121)</f>
        <v>#REF!</v>
      </c>
    </row>
    <row r="122" spans="2:17" s="3" customFormat="1" ht="12.75" hidden="1" x14ac:dyDescent="0.2">
      <c r="B122" s="56"/>
      <c r="E122" s="180">
        <v>43132</v>
      </c>
      <c r="F122" s="180" t="s">
        <v>377</v>
      </c>
      <c r="G122" s="181" t="s">
        <v>87</v>
      </c>
      <c r="H122" s="452">
        <f t="shared" ref="H122:H123" si="7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c r="Q122" s="183" t="e">
        <f t="shared" ref="Q122:Q132" si="72">SUM(I122:P122)</f>
        <v>#REF!</v>
      </c>
    </row>
    <row r="123" spans="2:17" s="3" customFormat="1" ht="12.75" hidden="1" x14ac:dyDescent="0.2">
      <c r="B123" s="56"/>
      <c r="E123" s="180">
        <v>43160</v>
      </c>
      <c r="F123" s="180" t="s">
        <v>377</v>
      </c>
      <c r="G123" s="181" t="s">
        <v>87</v>
      </c>
      <c r="H123" s="452">
        <f t="shared" si="7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c r="Q123" s="183" t="e">
        <f t="shared" si="72"/>
        <v>#REF!</v>
      </c>
    </row>
    <row r="124" spans="2:17" s="16" customFormat="1" ht="12.75" hidden="1" x14ac:dyDescent="0.2">
      <c r="B124" s="213"/>
      <c r="E124" s="180">
        <v>43191</v>
      </c>
      <c r="F124" s="180" t="s">
        <v>377</v>
      </c>
      <c r="G124" s="181" t="s">
        <v>88</v>
      </c>
      <c r="H124" s="452">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c r="Q124" s="183" t="e">
        <f t="shared" si="72"/>
        <v>#REF!</v>
      </c>
    </row>
    <row r="125" spans="2:17" s="3" customFormat="1" ht="12.75" hidden="1" x14ac:dyDescent="0.2">
      <c r="B125" s="56"/>
      <c r="E125" s="180">
        <v>43221</v>
      </c>
      <c r="F125" s="180" t="s">
        <v>377</v>
      </c>
      <c r="G125" s="181" t="s">
        <v>88</v>
      </c>
      <c r="H125" s="452">
        <f t="shared" ref="H125:H126" si="7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c r="Q125" s="183" t="e">
        <f t="shared" si="72"/>
        <v>#REF!</v>
      </c>
    </row>
    <row r="126" spans="2:17" s="15" customFormat="1" ht="12.75" hidden="1" x14ac:dyDescent="0.2">
      <c r="B126" s="212"/>
      <c r="E126" s="180">
        <v>43252</v>
      </c>
      <c r="F126" s="180" t="s">
        <v>377</v>
      </c>
      <c r="G126" s="181" t="s">
        <v>88</v>
      </c>
      <c r="H126" s="452">
        <f t="shared" si="7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c r="Q126" s="183" t="e">
        <f t="shared" si="72"/>
        <v>#REF!</v>
      </c>
    </row>
    <row r="127" spans="2:17" s="3" customFormat="1" ht="12.75" hidden="1" x14ac:dyDescent="0.2">
      <c r="B127" s="56"/>
      <c r="E127" s="180">
        <v>43282</v>
      </c>
      <c r="F127" s="180" t="s">
        <v>377</v>
      </c>
      <c r="G127" s="181" t="s">
        <v>90</v>
      </c>
      <c r="H127" s="452">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c r="Q127" s="183" t="e">
        <f t="shared" si="72"/>
        <v>#REF!</v>
      </c>
    </row>
    <row r="128" spans="2:17" s="3" customFormat="1" ht="12.75" hidden="1" x14ac:dyDescent="0.2">
      <c r="B128" s="56"/>
      <c r="E128" s="180">
        <v>43313</v>
      </c>
      <c r="F128" s="180" t="s">
        <v>377</v>
      </c>
      <c r="G128" s="181" t="s">
        <v>90</v>
      </c>
      <c r="H128" s="452">
        <f t="shared" ref="H128:H129" si="7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c r="Q128" s="183" t="e">
        <f t="shared" si="72"/>
        <v>#REF!</v>
      </c>
    </row>
    <row r="129" spans="2:17" s="3" customFormat="1" ht="12.75" hidden="1" x14ac:dyDescent="0.2">
      <c r="B129" s="56"/>
      <c r="E129" s="180">
        <v>43344</v>
      </c>
      <c r="F129" s="180" t="s">
        <v>377</v>
      </c>
      <c r="G129" s="181" t="s">
        <v>90</v>
      </c>
      <c r="H129" s="452">
        <f t="shared" si="7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c r="Q129" s="183" t="e">
        <f t="shared" si="72"/>
        <v>#REF!</v>
      </c>
    </row>
    <row r="130" spans="2:17" s="3" customFormat="1" ht="12.75" hidden="1" x14ac:dyDescent="0.2">
      <c r="B130" s="56"/>
      <c r="E130" s="180">
        <v>43374</v>
      </c>
      <c r="F130" s="180" t="s">
        <v>377</v>
      </c>
      <c r="G130" s="181" t="s">
        <v>91</v>
      </c>
      <c r="H130" s="452">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c r="Q130" s="183" t="e">
        <f t="shared" si="72"/>
        <v>#REF!</v>
      </c>
    </row>
    <row r="131" spans="2:17" s="3" customFormat="1" ht="12.75" hidden="1" x14ac:dyDescent="0.2">
      <c r="B131" s="56"/>
      <c r="E131" s="180">
        <v>43405</v>
      </c>
      <c r="F131" s="180" t="s">
        <v>377</v>
      </c>
      <c r="G131" s="181" t="s">
        <v>91</v>
      </c>
      <c r="H131" s="452">
        <f t="shared" ref="H131:H132" si="7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c r="Q131" s="183" t="e">
        <f t="shared" si="72"/>
        <v>#REF!</v>
      </c>
    </row>
    <row r="132" spans="2:17" s="3" customFormat="1" ht="12.75" hidden="1" x14ac:dyDescent="0.2">
      <c r="B132" s="56"/>
      <c r="E132" s="180">
        <v>43435</v>
      </c>
      <c r="F132" s="180" t="s">
        <v>377</v>
      </c>
      <c r="G132" s="181" t="s">
        <v>91</v>
      </c>
      <c r="H132" s="452">
        <f t="shared" si="7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c r="Q132" s="183" t="e">
        <f t="shared" si="72"/>
        <v>#REF!</v>
      </c>
    </row>
    <row r="133" spans="2:17" s="3" customFormat="1" ht="13.5" hidden="1" thickBot="1" x14ac:dyDescent="0.25">
      <c r="B133" s="56"/>
      <c r="E133" s="192" t="s">
        <v>384</v>
      </c>
      <c r="F133" s="192"/>
      <c r="G133" s="193"/>
      <c r="H133" s="446"/>
      <c r="I133" s="194" t="e">
        <f>SUM(I120:I132)</f>
        <v>#REF!</v>
      </c>
      <c r="J133" s="194" t="e">
        <f>SUM(J120:J132)</f>
        <v>#REF!</v>
      </c>
      <c r="K133" s="194" t="e">
        <f t="shared" ref="K133:P133" si="76">SUM(K120:K132)</f>
        <v>#REF!</v>
      </c>
      <c r="L133" s="194" t="e">
        <f t="shared" si="76"/>
        <v>#REF!</v>
      </c>
      <c r="M133" s="194" t="e">
        <f t="shared" si="76"/>
        <v>#REF!</v>
      </c>
      <c r="N133" s="194" t="e">
        <f t="shared" si="76"/>
        <v>#REF!</v>
      </c>
      <c r="O133" s="194" t="e">
        <f t="shared" si="76"/>
        <v>#REF!</v>
      </c>
      <c r="P133" s="194">
        <f t="shared" si="76"/>
        <v>266.01416961763749</v>
      </c>
      <c r="Q133" s="194" t="e">
        <f>SUM(Q120:Q132)</f>
        <v>#REF!</v>
      </c>
    </row>
    <row r="134" spans="2:17" s="3" customFormat="1" ht="13.5" hidden="1" thickTop="1" x14ac:dyDescent="0.2">
      <c r="B134" s="56"/>
      <c r="E134" s="221" t="s">
        <v>89</v>
      </c>
      <c r="F134" s="221"/>
      <c r="G134" s="222"/>
      <c r="H134" s="447"/>
      <c r="I134" s="223"/>
      <c r="J134" s="223"/>
      <c r="K134" s="223"/>
      <c r="L134" s="223"/>
      <c r="M134" s="223"/>
      <c r="N134" s="223"/>
      <c r="O134" s="223"/>
      <c r="P134" s="223"/>
      <c r="Q134" s="224"/>
    </row>
    <row r="135" spans="2:17" s="3" customFormat="1" ht="12.75" hidden="1" x14ac:dyDescent="0.2">
      <c r="B135" s="56"/>
      <c r="E135" s="189" t="s">
        <v>394</v>
      </c>
      <c r="F135" s="189"/>
      <c r="G135" s="190"/>
      <c r="H135" s="448"/>
      <c r="I135" s="191" t="e">
        <f>I133+I134</f>
        <v>#REF!</v>
      </c>
      <c r="J135" s="191" t="e">
        <f t="shared" ref="J135" si="77">J133+J134</f>
        <v>#REF!</v>
      </c>
      <c r="K135" s="191" t="e">
        <f t="shared" ref="K135" si="78">K133+K134</f>
        <v>#REF!</v>
      </c>
      <c r="L135" s="191" t="e">
        <f t="shared" ref="L135" si="79">L133+L134</f>
        <v>#REF!</v>
      </c>
      <c r="M135" s="191" t="e">
        <f t="shared" ref="M135" si="80">M133+M134</f>
        <v>#REF!</v>
      </c>
      <c r="N135" s="191" t="e">
        <f t="shared" ref="N135" si="81">N133+N134</f>
        <v>#REF!</v>
      </c>
      <c r="O135" s="191" t="e">
        <f t="shared" ref="O135" si="82">O133+O134</f>
        <v>#REF!</v>
      </c>
      <c r="P135" s="191">
        <f t="shared" ref="P135" si="83">P133+P134</f>
        <v>266.01416961763749</v>
      </c>
      <c r="Q135" s="191" t="e">
        <f>Q133+Q134</f>
        <v>#REF!</v>
      </c>
    </row>
    <row r="136" spans="2:17" s="3" customFormat="1" ht="12.75" hidden="1" x14ac:dyDescent="0.2">
      <c r="B136" s="56"/>
      <c r="E136" s="180">
        <v>43466</v>
      </c>
      <c r="F136" s="180" t="s">
        <v>378</v>
      </c>
      <c r="G136" s="181" t="s">
        <v>87</v>
      </c>
      <c r="H136" s="452">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c r="Q136" s="183" t="e">
        <f t="shared" ref="Q136:Q147" si="84">SUM(I136:P136)</f>
        <v>#REF!</v>
      </c>
    </row>
    <row r="137" spans="2:17" s="3" customFormat="1" ht="12.75" hidden="1" x14ac:dyDescent="0.2">
      <c r="B137" s="56"/>
      <c r="E137" s="180">
        <v>43497</v>
      </c>
      <c r="F137" s="180" t="s">
        <v>378</v>
      </c>
      <c r="G137" s="181" t="s">
        <v>87</v>
      </c>
      <c r="H137" s="452">
        <f t="shared" ref="H137:H138" si="85">$C$48/12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c r="Q137" s="183" t="e">
        <f t="shared" si="84"/>
        <v>#REF!</v>
      </c>
    </row>
    <row r="138" spans="2:17" s="3" customFormat="1" ht="12.75" hidden="1" x14ac:dyDescent="0.2">
      <c r="B138" s="56"/>
      <c r="E138" s="180">
        <v>43525</v>
      </c>
      <c r="F138" s="180" t="s">
        <v>378</v>
      </c>
      <c r="G138" s="181" t="s">
        <v>87</v>
      </c>
      <c r="H138" s="452">
        <f t="shared" si="85"/>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c r="Q138" s="183" t="e">
        <f t="shared" si="84"/>
        <v>#REF!</v>
      </c>
    </row>
    <row r="139" spans="2:17" s="16" customFormat="1" ht="12.75" hidden="1" x14ac:dyDescent="0.2">
      <c r="B139" s="213"/>
      <c r="E139" s="180">
        <v>43556</v>
      </c>
      <c r="F139" s="180" t="s">
        <v>378</v>
      </c>
      <c r="G139" s="181" t="s">
        <v>88</v>
      </c>
      <c r="H139" s="452">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c r="Q139" s="183" t="e">
        <f t="shared" si="84"/>
        <v>#REF!</v>
      </c>
    </row>
    <row r="140" spans="2:17" s="3" customFormat="1" ht="12.75" hidden="1" x14ac:dyDescent="0.2">
      <c r="B140" s="56"/>
      <c r="E140" s="180">
        <v>43586</v>
      </c>
      <c r="F140" s="180" t="s">
        <v>378</v>
      </c>
      <c r="G140" s="181" t="s">
        <v>88</v>
      </c>
      <c r="H140" s="452">
        <f t="shared" ref="H140:H141" si="86">$C$49/12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c r="Q140" s="183" t="e">
        <f t="shared" si="84"/>
        <v>#REF!</v>
      </c>
    </row>
    <row r="141" spans="2:17" s="3" customFormat="1" ht="12.75" hidden="1" x14ac:dyDescent="0.2">
      <c r="B141" s="56"/>
      <c r="E141" s="180">
        <v>43617</v>
      </c>
      <c r="F141" s="180" t="s">
        <v>378</v>
      </c>
      <c r="G141" s="181" t="s">
        <v>88</v>
      </c>
      <c r="H141" s="452">
        <f t="shared" si="86"/>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c r="Q141" s="183" t="e">
        <f t="shared" si="84"/>
        <v>#REF!</v>
      </c>
    </row>
    <row r="142" spans="2:17" hidden="1" x14ac:dyDescent="0.25">
      <c r="E142" s="180">
        <v>43647</v>
      </c>
      <c r="F142" s="180" t="s">
        <v>378</v>
      </c>
      <c r="G142" s="181" t="s">
        <v>90</v>
      </c>
      <c r="H142" s="452">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c r="Q142" s="183" t="e">
        <f t="shared" si="84"/>
        <v>#REF!</v>
      </c>
    </row>
    <row r="143" spans="2:17" hidden="1" x14ac:dyDescent="0.25">
      <c r="E143" s="180">
        <v>43678</v>
      </c>
      <c r="F143" s="180" t="s">
        <v>378</v>
      </c>
      <c r="G143" s="181" t="s">
        <v>90</v>
      </c>
      <c r="H143" s="452">
        <f t="shared" ref="H143:H144" si="87">$C$50/12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c r="Q143" s="183" t="e">
        <f t="shared" si="84"/>
        <v>#REF!</v>
      </c>
    </row>
    <row r="144" spans="2:17" hidden="1" x14ac:dyDescent="0.25">
      <c r="E144" s="180">
        <v>43709</v>
      </c>
      <c r="F144" s="180" t="s">
        <v>378</v>
      </c>
      <c r="G144" s="181" t="s">
        <v>90</v>
      </c>
      <c r="H144" s="452">
        <f t="shared" si="87"/>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c r="Q144" s="183" t="e">
        <f t="shared" si="84"/>
        <v>#REF!</v>
      </c>
    </row>
    <row r="145" spans="5:17" hidden="1" x14ac:dyDescent="0.25">
      <c r="E145" s="180">
        <v>43739</v>
      </c>
      <c r="F145" s="180" t="s">
        <v>378</v>
      </c>
      <c r="G145" s="181" t="s">
        <v>91</v>
      </c>
      <c r="H145" s="452">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c r="Q145" s="183" t="e">
        <f t="shared" si="84"/>
        <v>#REF!</v>
      </c>
    </row>
    <row r="146" spans="5:17" hidden="1" x14ac:dyDescent="0.25">
      <c r="E146" s="180">
        <v>43770</v>
      </c>
      <c r="F146" s="180" t="s">
        <v>378</v>
      </c>
      <c r="G146" s="181" t="s">
        <v>91</v>
      </c>
      <c r="H146" s="452">
        <f t="shared" ref="H146:H147" si="88">$C$51/12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c r="Q146" s="183" t="e">
        <f t="shared" si="84"/>
        <v>#REF!</v>
      </c>
    </row>
    <row r="147" spans="5:17" hidden="1" x14ac:dyDescent="0.25">
      <c r="E147" s="180">
        <v>43800</v>
      </c>
      <c r="F147" s="180" t="s">
        <v>378</v>
      </c>
      <c r="G147" s="181" t="s">
        <v>91</v>
      </c>
      <c r="H147" s="452">
        <f t="shared" si="88"/>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c r="Q147" s="183" t="e">
        <f t="shared" si="84"/>
        <v>#REF!</v>
      </c>
    </row>
    <row r="148" spans="5:17" ht="15.75" hidden="1" thickBot="1" x14ac:dyDescent="0.3">
      <c r="E148" s="192" t="s">
        <v>385</v>
      </c>
      <c r="F148" s="192"/>
      <c r="G148" s="193"/>
      <c r="H148" s="446"/>
      <c r="I148" s="194" t="e">
        <f>SUM(I135:I147)</f>
        <v>#REF!</v>
      </c>
      <c r="J148" s="194" t="e">
        <f>SUM(J135:J147)</f>
        <v>#REF!</v>
      </c>
      <c r="K148" s="194" t="e">
        <f t="shared" ref="K148:P148" si="89">SUM(K135:K147)</f>
        <v>#REF!</v>
      </c>
      <c r="L148" s="194" t="e">
        <f t="shared" si="89"/>
        <v>#REF!</v>
      </c>
      <c r="M148" s="194" t="e">
        <f t="shared" si="89"/>
        <v>#REF!</v>
      </c>
      <c r="N148" s="194" t="e">
        <f t="shared" si="89"/>
        <v>#REF!</v>
      </c>
      <c r="O148" s="194" t="e">
        <f t="shared" si="89"/>
        <v>#REF!</v>
      </c>
      <c r="P148" s="194">
        <f t="shared" si="89"/>
        <v>266.01416961763749</v>
      </c>
      <c r="Q148" s="194" t="e">
        <f>SUM(Q135:Q147)</f>
        <v>#REF!</v>
      </c>
    </row>
    <row r="149" spans="5:17" ht="15.75" hidden="1" thickTop="1" x14ac:dyDescent="0.25">
      <c r="E149" s="221" t="s">
        <v>89</v>
      </c>
      <c r="F149" s="221"/>
      <c r="G149" s="222"/>
      <c r="H149" s="447"/>
      <c r="I149" s="223"/>
      <c r="J149" s="223"/>
      <c r="K149" s="223"/>
      <c r="L149" s="223"/>
      <c r="M149" s="223"/>
      <c r="N149" s="223"/>
      <c r="O149" s="223"/>
      <c r="P149" s="223"/>
      <c r="Q149" s="224"/>
    </row>
    <row r="150" spans="5:17" hidden="1" x14ac:dyDescent="0.25">
      <c r="E150" s="189" t="s">
        <v>398</v>
      </c>
      <c r="F150" s="189"/>
      <c r="G150" s="190"/>
      <c r="H150" s="448"/>
      <c r="I150" s="191" t="e">
        <f>I148+I149</f>
        <v>#REF!</v>
      </c>
      <c r="J150" s="191" t="e">
        <f t="shared" ref="J150" si="90">J148+J149</f>
        <v>#REF!</v>
      </c>
      <c r="K150" s="191" t="e">
        <f t="shared" ref="K150" si="91">K148+K149</f>
        <v>#REF!</v>
      </c>
      <c r="L150" s="191" t="e">
        <f t="shared" ref="L150" si="92">L148+L149</f>
        <v>#REF!</v>
      </c>
      <c r="M150" s="191" t="e">
        <f t="shared" ref="M150" si="93">M148+M149</f>
        <v>#REF!</v>
      </c>
      <c r="N150" s="191" t="e">
        <f t="shared" ref="N150" si="94">N148+N149</f>
        <v>#REF!</v>
      </c>
      <c r="O150" s="191" t="e">
        <f t="shared" ref="O150" si="95">O148+O149</f>
        <v>#REF!</v>
      </c>
      <c r="P150" s="191">
        <f t="shared" ref="P150" si="96">P148+P149</f>
        <v>266.01416961763749</v>
      </c>
      <c r="Q150" s="191" t="e">
        <f>Q148+Q149</f>
        <v>#REF!</v>
      </c>
    </row>
    <row r="151" spans="5:17" hidden="1" x14ac:dyDescent="0.25">
      <c r="E151" s="180">
        <v>43831</v>
      </c>
      <c r="F151" s="180" t="s">
        <v>379</v>
      </c>
      <c r="G151" s="181" t="s">
        <v>87</v>
      </c>
      <c r="H151" s="452">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c r="Q151" s="183">
        <f>SUM(I151:P151)</f>
        <v>0</v>
      </c>
    </row>
    <row r="152" spans="5:17" hidden="1" x14ac:dyDescent="0.25">
      <c r="E152" s="180">
        <v>43862</v>
      </c>
      <c r="F152" s="180" t="s">
        <v>379</v>
      </c>
      <c r="G152" s="181" t="s">
        <v>87</v>
      </c>
      <c r="H152" s="452">
        <f t="shared" ref="H152:H153" si="97">$C$52/12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c r="Q152" s="183">
        <f>SUM(I152:P152)</f>
        <v>0</v>
      </c>
    </row>
    <row r="153" spans="5:17" hidden="1" x14ac:dyDescent="0.25">
      <c r="E153" s="180">
        <v>43891</v>
      </c>
      <c r="F153" s="180" t="s">
        <v>379</v>
      </c>
      <c r="G153" s="181" t="s">
        <v>87</v>
      </c>
      <c r="H153" s="452">
        <f t="shared" si="97"/>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c r="Q153" s="183">
        <f t="shared" ref="Q153:Q162" si="98">SUM(I153:P153)</f>
        <v>0</v>
      </c>
    </row>
    <row r="154" spans="5:17" hidden="1" x14ac:dyDescent="0.25">
      <c r="E154" s="180">
        <v>43922</v>
      </c>
      <c r="F154" s="180" t="s">
        <v>379</v>
      </c>
      <c r="G154" s="181" t="s">
        <v>88</v>
      </c>
      <c r="H154" s="452">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c r="Q154" s="183">
        <f t="shared" si="98"/>
        <v>0</v>
      </c>
    </row>
    <row r="155" spans="5:17" hidden="1" x14ac:dyDescent="0.25">
      <c r="E155" s="180">
        <v>43952</v>
      </c>
      <c r="F155" s="180" t="s">
        <v>379</v>
      </c>
      <c r="G155" s="181" t="s">
        <v>88</v>
      </c>
      <c r="H155" s="452">
        <f t="shared" ref="H155:H156" si="99">$C$53/12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c r="Q155" s="183">
        <f t="shared" si="98"/>
        <v>0</v>
      </c>
    </row>
    <row r="156" spans="5:17" hidden="1" x14ac:dyDescent="0.25">
      <c r="E156" s="180">
        <v>43983</v>
      </c>
      <c r="F156" s="180" t="s">
        <v>379</v>
      </c>
      <c r="G156" s="181" t="s">
        <v>88</v>
      </c>
      <c r="H156" s="452">
        <f t="shared" si="99"/>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c r="Q156" s="183">
        <f t="shared" si="98"/>
        <v>0</v>
      </c>
    </row>
    <row r="157" spans="5:17" hidden="1" x14ac:dyDescent="0.25">
      <c r="E157" s="180">
        <v>44013</v>
      </c>
      <c r="F157" s="180" t="s">
        <v>379</v>
      </c>
      <c r="G157" s="181" t="s">
        <v>90</v>
      </c>
      <c r="H157" s="452">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c r="Q157" s="183">
        <f t="shared" si="98"/>
        <v>0</v>
      </c>
    </row>
    <row r="158" spans="5:17" hidden="1" x14ac:dyDescent="0.25">
      <c r="E158" s="180">
        <v>44044</v>
      </c>
      <c r="F158" s="180" t="s">
        <v>379</v>
      </c>
      <c r="G158" s="181" t="s">
        <v>90</v>
      </c>
      <c r="H158" s="452">
        <f t="shared" ref="H158:H159" si="100">$C$54/12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c r="Q158" s="183">
        <f t="shared" si="98"/>
        <v>0</v>
      </c>
    </row>
    <row r="159" spans="5:17" hidden="1" x14ac:dyDescent="0.25">
      <c r="E159" s="180">
        <v>44075</v>
      </c>
      <c r="F159" s="180" t="s">
        <v>379</v>
      </c>
      <c r="G159" s="181" t="s">
        <v>90</v>
      </c>
      <c r="H159" s="452">
        <f t="shared" si="100"/>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c r="Q159" s="183">
        <f t="shared" si="98"/>
        <v>0</v>
      </c>
    </row>
    <row r="160" spans="5:17" hidden="1" x14ac:dyDescent="0.25">
      <c r="E160" s="180">
        <v>44105</v>
      </c>
      <c r="F160" s="180" t="s">
        <v>379</v>
      </c>
      <c r="G160" s="181" t="s">
        <v>91</v>
      </c>
      <c r="H160" s="452">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c r="Q160" s="183">
        <f t="shared" si="98"/>
        <v>0</v>
      </c>
    </row>
    <row r="161" spans="5:17" hidden="1" x14ac:dyDescent="0.25">
      <c r="E161" s="180">
        <v>44136</v>
      </c>
      <c r="F161" s="180" t="s">
        <v>379</v>
      </c>
      <c r="G161" s="181" t="s">
        <v>91</v>
      </c>
      <c r="H161" s="452">
        <f t="shared" ref="H161:H162" si="101">$C$55/12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c r="Q161" s="183">
        <f t="shared" si="98"/>
        <v>0</v>
      </c>
    </row>
    <row r="162" spans="5:17" hidden="1" x14ac:dyDescent="0.25">
      <c r="E162" s="180">
        <v>44166</v>
      </c>
      <c r="F162" s="180" t="s">
        <v>379</v>
      </c>
      <c r="G162" s="181" t="s">
        <v>91</v>
      </c>
      <c r="H162" s="452">
        <f t="shared" si="101"/>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c r="Q162" s="183">
        <f t="shared" si="98"/>
        <v>0</v>
      </c>
    </row>
    <row r="163" spans="5:17" ht="15.75" hidden="1" thickBot="1" x14ac:dyDescent="0.3">
      <c r="E163" s="192" t="s">
        <v>386</v>
      </c>
      <c r="F163" s="192"/>
      <c r="G163" s="193"/>
      <c r="H163" s="446"/>
      <c r="I163" s="194" t="e">
        <f>SUM(I150:I162)</f>
        <v>#REF!</v>
      </c>
      <c r="J163" s="194" t="e">
        <f>SUM(J150:J162)</f>
        <v>#REF!</v>
      </c>
      <c r="K163" s="194" t="e">
        <f t="shared" ref="K163:P163" si="102">SUM(K150:K162)</f>
        <v>#REF!</v>
      </c>
      <c r="L163" s="194" t="e">
        <f t="shared" si="102"/>
        <v>#REF!</v>
      </c>
      <c r="M163" s="194" t="e">
        <f t="shared" si="102"/>
        <v>#REF!</v>
      </c>
      <c r="N163" s="194" t="e">
        <f t="shared" si="102"/>
        <v>#REF!</v>
      </c>
      <c r="O163" s="194" t="e">
        <f t="shared" si="102"/>
        <v>#REF!</v>
      </c>
      <c r="P163" s="194">
        <f t="shared" si="102"/>
        <v>266.01416961763749</v>
      </c>
      <c r="Q163" s="194" t="e">
        <f>SUM(Q150:Q162)</f>
        <v>#REF!</v>
      </c>
    </row>
    <row r="164" spans="5:17" ht="15.75" hidden="1" thickTop="1" x14ac:dyDescent="0.25">
      <c r="E164" s="221" t="s">
        <v>89</v>
      </c>
      <c r="F164" s="221"/>
      <c r="G164" s="222"/>
      <c r="H164" s="447"/>
      <c r="I164" s="223"/>
      <c r="J164" s="223"/>
      <c r="K164" s="223"/>
      <c r="L164" s="223"/>
      <c r="M164" s="223"/>
      <c r="N164" s="223"/>
      <c r="O164" s="223"/>
      <c r="P164" s="223"/>
      <c r="Q164" s="224"/>
    </row>
  </sheetData>
  <mergeCells count="3">
    <mergeCell ref="B3:Q3"/>
    <mergeCell ref="D7:Q7"/>
    <mergeCell ref="B13:C13"/>
  </mergeCells>
  <hyperlinks>
    <hyperlink ref="B57" r:id="rId1"/>
  </hyperlinks>
  <printOptions headings="1" gridLines="1"/>
  <pageMargins left="0.7" right="0.7" top="0.75" bottom="0.75" header="0.3" footer="0.3"/>
  <pageSetup scale="42" fitToHeight="0" orientation="portrait" r:id="rId2"/>
  <headerFooter>
    <oddHeader>&amp;L&amp;Z&amp;F&amp;A</oddHeader>
    <oddFooter>&amp;L&amp;D&amp;T</oddFooter>
  </headerFooter>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E33" sqref="E3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652" t="s">
        <v>491</v>
      </c>
      <c r="C3" s="653"/>
      <c r="D3" s="653"/>
      <c r="E3" s="653"/>
      <c r="F3" s="653"/>
      <c r="G3" s="653"/>
      <c r="H3" s="653"/>
      <c r="I3" s="653"/>
      <c r="J3" s="653"/>
      <c r="K3" s="654"/>
    </row>
    <row r="4" spans="2:11" ht="15" customHeight="1" x14ac:dyDescent="0.25">
      <c r="B4" s="655"/>
      <c r="C4" s="656"/>
      <c r="D4" s="656"/>
      <c r="E4" s="656"/>
      <c r="F4" s="656"/>
      <c r="G4" s="656"/>
      <c r="H4" s="656"/>
      <c r="I4" s="656"/>
      <c r="J4" s="656"/>
      <c r="K4" s="657"/>
    </row>
    <row r="5" spans="2:11" ht="15" customHeight="1" x14ac:dyDescent="0.25">
      <c r="B5" s="655"/>
      <c r="C5" s="656"/>
      <c r="D5" s="656"/>
      <c r="E5" s="656"/>
      <c r="F5" s="656"/>
      <c r="G5" s="656"/>
      <c r="H5" s="656"/>
      <c r="I5" s="656"/>
      <c r="J5" s="656"/>
      <c r="K5" s="657"/>
    </row>
    <row r="6" spans="2:11" x14ac:dyDescent="0.25">
      <c r="B6" s="655"/>
      <c r="C6" s="656"/>
      <c r="D6" s="656"/>
      <c r="E6" s="656"/>
      <c r="F6" s="656"/>
      <c r="G6" s="656"/>
      <c r="H6" s="656"/>
      <c r="I6" s="656"/>
      <c r="J6" s="656"/>
      <c r="K6" s="657"/>
    </row>
    <row r="7" spans="2:11" x14ac:dyDescent="0.25">
      <c r="B7" s="658"/>
      <c r="C7" s="659"/>
      <c r="D7" s="659"/>
      <c r="E7" s="659"/>
      <c r="F7" s="659"/>
      <c r="G7" s="659"/>
      <c r="H7" s="659"/>
      <c r="I7" s="659"/>
      <c r="J7" s="659"/>
      <c r="K7" s="660"/>
    </row>
    <row r="9" spans="2:11" s="427" customFormat="1" ht="18.75" x14ac:dyDescent="0.3">
      <c r="B9" s="429"/>
      <c r="C9" s="428" t="s">
        <v>442</v>
      </c>
      <c r="H9" s="430"/>
      <c r="I9" s="428" t="s">
        <v>443</v>
      </c>
    </row>
    <row r="11" spans="2:11" x14ac:dyDescent="0.25">
      <c r="B11" s="83" t="s">
        <v>452</v>
      </c>
      <c r="C11" s="441" t="s">
        <v>459</v>
      </c>
      <c r="D11" s="442"/>
      <c r="E11" s="443"/>
      <c r="F11" s="444" t="s">
        <v>451</v>
      </c>
      <c r="G11" s="66"/>
      <c r="H11" s="661" t="s">
        <v>445</v>
      </c>
      <c r="I11" s="441" t="s">
        <v>444</v>
      </c>
      <c r="J11" s="442"/>
      <c r="K11" s="443"/>
    </row>
    <row r="12" spans="2:11" x14ac:dyDescent="0.25">
      <c r="B12" s="83" t="s">
        <v>492</v>
      </c>
      <c r="C12" s="397" t="s">
        <v>460</v>
      </c>
      <c r="D12" s="154"/>
      <c r="E12" s="336"/>
      <c r="F12" s="444" t="s">
        <v>451</v>
      </c>
      <c r="G12" s="66"/>
      <c r="H12" s="661"/>
      <c r="I12" s="397" t="s">
        <v>446</v>
      </c>
      <c r="J12" s="154"/>
      <c r="K12" s="336"/>
    </row>
    <row r="13" spans="2:11" x14ac:dyDescent="0.25">
      <c r="B13" s="83" t="s">
        <v>453</v>
      </c>
      <c r="C13" s="398" t="s">
        <v>447</v>
      </c>
      <c r="D13" s="317"/>
      <c r="E13" s="382"/>
      <c r="F13" s="444" t="s">
        <v>451</v>
      </c>
      <c r="G13" s="66"/>
      <c r="H13" s="661"/>
      <c r="I13" s="398" t="s">
        <v>448</v>
      </c>
      <c r="J13" s="317"/>
      <c r="K13" s="382"/>
    </row>
    <row r="14" spans="2:11" x14ac:dyDescent="0.25">
      <c r="B14" s="83"/>
      <c r="C14" s="66"/>
      <c r="D14" s="66"/>
      <c r="E14" s="66"/>
      <c r="F14" s="66"/>
      <c r="G14" s="66"/>
      <c r="H14" s="439"/>
      <c r="I14" s="66"/>
      <c r="J14" s="66"/>
      <c r="K14" s="66"/>
    </row>
    <row r="15" spans="2:11" ht="15" customHeight="1" x14ac:dyDescent="0.25">
      <c r="B15" s="662" t="s">
        <v>492</v>
      </c>
      <c r="C15" s="441"/>
      <c r="D15" s="442"/>
      <c r="E15" s="443"/>
      <c r="F15" s="66"/>
      <c r="G15" s="66"/>
      <c r="H15" s="661" t="s">
        <v>493</v>
      </c>
      <c r="I15" s="663" t="s">
        <v>454</v>
      </c>
      <c r="J15" s="664"/>
      <c r="K15" s="665"/>
    </row>
    <row r="16" spans="2:11" x14ac:dyDescent="0.25">
      <c r="B16" s="662"/>
      <c r="C16" s="397" t="s">
        <v>461</v>
      </c>
      <c r="D16" s="154"/>
      <c r="E16" s="336"/>
      <c r="F16" s="66"/>
      <c r="G16" s="66"/>
      <c r="H16" s="661"/>
      <c r="I16" s="666"/>
      <c r="J16" s="667"/>
      <c r="K16" s="668"/>
    </row>
    <row r="17" spans="2:11" x14ac:dyDescent="0.25">
      <c r="B17" s="662"/>
      <c r="C17" s="397" t="s">
        <v>449</v>
      </c>
      <c r="D17" s="154"/>
      <c r="E17" s="336"/>
      <c r="F17" s="66"/>
      <c r="G17" s="66"/>
      <c r="H17" s="661"/>
      <c r="I17" s="666"/>
      <c r="J17" s="667"/>
      <c r="K17" s="668"/>
    </row>
    <row r="18" spans="2:11" x14ac:dyDescent="0.25">
      <c r="B18" s="662"/>
      <c r="C18" s="397" t="s">
        <v>462</v>
      </c>
      <c r="D18" s="154"/>
      <c r="E18" s="336"/>
      <c r="F18" s="66"/>
      <c r="G18" s="66"/>
      <c r="H18" s="661"/>
      <c r="I18" s="666"/>
      <c r="J18" s="667"/>
      <c r="K18" s="668"/>
    </row>
    <row r="19" spans="2:11" x14ac:dyDescent="0.25">
      <c r="B19" s="662"/>
      <c r="C19" s="397" t="s">
        <v>449</v>
      </c>
      <c r="D19" s="154"/>
      <c r="E19" s="336"/>
      <c r="F19" s="66"/>
      <c r="G19" s="66"/>
      <c r="H19" s="661"/>
      <c r="I19" s="666"/>
      <c r="J19" s="667"/>
      <c r="K19" s="668"/>
    </row>
    <row r="20" spans="2:11" x14ac:dyDescent="0.25">
      <c r="B20" s="662"/>
      <c r="C20" s="397" t="s">
        <v>450</v>
      </c>
      <c r="D20" s="154"/>
      <c r="E20" s="336"/>
      <c r="F20" s="66"/>
      <c r="G20" s="66"/>
      <c r="H20" s="661"/>
      <c r="I20" s="666"/>
      <c r="J20" s="667"/>
      <c r="K20" s="668"/>
    </row>
    <row r="21" spans="2:11" x14ac:dyDescent="0.25">
      <c r="B21" s="83"/>
      <c r="C21" s="398"/>
      <c r="D21" s="317"/>
      <c r="E21" s="382"/>
      <c r="F21" s="66"/>
      <c r="G21" s="66"/>
      <c r="H21" s="661"/>
      <c r="I21" s="666"/>
      <c r="J21" s="667"/>
      <c r="K21" s="668"/>
    </row>
    <row r="22" spans="2:11" x14ac:dyDescent="0.25">
      <c r="B22" s="83"/>
      <c r="C22" s="66"/>
      <c r="D22" s="66"/>
      <c r="E22" s="66"/>
      <c r="F22" s="66"/>
      <c r="G22" s="66"/>
      <c r="H22" s="661"/>
      <c r="I22" s="666"/>
      <c r="J22" s="667"/>
      <c r="K22" s="668"/>
    </row>
    <row r="23" spans="2:11" x14ac:dyDescent="0.25">
      <c r="B23" s="83" t="s">
        <v>471</v>
      </c>
      <c r="C23" s="441" t="s">
        <v>455</v>
      </c>
      <c r="D23" s="442"/>
      <c r="E23" s="443"/>
      <c r="F23" s="66"/>
      <c r="G23" s="66"/>
      <c r="H23" s="661"/>
      <c r="I23" s="666"/>
      <c r="J23" s="667"/>
      <c r="K23" s="668"/>
    </row>
    <row r="24" spans="2:11" x14ac:dyDescent="0.25">
      <c r="B24" s="83"/>
      <c r="C24" s="397" t="s">
        <v>449</v>
      </c>
      <c r="D24" s="154"/>
      <c r="E24" s="336"/>
      <c r="F24" s="66"/>
      <c r="G24" s="66"/>
      <c r="H24" s="661"/>
      <c r="I24" s="666"/>
      <c r="J24" s="667"/>
      <c r="K24" s="668"/>
    </row>
    <row r="25" spans="2:11" x14ac:dyDescent="0.25">
      <c r="B25" s="83" t="s">
        <v>492</v>
      </c>
      <c r="C25" s="397" t="s">
        <v>456</v>
      </c>
      <c r="D25" s="154"/>
      <c r="E25" s="336"/>
      <c r="F25" s="66"/>
      <c r="G25" s="66"/>
      <c r="H25" s="661"/>
      <c r="I25" s="666"/>
      <c r="J25" s="667"/>
      <c r="K25" s="668"/>
    </row>
    <row r="26" spans="2:11" x14ac:dyDescent="0.25">
      <c r="B26" s="83"/>
      <c r="C26" s="398"/>
      <c r="D26" s="317"/>
      <c r="E26" s="382"/>
      <c r="F26" s="66"/>
      <c r="G26" s="66"/>
      <c r="H26" s="661"/>
      <c r="I26" s="666"/>
      <c r="J26" s="667"/>
      <c r="K26" s="668"/>
    </row>
    <row r="27" spans="2:11" x14ac:dyDescent="0.25">
      <c r="B27" s="83"/>
      <c r="C27" s="66"/>
      <c r="D27" s="66"/>
      <c r="E27" s="66"/>
      <c r="F27" s="66"/>
      <c r="G27" s="66"/>
      <c r="H27" s="661"/>
      <c r="I27" s="669"/>
      <c r="J27" s="670"/>
      <c r="K27" s="671"/>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2"/>
  <sheetViews>
    <sheetView tabSelected="1" zoomScale="75" zoomScaleNormal="75" workbookViewId="0">
      <pane ySplit="3" topLeftCell="A25" activePane="bottomLeft" state="frozen"/>
      <selection pane="bottomLeft" activeCell="D52" sqref="D52"/>
    </sheetView>
  </sheetViews>
  <sheetFormatPr defaultRowHeight="15.75" outlineLevelRow="1" x14ac:dyDescent="0.25"/>
  <cols>
    <col min="1" max="1" width="7" style="23" customWidth="1"/>
    <col min="2" max="2" width="36.7109375" style="23" customWidth="1"/>
    <col min="3" max="3" width="29" style="23" customWidth="1"/>
    <col min="4" max="4" width="19.85546875" style="45" customWidth="1"/>
    <col min="5" max="5" width="23" style="23" hidden="1" customWidth="1"/>
    <col min="6" max="6" width="31.140625" style="23" hidden="1" customWidth="1"/>
    <col min="7" max="7" width="22.85546875" style="23" hidden="1" customWidth="1"/>
    <col min="8" max="8" width="20.85546875" style="23" customWidth="1"/>
    <col min="9" max="9" width="16.42578125" style="23" customWidth="1"/>
    <col min="10" max="10" width="14.42578125" style="23" customWidth="1"/>
    <col min="11" max="11" width="17.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672" t="s">
        <v>336</v>
      </c>
      <c r="C3" s="672"/>
      <c r="D3" s="672"/>
      <c r="E3" s="672"/>
      <c r="F3" s="672"/>
      <c r="G3" s="672"/>
      <c r="H3" s="672"/>
      <c r="I3" s="672"/>
      <c r="J3" s="672"/>
      <c r="K3" s="672"/>
    </row>
    <row r="4" spans="2:15" ht="13.5" customHeight="1" x14ac:dyDescent="0.3">
      <c r="B4" s="227"/>
      <c r="C4" s="227"/>
      <c r="D4" s="227"/>
      <c r="E4" s="227"/>
      <c r="F4" s="227"/>
      <c r="G4" s="227"/>
      <c r="H4" s="227"/>
      <c r="I4" s="227"/>
      <c r="J4" s="227"/>
      <c r="K4" s="227"/>
    </row>
    <row r="5" spans="2:15" ht="18" customHeight="1" outlineLevel="1" x14ac:dyDescent="0.25">
      <c r="B5" s="674" t="s">
        <v>503</v>
      </c>
      <c r="C5" s="674"/>
      <c r="D5" s="674"/>
      <c r="E5" s="674"/>
      <c r="F5" s="674"/>
      <c r="G5" s="674"/>
      <c r="H5" s="674"/>
      <c r="I5" s="674"/>
      <c r="J5" s="674"/>
      <c r="K5" s="674"/>
    </row>
    <row r="6" spans="2:15" ht="12.75" customHeight="1" outlineLevel="1" x14ac:dyDescent="0.3">
      <c r="B6" s="227"/>
      <c r="C6" s="227"/>
      <c r="D6" s="227"/>
      <c r="E6" s="227"/>
      <c r="F6" s="227"/>
      <c r="G6" s="227"/>
      <c r="H6" s="227"/>
      <c r="I6" s="227"/>
      <c r="J6" s="227"/>
      <c r="K6" s="227"/>
    </row>
    <row r="7" spans="2:15" ht="12" customHeight="1" outlineLevel="1" thickBot="1" x14ac:dyDescent="0.35">
      <c r="B7" s="227"/>
      <c r="C7" s="227"/>
      <c r="D7" s="227"/>
      <c r="E7" s="227"/>
      <c r="F7" s="227"/>
      <c r="G7" s="227"/>
      <c r="H7" s="227"/>
      <c r="I7" s="227"/>
      <c r="J7" s="227"/>
      <c r="K7" s="227"/>
    </row>
    <row r="8" spans="2:15" outlineLevel="1" thickBot="1" x14ac:dyDescent="0.3">
      <c r="C8" s="347" t="s">
        <v>212</v>
      </c>
      <c r="D8" s="386" t="s">
        <v>516</v>
      </c>
      <c r="J8" s="4"/>
      <c r="K8" s="4"/>
    </row>
    <row r="9" spans="2:15" ht="15.75" customHeight="1" outlineLevel="1" thickBot="1" x14ac:dyDescent="0.3">
      <c r="C9" s="432" t="s">
        <v>209</v>
      </c>
      <c r="D9" s="386" t="s">
        <v>524</v>
      </c>
      <c r="F9" s="675" t="s">
        <v>401</v>
      </c>
      <c r="G9" s="676"/>
      <c r="H9" s="631">
        <f>-K33</f>
        <v>26935</v>
      </c>
      <c r="M9" s="23"/>
      <c r="O9" s="17"/>
    </row>
    <row r="10" spans="2:15" outlineLevel="1" thickBot="1" x14ac:dyDescent="0.3">
      <c r="C10" s="347" t="s">
        <v>210</v>
      </c>
      <c r="D10" s="386" t="s">
        <v>524</v>
      </c>
      <c r="F10" s="346" t="s">
        <v>441</v>
      </c>
      <c r="G10" s="346"/>
      <c r="H10" s="386" t="s">
        <v>525</v>
      </c>
      <c r="M10" s="23"/>
      <c r="O10" s="17"/>
    </row>
    <row r="11" spans="2:15" ht="15" customHeight="1" outlineLevel="1" thickBot="1" x14ac:dyDescent="0.3">
      <c r="C11" s="432" t="s">
        <v>211</v>
      </c>
      <c r="D11" s="386" t="s">
        <v>524</v>
      </c>
      <c r="F11" s="675" t="s">
        <v>400</v>
      </c>
      <c r="G11" s="676"/>
      <c r="H11" s="386" t="s">
        <v>510</v>
      </c>
      <c r="M11" s="23"/>
      <c r="O11" s="17"/>
    </row>
    <row r="12" spans="2:15" ht="30.75" outlineLevel="1" thickBot="1" x14ac:dyDescent="0.3">
      <c r="C12" s="347" t="s">
        <v>213</v>
      </c>
      <c r="D12" s="633" t="s">
        <v>526</v>
      </c>
      <c r="F12" s="86"/>
      <c r="G12" s="86"/>
      <c r="K12" s="4"/>
      <c r="L12" s="4"/>
      <c r="M12" s="23"/>
      <c r="O12" s="17"/>
    </row>
    <row r="13" spans="2:15" outlineLevel="1" thickBot="1" x14ac:dyDescent="0.3">
      <c r="C13" s="17"/>
      <c r="D13" s="23"/>
      <c r="F13" s="348"/>
      <c r="G13" s="348"/>
      <c r="H13" s="81"/>
      <c r="K13" s="4"/>
      <c r="L13" s="4"/>
      <c r="M13" s="23"/>
      <c r="O13" s="17"/>
    </row>
    <row r="14" spans="2:15" ht="29.25" outlineLevel="1" thickBot="1" x14ac:dyDescent="0.3">
      <c r="C14" s="673" t="s">
        <v>337</v>
      </c>
      <c r="D14" s="197" t="s">
        <v>363</v>
      </c>
      <c r="F14" s="352" t="s">
        <v>411</v>
      </c>
      <c r="G14" s="352"/>
      <c r="H14" s="486">
        <f>K38</f>
        <v>61161.208644277714</v>
      </c>
      <c r="M14" s="23"/>
      <c r="O14" s="17"/>
    </row>
    <row r="15" spans="2:15" outlineLevel="1" thickBot="1" x14ac:dyDescent="0.3">
      <c r="C15" s="673"/>
      <c r="D15" s="85" t="s">
        <v>338</v>
      </c>
      <c r="F15" s="677" t="s">
        <v>464</v>
      </c>
      <c r="G15" s="678"/>
      <c r="H15" s="474">
        <v>1</v>
      </c>
      <c r="M15" s="23"/>
      <c r="O15" s="17"/>
    </row>
    <row r="16" spans="2:15" ht="15" outlineLevel="1" x14ac:dyDescent="0.25">
      <c r="D16" s="23"/>
      <c r="F16" s="17"/>
      <c r="H16" s="434"/>
    </row>
    <row r="17" spans="1:15" ht="15" outlineLevel="1" x14ac:dyDescent="0.25">
      <c r="A17" s="71"/>
      <c r="B17" s="72"/>
      <c r="C17" s="77"/>
      <c r="D17" s="23"/>
    </row>
    <row r="18" spans="1:15" ht="15" outlineLevel="1" x14ac:dyDescent="0.25">
      <c r="A18" s="68"/>
      <c r="B18" s="67"/>
      <c r="D18" s="23"/>
    </row>
    <row r="19" spans="1:15" s="68" customFormat="1" ht="21" x14ac:dyDescent="0.25">
      <c r="B19" s="112" t="s">
        <v>345</v>
      </c>
      <c r="C19" s="116"/>
      <c r="D19" s="116"/>
      <c r="E19" s="116"/>
      <c r="F19" s="116"/>
      <c r="G19" s="116"/>
      <c r="H19" s="116"/>
      <c r="I19" s="116"/>
      <c r="J19" s="116"/>
      <c r="K19" s="116"/>
      <c r="M19" s="117"/>
      <c r="N19" s="52"/>
      <c r="O19" s="118"/>
    </row>
    <row r="20" spans="1:15" ht="12" customHeight="1" x14ac:dyDescent="0.25">
      <c r="B20" s="76"/>
      <c r="C20" s="76"/>
      <c r="D20" s="76"/>
      <c r="E20" s="76"/>
      <c r="F20" s="76"/>
      <c r="G20" s="76"/>
      <c r="H20" s="76"/>
      <c r="I20" s="76"/>
      <c r="J20" s="76"/>
      <c r="K20" s="76"/>
      <c r="N20" s="52"/>
      <c r="O20" s="29"/>
    </row>
    <row r="21" spans="1:15" ht="45" x14ac:dyDescent="0.25">
      <c r="B21" s="94" t="s">
        <v>48</v>
      </c>
      <c r="C21" s="95" t="s">
        <v>37</v>
      </c>
      <c r="D21" s="95" t="s">
        <v>39</v>
      </c>
      <c r="E21" s="563" t="s">
        <v>107</v>
      </c>
      <c r="F21" s="563" t="s">
        <v>108</v>
      </c>
      <c r="G21" s="563" t="s">
        <v>40</v>
      </c>
      <c r="H21" s="95" t="s">
        <v>41</v>
      </c>
      <c r="I21" s="95" t="s">
        <v>42</v>
      </c>
      <c r="J21" s="102" t="s">
        <v>505</v>
      </c>
      <c r="K21" s="96" t="s">
        <v>34</v>
      </c>
      <c r="N21" s="52"/>
    </row>
    <row r="22" spans="1:15" ht="15" x14ac:dyDescent="0.25">
      <c r="B22" s="97" t="s">
        <v>49</v>
      </c>
      <c r="C22" s="87">
        <f>-'2.  CDM Allocation'!C133</f>
        <v>0</v>
      </c>
      <c r="D22" s="87">
        <f>-'2.  CDM Allocation'!D133</f>
        <v>0</v>
      </c>
      <c r="E22" s="564">
        <f>-'2.  CDM Allocation'!E133</f>
        <v>0</v>
      </c>
      <c r="F22" s="564">
        <f>-'2.  CDM Allocation'!F133</f>
        <v>0</v>
      </c>
      <c r="G22" s="564">
        <f>-'2.  CDM Allocation'!G133</f>
        <v>0</v>
      </c>
      <c r="H22" s="87">
        <f>-'2.  CDM Allocation'!H133</f>
        <v>0</v>
      </c>
      <c r="I22" s="87">
        <f>-'2.  CDM Allocation'!I133</f>
        <v>0</v>
      </c>
      <c r="J22" s="87">
        <f>-'2.  CDM Allocation'!J133</f>
        <v>0</v>
      </c>
      <c r="K22" s="110">
        <f>SUM(C22:J22)</f>
        <v>0</v>
      </c>
      <c r="N22" s="53"/>
    </row>
    <row r="23" spans="1:15" s="17" customFormat="1" ht="15" x14ac:dyDescent="0.25">
      <c r="B23" s="98" t="s">
        <v>201</v>
      </c>
      <c r="C23" s="88">
        <f>'4.  2011-14 LRAM'!H73</f>
        <v>2610.5326249999994</v>
      </c>
      <c r="D23" s="88">
        <f>'4.  2011-14 LRAM'!I73</f>
        <v>6780.4612009599996</v>
      </c>
      <c r="E23" s="565">
        <f>'4.  2011-14 LRAM'!J73</f>
        <v>0</v>
      </c>
      <c r="F23" s="565">
        <f>'4.  2011-14 LRAM'!K73</f>
        <v>0</v>
      </c>
      <c r="G23" s="565">
        <f>'4.  2011-14 LRAM'!L73</f>
        <v>0</v>
      </c>
      <c r="H23" s="88">
        <f>'4.  2011-14 LRAM'!M73</f>
        <v>0</v>
      </c>
      <c r="I23" s="88">
        <f>'4.  2011-14 LRAM'!N73</f>
        <v>0</v>
      </c>
      <c r="J23" s="88">
        <f>'4.  2011-14 LRAM'!O73</f>
        <v>330.25105536000007</v>
      </c>
      <c r="K23" s="99">
        <f t="shared" ref="K23:K24" si="0">SUM(C23:J23)</f>
        <v>9721.244881319999</v>
      </c>
      <c r="N23" s="53"/>
      <c r="O23" s="28"/>
    </row>
    <row r="24" spans="1:15" s="17" customFormat="1" ht="15" x14ac:dyDescent="0.25">
      <c r="B24" s="226" t="s">
        <v>89</v>
      </c>
      <c r="C24" s="235"/>
      <c r="D24" s="235"/>
      <c r="E24" s="566">
        <f t="shared" ref="E24:G24" si="1">-(E22+E23)</f>
        <v>0</v>
      </c>
      <c r="F24" s="566">
        <f t="shared" si="1"/>
        <v>0</v>
      </c>
      <c r="G24" s="566">
        <f t="shared" si="1"/>
        <v>0</v>
      </c>
      <c r="H24" s="235"/>
      <c r="I24" s="235"/>
      <c r="J24" s="235"/>
      <c r="K24" s="236">
        <f t="shared" si="0"/>
        <v>0</v>
      </c>
      <c r="N24" s="53"/>
      <c r="O24" s="28"/>
    </row>
    <row r="25" spans="1:15" ht="15" x14ac:dyDescent="0.25">
      <c r="B25" s="97" t="s">
        <v>50</v>
      </c>
      <c r="C25" s="87">
        <f>-'2.  CDM Allocation'!C134</f>
        <v>0</v>
      </c>
      <c r="D25" s="87">
        <f>-'2.  CDM Allocation'!D134</f>
        <v>0</v>
      </c>
      <c r="E25" s="564">
        <f>-'2.  CDM Allocation'!E134</f>
        <v>0</v>
      </c>
      <c r="F25" s="564">
        <f>-'2.  CDM Allocation'!F134</f>
        <v>0</v>
      </c>
      <c r="G25" s="564">
        <f>-'2.  CDM Allocation'!G134</f>
        <v>0</v>
      </c>
      <c r="H25" s="87">
        <f>-'2.  CDM Allocation'!H134</f>
        <v>0</v>
      </c>
      <c r="I25" s="87">
        <f>-'2.  CDM Allocation'!I134</f>
        <v>0</v>
      </c>
      <c r="J25" s="87">
        <f>-'2.  CDM Allocation'!J134</f>
        <v>0</v>
      </c>
      <c r="K25" s="110">
        <f t="shared" ref="K25:K27" si="2">SUM(C25:J25)</f>
        <v>0</v>
      </c>
      <c r="N25" s="53"/>
    </row>
    <row r="26" spans="1:15" s="17" customFormat="1" ht="15" x14ac:dyDescent="0.25">
      <c r="B26" s="98" t="s">
        <v>202</v>
      </c>
      <c r="C26" s="88">
        <f>'4.  2011-14 LRAM'!H153</f>
        <v>4270.231830433333</v>
      </c>
      <c r="D26" s="88">
        <f>'4.  2011-14 LRAM'!I153</f>
        <v>13710.207547913335</v>
      </c>
      <c r="E26" s="565">
        <f>'4.  2011-14 LRAM'!J153</f>
        <v>0</v>
      </c>
      <c r="F26" s="565">
        <f>'4.  2011-14 LRAM'!K153</f>
        <v>0</v>
      </c>
      <c r="G26" s="565">
        <f>'4.  2011-14 LRAM'!L153</f>
        <v>0</v>
      </c>
      <c r="H26" s="88">
        <f>'4.  2011-14 LRAM'!M153</f>
        <v>0</v>
      </c>
      <c r="I26" s="88">
        <f>'4.  2011-14 LRAM'!N153</f>
        <v>0</v>
      </c>
      <c r="J26" s="88">
        <f>'4.  2011-14 LRAM'!O153</f>
        <v>1885.7576993600001</v>
      </c>
      <c r="K26" s="99">
        <f t="shared" si="2"/>
        <v>19866.197077706667</v>
      </c>
      <c r="N26" s="53"/>
    </row>
    <row r="27" spans="1:15" s="17" customFormat="1" ht="15" x14ac:dyDescent="0.25">
      <c r="B27" s="226" t="s">
        <v>89</v>
      </c>
      <c r="C27" s="235"/>
      <c r="D27" s="235"/>
      <c r="E27" s="566">
        <f t="shared" ref="E27:G27" si="3">-(E25+E26)</f>
        <v>0</v>
      </c>
      <c r="F27" s="566">
        <f t="shared" si="3"/>
        <v>0</v>
      </c>
      <c r="G27" s="566">
        <f t="shared" si="3"/>
        <v>0</v>
      </c>
      <c r="H27" s="235"/>
      <c r="I27" s="235"/>
      <c r="J27" s="235"/>
      <c r="K27" s="236">
        <f t="shared" si="2"/>
        <v>0</v>
      </c>
      <c r="N27" s="53"/>
    </row>
    <row r="28" spans="1:15" ht="15" x14ac:dyDescent="0.25">
      <c r="B28" s="97" t="s">
        <v>51</v>
      </c>
      <c r="C28" s="87">
        <f>-'2.  CDM Allocation'!C135</f>
        <v>0</v>
      </c>
      <c r="D28" s="87">
        <f>-'2.  CDM Allocation'!D135</f>
        <v>0</v>
      </c>
      <c r="E28" s="564">
        <f>-'2.  CDM Allocation'!E135</f>
        <v>0</v>
      </c>
      <c r="F28" s="564">
        <f>-'2.  CDM Allocation'!F135</f>
        <v>0</v>
      </c>
      <c r="G28" s="564">
        <f>-'2.  CDM Allocation'!G135</f>
        <v>0</v>
      </c>
      <c r="H28" s="87">
        <f>-'2.  CDM Allocation'!H135</f>
        <v>0</v>
      </c>
      <c r="I28" s="87">
        <f>-'2.  CDM Allocation'!I135</f>
        <v>0</v>
      </c>
      <c r="J28" s="87">
        <f>-'2.  CDM Allocation'!J135</f>
        <v>0</v>
      </c>
      <c r="K28" s="110">
        <f t="shared" ref="K28:K30" si="4">SUM(C28:J28)</f>
        <v>0</v>
      </c>
      <c r="N28" s="53"/>
    </row>
    <row r="29" spans="1:15" s="17" customFormat="1" ht="15" x14ac:dyDescent="0.25">
      <c r="B29" s="98" t="s">
        <v>52</v>
      </c>
      <c r="C29" s="88">
        <f>'4.  2011-14 LRAM'!H234</f>
        <v>5820.2531120022604</v>
      </c>
      <c r="D29" s="88">
        <f>'4.  2011-14 LRAM'!I234</f>
        <v>18068.685219285231</v>
      </c>
      <c r="E29" s="565">
        <f>'4.  2011-14 LRAM'!J234</f>
        <v>0</v>
      </c>
      <c r="F29" s="565">
        <f>'4.  2011-14 LRAM'!K234</f>
        <v>0</v>
      </c>
      <c r="G29" s="565">
        <f>'4.  2011-14 LRAM'!L234</f>
        <v>0</v>
      </c>
      <c r="H29" s="88">
        <f>'4.  2011-14 LRAM'!M234</f>
        <v>0</v>
      </c>
      <c r="I29" s="88">
        <f>'4.  2011-14 LRAM'!N234</f>
        <v>0</v>
      </c>
      <c r="J29" s="88">
        <f>'4.  2011-14 LRAM'!O234</f>
        <v>4618.1953713629737</v>
      </c>
      <c r="K29" s="99">
        <f t="shared" si="4"/>
        <v>28507.133702650466</v>
      </c>
      <c r="N29" s="53"/>
    </row>
    <row r="30" spans="1:15" s="17" customFormat="1" ht="15" x14ac:dyDescent="0.25">
      <c r="B30" s="226" t="s">
        <v>89</v>
      </c>
      <c r="C30" s="235"/>
      <c r="D30" s="235"/>
      <c r="E30" s="566">
        <v>0</v>
      </c>
      <c r="F30" s="566">
        <v>0</v>
      </c>
      <c r="G30" s="566">
        <v>0</v>
      </c>
      <c r="H30" s="235"/>
      <c r="I30" s="235"/>
      <c r="J30" s="235"/>
      <c r="K30" s="236">
        <f t="shared" si="4"/>
        <v>0</v>
      </c>
      <c r="N30" s="53"/>
    </row>
    <row r="31" spans="1:15" ht="15" x14ac:dyDescent="0.25">
      <c r="B31" s="97" t="s">
        <v>53</v>
      </c>
      <c r="C31" s="87">
        <f>-'2.  CDM Allocation'!C136</f>
        <v>-13179.53726735614</v>
      </c>
      <c r="D31" s="87">
        <f>-'2.  CDM Allocation'!D136</f>
        <v>-6886.57981989375</v>
      </c>
      <c r="E31" s="564">
        <f>-'2.  CDM Allocation'!E136</f>
        <v>0</v>
      </c>
      <c r="F31" s="564">
        <f>-'2.  CDM Allocation'!F136</f>
        <v>0</v>
      </c>
      <c r="G31" s="564">
        <f>-'2.  CDM Allocation'!G136</f>
        <v>0</v>
      </c>
      <c r="H31" s="87">
        <f>-'2.  CDM Allocation'!H136</f>
        <v>-1337.0284570223582</v>
      </c>
      <c r="I31" s="87">
        <f>-'2.  CDM Allocation'!I136</f>
        <v>-34.72353997700673</v>
      </c>
      <c r="J31" s="87">
        <f>-'2.  CDM Allocation'!J136</f>
        <v>-6955.0936858260275</v>
      </c>
      <c r="K31" s="110">
        <f t="shared" ref="K31:K33" si="5">SUM(C31:J31)</f>
        <v>-28392.962770075286</v>
      </c>
      <c r="N31" s="53"/>
    </row>
    <row r="32" spans="1:15" s="17" customFormat="1" ht="15" x14ac:dyDescent="0.25">
      <c r="B32" s="98" t="s">
        <v>54</v>
      </c>
      <c r="C32" s="88">
        <f>'4.  2011-14 LRAM'!H316</f>
        <v>9257.3198803521573</v>
      </c>
      <c r="D32" s="88">
        <f>'4.  2011-14 LRAM'!I316</f>
        <v>21298.747123470108</v>
      </c>
      <c r="E32" s="565">
        <f>'4.  2011-14 LRAM'!J316</f>
        <v>0</v>
      </c>
      <c r="F32" s="565">
        <f>'4.  2011-14 LRAM'!K316</f>
        <v>0</v>
      </c>
      <c r="G32" s="565">
        <f>'4.  2011-14 LRAM'!L316</f>
        <v>0</v>
      </c>
      <c r="H32" s="88">
        <f>'4.  2011-14 LRAM'!M316</f>
        <v>0</v>
      </c>
      <c r="I32" s="88">
        <f>'4.  2011-14 LRAM'!N316</f>
        <v>0</v>
      </c>
      <c r="J32" s="88">
        <f>'4.  2011-14 LRAM'!O316</f>
        <v>5706.8268934443349</v>
      </c>
      <c r="K32" s="99">
        <f t="shared" si="5"/>
        <v>36262.8938972666</v>
      </c>
      <c r="N32" s="53"/>
    </row>
    <row r="33" spans="1:14" s="17" customFormat="1" ht="15" x14ac:dyDescent="0.25">
      <c r="B33" s="226" t="s">
        <v>89</v>
      </c>
      <c r="C33" s="235">
        <f>-(901+1746+873+1731+491+974)</f>
        <v>-6716</v>
      </c>
      <c r="D33" s="235">
        <f>-(2655+5154+2577+5154+1430+2859)</f>
        <v>-19829</v>
      </c>
      <c r="E33" s="566">
        <v>0</v>
      </c>
      <c r="F33" s="566">
        <v>0</v>
      </c>
      <c r="G33" s="566">
        <v>0</v>
      </c>
      <c r="H33" s="235">
        <v>0</v>
      </c>
      <c r="I33" s="235">
        <v>0</v>
      </c>
      <c r="J33" s="235">
        <f>-(37+69+35+69+60+120)</f>
        <v>-390</v>
      </c>
      <c r="K33" s="236">
        <f t="shared" si="5"/>
        <v>-26935</v>
      </c>
      <c r="N33" s="53"/>
    </row>
    <row r="34" spans="1:14" ht="15" x14ac:dyDescent="0.25">
      <c r="B34" s="97" t="s">
        <v>140</v>
      </c>
      <c r="C34" s="89">
        <f>-'2.  CDM Allocation'!C137</f>
        <v>-13214.129228687782</v>
      </c>
      <c r="D34" s="89">
        <f>-'2.  CDM Allocation'!D137</f>
        <v>-6430.0109920554914</v>
      </c>
      <c r="E34" s="567">
        <f>-'2.  CDM Allocation'!E137</f>
        <v>0</v>
      </c>
      <c r="F34" s="567">
        <f>-'2.  CDM Allocation'!F137</f>
        <v>0</v>
      </c>
      <c r="G34" s="567">
        <f>-'2.  CDM Allocation'!G137</f>
        <v>0</v>
      </c>
      <c r="H34" s="89">
        <f>-'2.  CDM Allocation'!H137</f>
        <v>-1514.77282226992</v>
      </c>
      <c r="I34" s="89">
        <f>-'2.  CDM Allocation'!I137</f>
        <v>-22.331039843870055</v>
      </c>
      <c r="J34" s="89">
        <f>-'2.  CDM Allocation'!J137</f>
        <v>-6534.6902470085597</v>
      </c>
      <c r="K34" s="111">
        <f t="shared" ref="K34:K37" si="6">SUM(C34:J34)</f>
        <v>-27715.93432986562</v>
      </c>
      <c r="N34" s="53"/>
    </row>
    <row r="35" spans="1:14" s="17" customFormat="1" ht="15" x14ac:dyDescent="0.25">
      <c r="B35" s="98" t="s">
        <v>141</v>
      </c>
      <c r="C35" s="90">
        <f>'5.  2015 LRAM'!H124</f>
        <v>12806.552550311868</v>
      </c>
      <c r="D35" s="90">
        <f>'5.  2015 LRAM'!I124</f>
        <v>23213.581045929612</v>
      </c>
      <c r="E35" s="568">
        <f>'5.  2015 LRAM'!J124</f>
        <v>0</v>
      </c>
      <c r="F35" s="568">
        <f>'5.  2015 LRAM'!K124</f>
        <v>0</v>
      </c>
      <c r="G35" s="568">
        <f>'5.  2015 LRAM'!L124</f>
        <v>0</v>
      </c>
      <c r="H35" s="90">
        <f>'5.  2015 LRAM'!M124</f>
        <v>0</v>
      </c>
      <c r="I35" s="90">
        <f>'5.  2015 LRAM'!N124</f>
        <v>0</v>
      </c>
      <c r="J35" s="90">
        <f>'5.  2015 LRAM'!O124</f>
        <v>12107.250787343923</v>
      </c>
      <c r="K35" s="99">
        <f t="shared" si="6"/>
        <v>48127.384383585406</v>
      </c>
      <c r="N35" s="53"/>
    </row>
    <row r="36" spans="1:14" s="17" customFormat="1" ht="15" x14ac:dyDescent="0.25">
      <c r="B36" s="226" t="s">
        <v>89</v>
      </c>
      <c r="C36" s="235"/>
      <c r="D36" s="235"/>
      <c r="E36" s="566">
        <v>0</v>
      </c>
      <c r="F36" s="566">
        <v>0</v>
      </c>
      <c r="G36" s="566">
        <v>0</v>
      </c>
      <c r="H36" s="235"/>
      <c r="I36" s="235"/>
      <c r="J36" s="235"/>
      <c r="K36" s="236">
        <f t="shared" si="6"/>
        <v>0</v>
      </c>
      <c r="N36" s="53"/>
    </row>
    <row r="37" spans="1:14" s="17" customFormat="1" ht="21.75" customHeight="1" x14ac:dyDescent="0.25">
      <c r="B37" s="454" t="s">
        <v>531</v>
      </c>
      <c r="C37" s="455">
        <f>'7.  Carrying Charges'!I88</f>
        <v>226.88517740165815</v>
      </c>
      <c r="D37" s="455">
        <f>'7.  Carrying Charges'!J88</f>
        <v>1271.3316416332045</v>
      </c>
      <c r="E37" s="569">
        <f>'7.  Carrying Charges'!K88</f>
        <v>0</v>
      </c>
      <c r="F37" s="569">
        <f>'7.  Carrying Charges'!L88</f>
        <v>0</v>
      </c>
      <c r="G37" s="569">
        <f>'7.  Carrying Charges'!M88</f>
        <v>0</v>
      </c>
      <c r="H37" s="455">
        <f>'7.  Carrying Charges'!N88</f>
        <v>-43.216851887992924</v>
      </c>
      <c r="I37" s="455">
        <f>'7.  Carrying Charges'!O88</f>
        <v>-0.76233507502169795</v>
      </c>
      <c r="J37" s="455">
        <f>'7.  Carrying Charges'!P88</f>
        <v>266.01416961763749</v>
      </c>
      <c r="K37" s="456">
        <f t="shared" si="6"/>
        <v>1720.2518016894855</v>
      </c>
      <c r="L37" s="23"/>
      <c r="M37" s="23"/>
    </row>
    <row r="38" spans="1:14" ht="24" customHeight="1" x14ac:dyDescent="0.25">
      <c r="B38" s="240" t="s">
        <v>532</v>
      </c>
      <c r="C38" s="453">
        <f>SUM(C22:C37)</f>
        <v>1882.1086794573546</v>
      </c>
      <c r="D38" s="453">
        <f t="shared" ref="D38:F38" si="7">SUM(D22:D37)</f>
        <v>51197.422967242252</v>
      </c>
      <c r="E38" s="570">
        <f t="shared" si="7"/>
        <v>0</v>
      </c>
      <c r="F38" s="570">
        <f t="shared" si="7"/>
        <v>0</v>
      </c>
      <c r="G38" s="570">
        <f>SUM(G22:G37)</f>
        <v>0</v>
      </c>
      <c r="H38" s="453">
        <f>SUM(H22:H37)</f>
        <v>-2895.0181311802712</v>
      </c>
      <c r="I38" s="453">
        <f>SUM(I22:I37)</f>
        <v>-57.816914895898478</v>
      </c>
      <c r="J38" s="453">
        <f>SUM(J22:J37)</f>
        <v>11034.512043654282</v>
      </c>
      <c r="K38" s="485">
        <f>SUM(K22:K37)</f>
        <v>61161.208644277714</v>
      </c>
    </row>
    <row r="39" spans="1:14" ht="24" customHeight="1" x14ac:dyDescent="0.25">
      <c r="A39"/>
      <c r="B39"/>
      <c r="C39"/>
      <c r="D39" s="638"/>
      <c r="E39"/>
      <c r="F39"/>
      <c r="G39"/>
      <c r="H39"/>
      <c r="I39"/>
      <c r="J39"/>
      <c r="K39"/>
    </row>
    <row r="40" spans="1:14" ht="15" x14ac:dyDescent="0.25">
      <c r="A40"/>
      <c r="B40" s="639" t="s">
        <v>527</v>
      </c>
      <c r="C40" s="640">
        <f>C38/$K38</f>
        <v>3.0772915074389166E-2</v>
      </c>
      <c r="D40" s="640">
        <f>D38/$K38</f>
        <v>0.83708978455631478</v>
      </c>
      <c r="E40" s="641"/>
      <c r="F40" s="641"/>
      <c r="G40" s="641"/>
      <c r="H40" s="640">
        <f>H38/$K38</f>
        <v>-4.7334220420955191E-2</v>
      </c>
      <c r="I40" s="640">
        <f>I38/$K38</f>
        <v>-9.4532001864400478E-4</v>
      </c>
      <c r="J40" s="640">
        <f>J38/$K38</f>
        <v>0.18041684080889528</v>
      </c>
      <c r="K40" s="640">
        <f>SUM(C40:J40)</f>
        <v>1</v>
      </c>
    </row>
    <row r="41" spans="1:14" ht="15" x14ac:dyDescent="0.25">
      <c r="A41"/>
      <c r="B41"/>
      <c r="C41"/>
      <c r="D41"/>
      <c r="E41"/>
      <c r="F41"/>
      <c r="G41"/>
      <c r="H41"/>
      <c r="I41"/>
      <c r="J41"/>
      <c r="K41"/>
    </row>
    <row r="42" spans="1:14" ht="15" x14ac:dyDescent="0.25">
      <c r="A42"/>
      <c r="B42" s="454" t="s">
        <v>530</v>
      </c>
      <c r="C42" s="643">
        <f>C$40*$K42</f>
        <v>20.120886685431394</v>
      </c>
      <c r="D42" s="643">
        <f t="shared" ref="D42:J43" si="8">D$40*$K42</f>
        <v>547.33159532901732</v>
      </c>
      <c r="E42" s="644">
        <f t="shared" si="8"/>
        <v>0</v>
      </c>
      <c r="F42" s="644">
        <f t="shared" si="8"/>
        <v>0</v>
      </c>
      <c r="G42" s="644">
        <f t="shared" si="8"/>
        <v>0</v>
      </c>
      <c r="H42" s="643">
        <f t="shared" si="8"/>
        <v>-30.94950488541512</v>
      </c>
      <c r="I42" s="643">
        <f t="shared" si="8"/>
        <v>-0.61809799073718297</v>
      </c>
      <c r="J42" s="643">
        <f t="shared" si="8"/>
        <v>117.96564613017422</v>
      </c>
      <c r="K42" s="645">
        <f>+'[2]3. Continuity Schedule'!$BQ$42</f>
        <v>653.85052526847062</v>
      </c>
    </row>
    <row r="43" spans="1:14" ht="15" x14ac:dyDescent="0.25">
      <c r="A43"/>
      <c r="B43" s="454" t="s">
        <v>528</v>
      </c>
      <c r="C43" s="643">
        <f>C$40*$K43</f>
        <v>6.7069622284771313</v>
      </c>
      <c r="D43" s="643">
        <f t="shared" si="8"/>
        <v>182.44386510967246</v>
      </c>
      <c r="E43" s="644">
        <f t="shared" si="8"/>
        <v>0</v>
      </c>
      <c r="F43" s="644">
        <f t="shared" si="8"/>
        <v>0</v>
      </c>
      <c r="G43" s="644">
        <f t="shared" si="8"/>
        <v>0</v>
      </c>
      <c r="H43" s="643">
        <f t="shared" si="8"/>
        <v>-10.316501628471707</v>
      </c>
      <c r="I43" s="643">
        <f t="shared" si="8"/>
        <v>-0.206032663579061</v>
      </c>
      <c r="J43" s="643">
        <f t="shared" si="8"/>
        <v>39.321882043391412</v>
      </c>
      <c r="K43" s="645">
        <f>+'[2]3. Continuity Schedule'!$BR$42</f>
        <v>217.95017508949022</v>
      </c>
    </row>
    <row r="44" spans="1:14" ht="15" x14ac:dyDescent="0.25">
      <c r="A44"/>
      <c r="B44" s="454" t="s">
        <v>529</v>
      </c>
      <c r="C44" s="643">
        <f>C38+C42+C43</f>
        <v>1908.936528371263</v>
      </c>
      <c r="D44" s="643">
        <f t="shared" ref="D44:J44" si="9">D38+D42+D43</f>
        <v>51927.198427680938</v>
      </c>
      <c r="E44" s="644">
        <f t="shared" si="9"/>
        <v>0</v>
      </c>
      <c r="F44" s="644">
        <f t="shared" si="9"/>
        <v>0</v>
      </c>
      <c r="G44" s="644">
        <f t="shared" si="9"/>
        <v>0</v>
      </c>
      <c r="H44" s="643">
        <f t="shared" si="9"/>
        <v>-2936.2841376941578</v>
      </c>
      <c r="I44" s="643">
        <f t="shared" si="9"/>
        <v>-58.64104555021472</v>
      </c>
      <c r="J44" s="643">
        <f t="shared" si="9"/>
        <v>11191.799571827849</v>
      </c>
      <c r="K44" s="645">
        <f>SUM(C44:J44)</f>
        <v>62033.009344635677</v>
      </c>
    </row>
    <row r="45" spans="1:14" ht="15" x14ac:dyDescent="0.25">
      <c r="A45"/>
      <c r="B45" s="642"/>
      <c r="C45" s="646"/>
      <c r="D45" s="646"/>
      <c r="E45" s="646"/>
      <c r="F45" s="646"/>
      <c r="G45" s="646"/>
      <c r="H45" s="646"/>
      <c r="I45" s="646"/>
      <c r="J45" s="646"/>
      <c r="K45" s="646"/>
    </row>
    <row r="46" spans="1:14" ht="15" x14ac:dyDescent="0.25">
      <c r="A46"/>
      <c r="B46"/>
      <c r="C46" s="647"/>
      <c r="D46" s="647"/>
      <c r="E46" s="647"/>
      <c r="F46" s="647"/>
      <c r="G46" s="647"/>
      <c r="H46" s="648"/>
      <c r="I46" s="648"/>
      <c r="J46" s="649" t="s">
        <v>533</v>
      </c>
      <c r="K46" s="648">
        <f>'[2]3. Continuity Schedule'!$BT$42</f>
        <v>62033.009344635677</v>
      </c>
    </row>
    <row r="47" spans="1:14" ht="15" x14ac:dyDescent="0.25">
      <c r="A47"/>
      <c r="B47"/>
      <c r="C47"/>
      <c r="D47"/>
      <c r="E47"/>
      <c r="F47"/>
      <c r="G47"/>
      <c r="H47"/>
      <c r="I47"/>
      <c r="J47"/>
      <c r="K47"/>
    </row>
    <row r="48" spans="1:14" ht="15" x14ac:dyDescent="0.25">
      <c r="A48"/>
      <c r="B48"/>
      <c r="C48"/>
      <c r="D48"/>
      <c r="E48"/>
      <c r="F48"/>
      <c r="G48"/>
      <c r="H48"/>
      <c r="I48"/>
      <c r="J48"/>
      <c r="K48"/>
    </row>
    <row r="49" spans="1:14" ht="15" x14ac:dyDescent="0.25">
      <c r="A49"/>
      <c r="B49"/>
      <c r="C49"/>
      <c r="D49"/>
      <c r="E49"/>
      <c r="F49"/>
      <c r="G49"/>
      <c r="H49"/>
      <c r="I49"/>
      <c r="J49"/>
      <c r="K49"/>
    </row>
    <row r="50" spans="1:14" ht="15" x14ac:dyDescent="0.25">
      <c r="A50"/>
      <c r="B50"/>
      <c r="C50"/>
      <c r="D50"/>
      <c r="E50"/>
      <c r="F50"/>
      <c r="G50"/>
      <c r="H50"/>
      <c r="I50"/>
      <c r="J50"/>
      <c r="K50"/>
      <c r="M50" s="23"/>
      <c r="N50" s="23"/>
    </row>
    <row r="51" spans="1:14" ht="15" x14ac:dyDescent="0.25">
      <c r="B51"/>
      <c r="C51"/>
      <c r="D51"/>
      <c r="E51"/>
      <c r="F51"/>
      <c r="G51"/>
      <c r="H51"/>
      <c r="I51"/>
      <c r="J51"/>
      <c r="K51"/>
      <c r="M51" s="23"/>
      <c r="N51" s="23"/>
    </row>
    <row r="52" spans="1:14" x14ac:dyDescent="0.25">
      <c r="M52" s="23"/>
      <c r="N52" s="23"/>
    </row>
  </sheetData>
  <mergeCells count="6">
    <mergeCell ref="B3:K3"/>
    <mergeCell ref="C14:C15"/>
    <mergeCell ref="B5:K5"/>
    <mergeCell ref="F9:G9"/>
    <mergeCell ref="F11:G11"/>
    <mergeCell ref="F15:G15"/>
  </mergeCells>
  <printOptions headings="1" gridLines="1"/>
  <pageMargins left="0.7" right="0.7" top="0.75" bottom="0.75" header="0.3" footer="0.3"/>
  <pageSetup scale="61" orientation="landscape" r:id="rId1"/>
  <headerFooter>
    <oddHeader>&amp;L&amp;Z&amp;F&amp;A</oddHeader>
    <oddFooter>&amp;L&amp;D&amp;T</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75" zoomScaleNormal="75" workbookViewId="0">
      <pane ySplit="2" topLeftCell="A105" activePane="bottomLeft" state="frozen"/>
      <selection pane="bottomLeft" activeCell="M138" sqref="M138"/>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hidden="1" customWidth="1"/>
    <col min="6" max="6" width="21.42578125" style="26" hidden="1" customWidth="1"/>
    <col min="7" max="7" width="19.5703125" style="26" hidden="1" customWidth="1"/>
    <col min="8" max="8" width="19.140625" style="26" customWidth="1"/>
    <col min="9" max="9" width="17.28515625" style="26" customWidth="1"/>
    <col min="10" max="10" width="16.28515625" style="26" customWidth="1"/>
    <col min="11" max="11" width="17.28515625" style="26" bestFit="1"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672" t="s">
        <v>342</v>
      </c>
      <c r="C2" s="672"/>
      <c r="D2" s="672"/>
      <c r="E2" s="672"/>
      <c r="F2" s="672"/>
      <c r="G2" s="672"/>
      <c r="H2" s="672"/>
      <c r="I2" s="672"/>
      <c r="J2" s="672"/>
    </row>
    <row r="3" spans="2:10" ht="24.75" customHeight="1" x14ac:dyDescent="0.25">
      <c r="B3" s="237"/>
      <c r="C3" s="70"/>
      <c r="D3" s="47"/>
      <c r="E3" s="47"/>
      <c r="F3" s="47"/>
      <c r="G3" s="47"/>
      <c r="H3" s="47"/>
      <c r="I3" s="47"/>
      <c r="J3" s="47"/>
    </row>
    <row r="4" spans="2:10" x14ac:dyDescent="0.25">
      <c r="B4" s="354" t="s">
        <v>399</v>
      </c>
      <c r="C4" s="70" t="s">
        <v>344</v>
      </c>
      <c r="D4" s="47"/>
      <c r="E4" s="47"/>
      <c r="F4" s="47"/>
      <c r="G4" s="47"/>
      <c r="H4" s="47"/>
      <c r="I4" s="47"/>
      <c r="J4" s="47"/>
    </row>
    <row r="5" spans="2:10" ht="30" customHeight="1" x14ac:dyDescent="0.25">
      <c r="B5" s="355"/>
      <c r="C5" s="680" t="s">
        <v>500</v>
      </c>
      <c r="D5" s="680"/>
      <c r="E5" s="680"/>
      <c r="F5" s="680"/>
      <c r="G5" s="680"/>
      <c r="H5" s="680"/>
      <c r="I5" s="680"/>
      <c r="J5" s="680"/>
    </row>
    <row r="6" spans="2:10" ht="18.75" customHeight="1" x14ac:dyDescent="0.25">
      <c r="B6" s="237"/>
      <c r="C6" s="70" t="s">
        <v>414</v>
      </c>
      <c r="D6" s="47"/>
      <c r="E6" s="47"/>
      <c r="F6" s="47"/>
      <c r="G6" s="47"/>
      <c r="H6" s="47"/>
      <c r="I6" s="47"/>
      <c r="J6" s="47"/>
    </row>
    <row r="7" spans="2:10" ht="18.75" customHeight="1" x14ac:dyDescent="0.25">
      <c r="B7" s="237"/>
      <c r="C7" s="70"/>
      <c r="D7" s="47"/>
      <c r="E7" s="47"/>
      <c r="F7" s="47"/>
      <c r="G7" s="47"/>
      <c r="H7" s="47"/>
      <c r="I7" s="47"/>
      <c r="J7" s="47"/>
    </row>
    <row r="8" spans="2:10" s="3" customFormat="1" ht="15" customHeight="1" x14ac:dyDescent="0.2">
      <c r="B8" s="679" t="s">
        <v>337</v>
      </c>
      <c r="C8" s="198" t="s">
        <v>363</v>
      </c>
    </row>
    <row r="9" spans="2:10" s="3" customFormat="1" ht="17.25" customHeight="1" x14ac:dyDescent="0.2">
      <c r="B9" s="679"/>
      <c r="C9" s="135" t="s">
        <v>338</v>
      </c>
    </row>
    <row r="10" spans="2:10" s="3" customFormat="1" ht="15.75" customHeight="1" x14ac:dyDescent="0.2">
      <c r="B10" s="433"/>
      <c r="C10" s="55"/>
    </row>
    <row r="11" spans="2:10" s="55" customFormat="1" ht="15.75" x14ac:dyDescent="0.2">
      <c r="B11" s="112" t="s">
        <v>501</v>
      </c>
      <c r="C11" s="100"/>
      <c r="D11" s="119"/>
      <c r="E11" s="120"/>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343</v>
      </c>
      <c r="F13" s="55"/>
    </row>
    <row r="14" spans="2:10" s="3" customFormat="1" ht="14.25" x14ac:dyDescent="0.2">
      <c r="B14" s="105">
        <v>2011</v>
      </c>
      <c r="C14" s="471">
        <v>0</v>
      </c>
      <c r="D14" s="106">
        <f>K44</f>
        <v>0</v>
      </c>
      <c r="E14" s="106">
        <f>K40</f>
        <v>0</v>
      </c>
      <c r="F14" s="55"/>
    </row>
    <row r="15" spans="2:10" s="3" customFormat="1" ht="14.25" x14ac:dyDescent="0.2">
      <c r="B15" s="105">
        <v>2012</v>
      </c>
      <c r="C15" s="471">
        <v>0</v>
      </c>
      <c r="D15" s="106">
        <f>K57</f>
        <v>0</v>
      </c>
      <c r="E15" s="106">
        <f>K53</f>
        <v>0</v>
      </c>
      <c r="F15" s="55"/>
    </row>
    <row r="16" spans="2:10" s="3" customFormat="1" ht="14.25" x14ac:dyDescent="0.2">
      <c r="B16" s="105">
        <v>2013</v>
      </c>
      <c r="C16" s="471">
        <v>0</v>
      </c>
      <c r="D16" s="106">
        <f>K70</f>
        <v>0</v>
      </c>
      <c r="E16" s="106">
        <f>K66</f>
        <v>0</v>
      </c>
      <c r="F16" s="55"/>
    </row>
    <row r="17" spans="2:26" s="3" customFormat="1" ht="14.25" x14ac:dyDescent="0.2">
      <c r="B17" s="105">
        <v>2014</v>
      </c>
      <c r="C17" s="471">
        <v>2879184</v>
      </c>
      <c r="D17" s="106">
        <f>K83</f>
        <v>-3133.1081270423069</v>
      </c>
      <c r="E17" s="106">
        <f>K79</f>
        <v>-2879184</v>
      </c>
      <c r="F17" s="55"/>
    </row>
    <row r="18" spans="2:26" s="3" customFormat="1" ht="14.25" x14ac:dyDescent="0.2">
      <c r="B18" s="105">
        <v>2015</v>
      </c>
      <c r="C18" s="471">
        <v>2879184</v>
      </c>
      <c r="D18" s="106">
        <f>K96</f>
        <v>-3133.1081270423069</v>
      </c>
      <c r="E18" s="106">
        <f>K92</f>
        <v>-2879184</v>
      </c>
      <c r="F18" s="55"/>
    </row>
    <row r="19" spans="2:26" s="3" customFormat="1" x14ac:dyDescent="0.25">
      <c r="B19" s="105">
        <v>2016</v>
      </c>
      <c r="C19" s="471">
        <v>2879184</v>
      </c>
      <c r="D19" s="106">
        <f>K109</f>
        <v>-3133.1081270423069</v>
      </c>
      <c r="E19" s="106">
        <f>K105</f>
        <v>-2879184</v>
      </c>
      <c r="F19" s="55"/>
      <c r="Z19" s="44"/>
    </row>
    <row r="20" spans="2:26" s="3" customFormat="1" x14ac:dyDescent="0.25">
      <c r="B20" s="105">
        <v>2017</v>
      </c>
      <c r="C20" s="471">
        <v>2879184</v>
      </c>
      <c r="D20" s="106">
        <f>K122</f>
        <v>-3133.1081270423069</v>
      </c>
      <c r="E20" s="106">
        <f>K118</f>
        <v>-2879184</v>
      </c>
      <c r="F20" s="55"/>
      <c r="Z20" s="44"/>
    </row>
    <row r="21" spans="2:26" s="3" customFormat="1" ht="25.5" customHeight="1" x14ac:dyDescent="0.25">
      <c r="B21" s="59"/>
      <c r="D21" s="54"/>
      <c r="E21" s="58"/>
      <c r="F21" s="55"/>
    </row>
    <row r="22" spans="2:26" s="55" customFormat="1" ht="22.5" customHeight="1" x14ac:dyDescent="0.25">
      <c r="B22" s="112"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505</v>
      </c>
    </row>
    <row r="25" spans="2:26" s="3" customFormat="1" ht="16.5" customHeight="1" x14ac:dyDescent="0.2">
      <c r="B25" s="102"/>
      <c r="C25" s="102" t="s">
        <v>35</v>
      </c>
      <c r="D25" s="102" t="s">
        <v>35</v>
      </c>
      <c r="E25" s="102" t="s">
        <v>36</v>
      </c>
      <c r="F25" s="102" t="s">
        <v>36</v>
      </c>
      <c r="G25" s="102" t="s">
        <v>35</v>
      </c>
      <c r="H25" s="102" t="s">
        <v>36</v>
      </c>
      <c r="I25" s="102" t="s">
        <v>35</v>
      </c>
      <c r="J25" s="102"/>
    </row>
    <row r="26" spans="2:26" s="3" customFormat="1" ht="16.5" customHeight="1" x14ac:dyDescent="0.2">
      <c r="B26" s="113">
        <v>2011</v>
      </c>
      <c r="C26" s="472">
        <f>-C40</f>
        <v>0</v>
      </c>
      <c r="D26" s="472">
        <f>-D40</f>
        <v>0</v>
      </c>
      <c r="E26" s="551">
        <f t="shared" ref="E26:I26" si="0">-E40</f>
        <v>0</v>
      </c>
      <c r="F26" s="551">
        <f t="shared" si="0"/>
        <v>0</v>
      </c>
      <c r="G26" s="472">
        <f>-G40</f>
        <v>0</v>
      </c>
      <c r="H26" s="472">
        <f t="shared" ref="H26" si="1">-H40</f>
        <v>0</v>
      </c>
      <c r="I26" s="472">
        <f t="shared" si="0"/>
        <v>0</v>
      </c>
      <c r="J26" s="472">
        <f t="shared" ref="J26" si="2">-J40</f>
        <v>0</v>
      </c>
    </row>
    <row r="27" spans="2:26" s="3" customFormat="1" ht="16.5" customHeight="1" x14ac:dyDescent="0.2">
      <c r="B27" s="113">
        <v>2012</v>
      </c>
      <c r="C27" s="115">
        <f>-C53</f>
        <v>0</v>
      </c>
      <c r="D27" s="115">
        <f>-D53</f>
        <v>0</v>
      </c>
      <c r="E27" s="552">
        <f>-E57</f>
        <v>0</v>
      </c>
      <c r="F27" s="552">
        <f>-F57</f>
        <v>0</v>
      </c>
      <c r="G27" s="115">
        <f>-G53</f>
        <v>0</v>
      </c>
      <c r="H27" s="115">
        <f>-H57</f>
        <v>0</v>
      </c>
      <c r="I27" s="115">
        <f>-I53</f>
        <v>0</v>
      </c>
      <c r="J27" s="115">
        <f>-J57</f>
        <v>0</v>
      </c>
      <c r="K27" s="57"/>
    </row>
    <row r="28" spans="2:26" s="3" customFormat="1" ht="16.5" customHeight="1" x14ac:dyDescent="0.2">
      <c r="B28" s="113">
        <v>2013</v>
      </c>
      <c r="C28" s="115">
        <f>-C66</f>
        <v>0</v>
      </c>
      <c r="D28" s="115">
        <f>-D66</f>
        <v>0</v>
      </c>
      <c r="E28" s="552">
        <f>-E70</f>
        <v>0</v>
      </c>
      <c r="F28" s="552">
        <f>-F70</f>
        <v>0</v>
      </c>
      <c r="G28" s="115">
        <f>-G66</f>
        <v>0</v>
      </c>
      <c r="H28" s="115">
        <f>-H70</f>
        <v>0</v>
      </c>
      <c r="I28" s="115">
        <f>-I66</f>
        <v>0</v>
      </c>
      <c r="J28" s="115">
        <f>-J70</f>
        <v>0</v>
      </c>
    </row>
    <row r="29" spans="2:26" s="3" customFormat="1" ht="16.5" customHeight="1" x14ac:dyDescent="0.2">
      <c r="B29" s="113">
        <v>2014</v>
      </c>
      <c r="C29" s="349">
        <f>-C79</f>
        <v>1037758.8399493023</v>
      </c>
      <c r="D29" s="349">
        <f>-D79</f>
        <v>570711.03479782469</v>
      </c>
      <c r="E29" s="553">
        <f>-E83</f>
        <v>0</v>
      </c>
      <c r="F29" s="553">
        <f>-F83</f>
        <v>0</v>
      </c>
      <c r="G29" s="349">
        <f>-G79</f>
        <v>0</v>
      </c>
      <c r="H29" s="349">
        <f>-H83</f>
        <v>51.724505120979053</v>
      </c>
      <c r="I29" s="349">
        <f>-I79</f>
        <v>3680.9406336049537</v>
      </c>
      <c r="J29" s="349">
        <f>-J83</f>
        <v>3081.3836219213281</v>
      </c>
    </row>
    <row r="30" spans="2:26" s="3" customFormat="1" ht="16.5" customHeight="1" x14ac:dyDescent="0.2">
      <c r="B30" s="113">
        <v>2015</v>
      </c>
      <c r="C30" s="349">
        <f>-C92</f>
        <v>1037758.8399493023</v>
      </c>
      <c r="D30" s="349">
        <f>-D92</f>
        <v>570711.03479782469</v>
      </c>
      <c r="E30" s="554">
        <f>-E96</f>
        <v>0</v>
      </c>
      <c r="F30" s="554">
        <f t="shared" ref="F30" si="3">-F96</f>
        <v>0</v>
      </c>
      <c r="G30" s="349">
        <f>-G92</f>
        <v>0</v>
      </c>
      <c r="H30" s="349">
        <f>-H96</f>
        <v>51.724505120979053</v>
      </c>
      <c r="I30" s="349">
        <f t="shared" ref="I30" si="4">-I92</f>
        <v>3680.9406336049537</v>
      </c>
      <c r="J30" s="349">
        <f>-J96</f>
        <v>3081.3836219213281</v>
      </c>
    </row>
    <row r="31" spans="2:26" s="3" customFormat="1" ht="16.5" customHeight="1" x14ac:dyDescent="0.2">
      <c r="B31" s="113">
        <v>2016</v>
      </c>
      <c r="C31" s="349">
        <f>-C105</f>
        <v>1037758.8399493023</v>
      </c>
      <c r="D31" s="349">
        <f>-D105</f>
        <v>570711.03479782469</v>
      </c>
      <c r="E31" s="554">
        <f>-E109</f>
        <v>0</v>
      </c>
      <c r="F31" s="554">
        <f t="shared" ref="F31" si="5">-F109</f>
        <v>0</v>
      </c>
      <c r="G31" s="349">
        <f>-G105</f>
        <v>0</v>
      </c>
      <c r="H31" s="349">
        <f>-H109</f>
        <v>51.724505120979053</v>
      </c>
      <c r="I31" s="349">
        <f t="shared" ref="I31" si="6">-I105</f>
        <v>3680.9406336049537</v>
      </c>
      <c r="J31" s="349">
        <f>-J109</f>
        <v>3081.3836219213281</v>
      </c>
    </row>
    <row r="32" spans="2:26" s="3" customFormat="1" ht="16.5" customHeight="1" x14ac:dyDescent="0.2">
      <c r="B32" s="113">
        <v>2017</v>
      </c>
      <c r="C32" s="349">
        <f>-C118</f>
        <v>1037758.8399493023</v>
      </c>
      <c r="D32" s="349">
        <f>-D118</f>
        <v>570711.03479782469</v>
      </c>
      <c r="E32" s="554">
        <f>-E122</f>
        <v>0</v>
      </c>
      <c r="F32" s="554">
        <f t="shared" ref="F32" si="7">-F122</f>
        <v>0</v>
      </c>
      <c r="G32" s="349">
        <f>-G118</f>
        <v>0</v>
      </c>
      <c r="H32" s="349">
        <f>-H122</f>
        <v>51.724505120979053</v>
      </c>
      <c r="I32" s="349">
        <f t="shared" ref="I32" si="8">-I118</f>
        <v>3680.9406336049537</v>
      </c>
      <c r="J32" s="349">
        <f>-J122</f>
        <v>3081.3836219213281</v>
      </c>
    </row>
    <row r="33" spans="1:14" s="3" customFormat="1" ht="15.75" customHeight="1" x14ac:dyDescent="0.2"/>
    <row r="34" spans="1:14" s="66" customFormat="1" outlineLevel="1" x14ac:dyDescent="0.2">
      <c r="A34" s="297"/>
      <c r="B34" s="681" t="s">
        <v>407</v>
      </c>
      <c r="C34" s="681"/>
      <c r="D34" s="681"/>
      <c r="E34" s="681"/>
      <c r="F34" s="681"/>
      <c r="G34" s="681"/>
      <c r="H34" s="681"/>
      <c r="I34" s="681"/>
      <c r="J34" s="681"/>
      <c r="K34" s="681"/>
      <c r="L34" s="154"/>
      <c r="M34" s="154"/>
    </row>
    <row r="35" spans="1:14" s="66" customFormat="1" ht="14.25" outlineLevel="1" x14ac:dyDescent="0.2">
      <c r="A35" s="297"/>
      <c r="B35" s="69"/>
      <c r="C35" s="83"/>
      <c r="L35" s="154"/>
      <c r="M35" s="154"/>
      <c r="N35" s="315"/>
    </row>
    <row r="36" spans="1:14" s="321" customFormat="1" ht="45" outlineLevel="1" x14ac:dyDescent="0.25">
      <c r="B36" s="324">
        <v>2011</v>
      </c>
      <c r="C36" s="307" t="s">
        <v>37</v>
      </c>
      <c r="D36" s="307" t="s">
        <v>409</v>
      </c>
      <c r="E36" s="307" t="s">
        <v>410</v>
      </c>
      <c r="F36" s="307" t="s">
        <v>108</v>
      </c>
      <c r="G36" s="307" t="s">
        <v>40</v>
      </c>
      <c r="H36" s="307" t="s">
        <v>41</v>
      </c>
      <c r="I36" s="307" t="s">
        <v>118</v>
      </c>
      <c r="J36" s="307" t="s">
        <v>505</v>
      </c>
      <c r="K36" s="325" t="s">
        <v>34</v>
      </c>
      <c r="L36" s="322"/>
      <c r="M36" s="322"/>
      <c r="N36" s="326"/>
    </row>
    <row r="37" spans="1:14" s="66" customFormat="1" outlineLevel="1" x14ac:dyDescent="0.25">
      <c r="B37" s="316" t="s">
        <v>35</v>
      </c>
      <c r="C37" s="308"/>
      <c r="D37" s="308"/>
      <c r="E37" s="308"/>
      <c r="F37" s="308"/>
      <c r="G37" s="308"/>
      <c r="H37" s="308"/>
      <c r="I37" s="308"/>
      <c r="J37" s="154"/>
      <c r="K37" s="327"/>
      <c r="L37" s="154"/>
      <c r="M37" s="154"/>
      <c r="N37" s="328"/>
    </row>
    <row r="38" spans="1:14" s="66" customFormat="1" ht="14.25" outlineLevel="1" x14ac:dyDescent="0.2">
      <c r="B38" s="330" t="s">
        <v>522</v>
      </c>
      <c r="C38" s="309">
        <v>66320829</v>
      </c>
      <c r="D38" s="329">
        <v>34349093</v>
      </c>
      <c r="E38" s="546"/>
      <c r="F38" s="546"/>
      <c r="G38" s="546">
        <v>0</v>
      </c>
      <c r="H38" s="329">
        <v>1086069</v>
      </c>
      <c r="I38" s="329">
        <v>302169</v>
      </c>
      <c r="J38" s="329">
        <v>80605864</v>
      </c>
      <c r="K38" s="332">
        <f>SUM(C38:J38)</f>
        <v>182664024</v>
      </c>
      <c r="L38" s="154"/>
      <c r="M38" s="154"/>
      <c r="N38" s="315"/>
    </row>
    <row r="39" spans="1:14" s="66" customFormat="1" ht="14.25" outlineLevel="1" x14ac:dyDescent="0.2">
      <c r="B39" s="330" t="s">
        <v>116</v>
      </c>
      <c r="C39" s="458">
        <f>C38/$K$38</f>
        <v>0.36307548442051185</v>
      </c>
      <c r="D39" s="458">
        <f t="shared" ref="D39:J39" si="9">D38/$K$38</f>
        <v>0.18804520040574602</v>
      </c>
      <c r="E39" s="547">
        <f t="shared" si="9"/>
        <v>0</v>
      </c>
      <c r="F39" s="547">
        <f t="shared" si="9"/>
        <v>0</v>
      </c>
      <c r="G39" s="547">
        <f t="shared" si="9"/>
        <v>0</v>
      </c>
      <c r="H39" s="458">
        <f t="shared" si="9"/>
        <v>5.9457192293103098E-3</v>
      </c>
      <c r="I39" s="458">
        <f t="shared" si="9"/>
        <v>1.6542337860683503E-3</v>
      </c>
      <c r="J39" s="458">
        <f t="shared" si="9"/>
        <v>0.4412793621583635</v>
      </c>
      <c r="K39" s="457">
        <f t="shared" ref="K39:K45" si="10">SUM(C39:J39)</f>
        <v>1</v>
      </c>
      <c r="L39" s="154"/>
      <c r="M39" s="154"/>
      <c r="N39" s="331"/>
    </row>
    <row r="40" spans="1:14" s="66" customFormat="1" ht="14.25" outlineLevel="1" x14ac:dyDescent="0.2">
      <c r="B40" s="330" t="s">
        <v>334</v>
      </c>
      <c r="C40" s="470">
        <f>-$C$14*C39</f>
        <v>0</v>
      </c>
      <c r="D40" s="470">
        <f t="shared" ref="D40:J40" si="11">-$C$14*D39</f>
        <v>0</v>
      </c>
      <c r="E40" s="548">
        <f t="shared" si="11"/>
        <v>0</v>
      </c>
      <c r="F40" s="548">
        <f t="shared" si="11"/>
        <v>0</v>
      </c>
      <c r="G40" s="548">
        <f t="shared" si="11"/>
        <v>0</v>
      </c>
      <c r="H40" s="470">
        <f t="shared" si="11"/>
        <v>0</v>
      </c>
      <c r="I40" s="470">
        <f t="shared" si="11"/>
        <v>0</v>
      </c>
      <c r="J40" s="470">
        <f t="shared" si="11"/>
        <v>0</v>
      </c>
      <c r="K40" s="332">
        <f t="shared" si="10"/>
        <v>0</v>
      </c>
      <c r="L40" s="154"/>
      <c r="M40" s="154"/>
    </row>
    <row r="41" spans="1:14" s="66" customFormat="1" ht="14.25" outlineLevel="1" x14ac:dyDescent="0.2">
      <c r="B41" s="330" t="s">
        <v>117</v>
      </c>
      <c r="C41" s="333">
        <f>C38+C40</f>
        <v>66320829</v>
      </c>
      <c r="D41" s="328">
        <f t="shared" ref="D41:J41" si="12">D38+D40</f>
        <v>34349093</v>
      </c>
      <c r="E41" s="546">
        <f t="shared" si="12"/>
        <v>0</v>
      </c>
      <c r="F41" s="546">
        <f t="shared" si="12"/>
        <v>0</v>
      </c>
      <c r="G41" s="546">
        <f t="shared" si="12"/>
        <v>0</v>
      </c>
      <c r="H41" s="328">
        <f t="shared" si="12"/>
        <v>1086069</v>
      </c>
      <c r="I41" s="328">
        <f t="shared" si="12"/>
        <v>302169</v>
      </c>
      <c r="J41" s="328">
        <f t="shared" si="12"/>
        <v>80605864</v>
      </c>
      <c r="K41" s="332">
        <f t="shared" si="10"/>
        <v>182664024</v>
      </c>
      <c r="L41" s="154"/>
      <c r="M41" s="154"/>
    </row>
    <row r="42" spans="1:14" s="66" customFormat="1" outlineLevel="1" x14ac:dyDescent="0.25">
      <c r="B42" s="316" t="s">
        <v>36</v>
      </c>
      <c r="C42" s="154"/>
      <c r="D42" s="313"/>
      <c r="E42" s="549"/>
      <c r="F42" s="550"/>
      <c r="G42" s="550"/>
      <c r="H42" s="314"/>
      <c r="I42" s="154"/>
      <c r="J42" s="154"/>
      <c r="K42" s="336">
        <f t="shared" si="10"/>
        <v>0</v>
      </c>
      <c r="L42" s="154"/>
      <c r="M42" s="154"/>
    </row>
    <row r="43" spans="1:14" s="66" customFormat="1" ht="14.25" outlineLevel="1" x14ac:dyDescent="0.2">
      <c r="B43" s="330" t="s">
        <v>404</v>
      </c>
      <c r="C43" s="154"/>
      <c r="D43" s="154"/>
      <c r="E43" s="546">
        <f>E38*E46</f>
        <v>0</v>
      </c>
      <c r="F43" s="546">
        <f t="shared" ref="F43:H43" si="13">F38*F46</f>
        <v>0</v>
      </c>
      <c r="G43" s="546">
        <f t="shared" si="13"/>
        <v>0</v>
      </c>
      <c r="H43" s="328">
        <f t="shared" si="13"/>
        <v>2899.9999999999995</v>
      </c>
      <c r="I43" s="154"/>
      <c r="J43" s="328">
        <f t="shared" ref="J43" si="14">J38*J46</f>
        <v>207437</v>
      </c>
      <c r="K43" s="332">
        <f t="shared" si="10"/>
        <v>210337</v>
      </c>
      <c r="L43" s="154"/>
      <c r="M43" s="154"/>
    </row>
    <row r="44" spans="1:14" s="66" customFormat="1" ht="14.25" outlineLevel="1" x14ac:dyDescent="0.2">
      <c r="B44" s="330" t="s">
        <v>119</v>
      </c>
      <c r="C44" s="154"/>
      <c r="D44" s="154"/>
      <c r="E44" s="546">
        <f>E40*E46</f>
        <v>0</v>
      </c>
      <c r="F44" s="546">
        <f t="shared" ref="F44:H44" si="15">F40*F46</f>
        <v>0</v>
      </c>
      <c r="G44" s="546">
        <f t="shared" si="15"/>
        <v>0</v>
      </c>
      <c r="H44" s="328">
        <f t="shared" si="15"/>
        <v>0</v>
      </c>
      <c r="I44" s="154"/>
      <c r="J44" s="328">
        <f t="shared" ref="J44" si="16">J40*J46</f>
        <v>0</v>
      </c>
      <c r="K44" s="337">
        <f t="shared" si="10"/>
        <v>0</v>
      </c>
      <c r="L44" s="154"/>
      <c r="M44" s="154"/>
    </row>
    <row r="45" spans="1:14" s="66" customFormat="1" outlineLevel="1" x14ac:dyDescent="0.2">
      <c r="B45" s="330" t="s">
        <v>117</v>
      </c>
      <c r="C45" s="154"/>
      <c r="D45" s="154"/>
      <c r="E45" s="546">
        <f>E43+E44</f>
        <v>0</v>
      </c>
      <c r="F45" s="546">
        <f t="shared" ref="F45:H45" si="17">F43+F44</f>
        <v>0</v>
      </c>
      <c r="G45" s="546">
        <f t="shared" si="17"/>
        <v>0</v>
      </c>
      <c r="H45" s="328">
        <f t="shared" si="17"/>
        <v>2899.9999999999995</v>
      </c>
      <c r="I45" s="154"/>
      <c r="J45" s="328">
        <f t="shared" ref="J45" si="18">J43+J44</f>
        <v>207437</v>
      </c>
      <c r="K45" s="332">
        <f t="shared" si="10"/>
        <v>210337</v>
      </c>
      <c r="L45" s="154"/>
      <c r="M45" s="154"/>
      <c r="N45" s="334"/>
    </row>
    <row r="46" spans="1:14" s="66" customFormat="1" ht="15" customHeight="1" outlineLevel="1" x14ac:dyDescent="0.2">
      <c r="B46" s="459" t="s">
        <v>402</v>
      </c>
      <c r="C46" s="556"/>
      <c r="D46" s="556"/>
      <c r="E46" s="555"/>
      <c r="F46" s="555"/>
      <c r="G46" s="555"/>
      <c r="H46" s="473">
        <f>H47/H38</f>
        <v>2.6701802555822878E-3</v>
      </c>
      <c r="I46" s="556"/>
      <c r="J46" s="473">
        <f>J47/J38</f>
        <v>2.5734728183051296E-3</v>
      </c>
      <c r="K46" s="460"/>
      <c r="L46" s="154"/>
      <c r="M46" s="154"/>
      <c r="N46" s="315"/>
    </row>
    <row r="47" spans="1:14" s="66" customFormat="1" ht="15" customHeight="1" outlineLevel="1" x14ac:dyDescent="0.2">
      <c r="C47" s="83"/>
      <c r="H47" s="558">
        <v>2900</v>
      </c>
      <c r="I47" s="557" t="s">
        <v>521</v>
      </c>
      <c r="J47" s="558">
        <v>207437</v>
      </c>
      <c r="L47" s="154"/>
      <c r="M47" s="154"/>
      <c r="N47" s="315"/>
    </row>
    <row r="48" spans="1:14" s="154" customFormat="1" ht="15" customHeight="1" outlineLevel="1" x14ac:dyDescent="0.2">
      <c r="B48" s="335"/>
      <c r="C48" s="310"/>
      <c r="D48" s="311"/>
      <c r="F48" s="312"/>
      <c r="G48" s="312"/>
      <c r="H48" s="312"/>
      <c r="I48" s="312"/>
      <c r="N48" s="315"/>
    </row>
    <row r="49" spans="2:14" s="320" customFormat="1" ht="36.75" customHeight="1" outlineLevel="1" x14ac:dyDescent="0.25">
      <c r="B49" s="324">
        <v>2012</v>
      </c>
      <c r="C49" s="307" t="s">
        <v>37</v>
      </c>
      <c r="D49" s="307" t="s">
        <v>409</v>
      </c>
      <c r="E49" s="307" t="s">
        <v>410</v>
      </c>
      <c r="F49" s="307" t="s">
        <v>108</v>
      </c>
      <c r="G49" s="307" t="s">
        <v>40</v>
      </c>
      <c r="H49" s="307" t="s">
        <v>41</v>
      </c>
      <c r="I49" s="307" t="s">
        <v>118</v>
      </c>
      <c r="J49" s="307" t="s">
        <v>505</v>
      </c>
      <c r="K49" s="325" t="s">
        <v>34</v>
      </c>
      <c r="L49" s="319"/>
      <c r="M49" s="319"/>
      <c r="N49" s="319"/>
    </row>
    <row r="50" spans="2:14" s="66" customFormat="1" outlineLevel="1" x14ac:dyDescent="0.25">
      <c r="B50" s="316" t="s">
        <v>35</v>
      </c>
      <c r="C50" s="308"/>
      <c r="D50" s="308"/>
      <c r="E50" s="308"/>
      <c r="F50" s="308"/>
      <c r="G50" s="308"/>
      <c r="H50" s="308"/>
      <c r="I50" s="308"/>
      <c r="J50" s="154"/>
      <c r="K50" s="327"/>
      <c r="L50" s="154"/>
      <c r="M50" s="154"/>
      <c r="N50" s="315"/>
    </row>
    <row r="51" spans="2:14" s="66" customFormat="1" ht="14.25" outlineLevel="1" x14ac:dyDescent="0.2">
      <c r="B51" s="330" t="s">
        <v>522</v>
      </c>
      <c r="C51" s="309">
        <v>66320829</v>
      </c>
      <c r="D51" s="329">
        <v>34349093</v>
      </c>
      <c r="E51" s="546"/>
      <c r="F51" s="546"/>
      <c r="G51" s="546">
        <v>0</v>
      </c>
      <c r="H51" s="329">
        <v>1086069</v>
      </c>
      <c r="I51" s="329">
        <v>302169</v>
      </c>
      <c r="J51" s="329">
        <v>80605864</v>
      </c>
      <c r="K51" s="332">
        <f>SUM(C51:J51)</f>
        <v>182664024</v>
      </c>
      <c r="L51" s="154"/>
      <c r="M51" s="154"/>
      <c r="N51" s="328"/>
    </row>
    <row r="52" spans="2:14" s="66" customFormat="1" ht="14.25" outlineLevel="1" x14ac:dyDescent="0.2">
      <c r="B52" s="330" t="s">
        <v>116</v>
      </c>
      <c r="C52" s="458">
        <f>C51/$K$51</f>
        <v>0.36307548442051185</v>
      </c>
      <c r="D52" s="458">
        <f t="shared" ref="D52:I52" si="19">D51/$K$51</f>
        <v>0.18804520040574602</v>
      </c>
      <c r="E52" s="547">
        <f t="shared" si="19"/>
        <v>0</v>
      </c>
      <c r="F52" s="547">
        <f t="shared" si="19"/>
        <v>0</v>
      </c>
      <c r="G52" s="547">
        <f t="shared" si="19"/>
        <v>0</v>
      </c>
      <c r="H52" s="458">
        <f t="shared" si="19"/>
        <v>5.9457192293103098E-3</v>
      </c>
      <c r="I52" s="458">
        <f t="shared" si="19"/>
        <v>1.6542337860683503E-3</v>
      </c>
      <c r="J52" s="458">
        <f t="shared" ref="J52" si="20">J51/$K$51</f>
        <v>0.4412793621583635</v>
      </c>
      <c r="K52" s="457">
        <f t="shared" ref="K52:K58" si="21">SUM(C52:J52)</f>
        <v>1</v>
      </c>
      <c r="L52" s="154"/>
      <c r="M52" s="154"/>
      <c r="N52" s="315"/>
    </row>
    <row r="53" spans="2:14" s="66" customFormat="1" ht="14.25" outlineLevel="1" x14ac:dyDescent="0.2">
      <c r="B53" s="330" t="s">
        <v>334</v>
      </c>
      <c r="C53" s="470">
        <f>-$C$15*C52</f>
        <v>0</v>
      </c>
      <c r="D53" s="470">
        <f t="shared" ref="D53:I53" si="22">-$C$15*D52</f>
        <v>0</v>
      </c>
      <c r="E53" s="548">
        <f t="shared" si="22"/>
        <v>0</v>
      </c>
      <c r="F53" s="548">
        <f t="shared" si="22"/>
        <v>0</v>
      </c>
      <c r="G53" s="548">
        <f t="shared" si="22"/>
        <v>0</v>
      </c>
      <c r="H53" s="470">
        <f t="shared" si="22"/>
        <v>0</v>
      </c>
      <c r="I53" s="470">
        <f t="shared" si="22"/>
        <v>0</v>
      </c>
      <c r="J53" s="470">
        <f t="shared" ref="J53" si="23">-$C$15*J52</f>
        <v>0</v>
      </c>
      <c r="K53" s="332">
        <f t="shared" si="21"/>
        <v>0</v>
      </c>
      <c r="L53" s="154"/>
      <c r="M53" s="154"/>
      <c r="N53" s="331"/>
    </row>
    <row r="54" spans="2:14" s="66" customFormat="1" ht="14.25" outlineLevel="1" x14ac:dyDescent="0.2">
      <c r="B54" s="330" t="s">
        <v>117</v>
      </c>
      <c r="C54" s="333">
        <f>C51+C53</f>
        <v>66320829</v>
      </c>
      <c r="D54" s="328">
        <f t="shared" ref="D54" si="24">D51+D53</f>
        <v>34349093</v>
      </c>
      <c r="E54" s="546">
        <f t="shared" ref="E54" si="25">E51+E53</f>
        <v>0</v>
      </c>
      <c r="F54" s="546">
        <f t="shared" ref="F54" si="26">F51+F53</f>
        <v>0</v>
      </c>
      <c r="G54" s="546">
        <f t="shared" ref="G54" si="27">G51+G53</f>
        <v>0</v>
      </c>
      <c r="H54" s="328">
        <f t="shared" ref="H54" si="28">H51+H53</f>
        <v>1086069</v>
      </c>
      <c r="I54" s="328">
        <f t="shared" ref="I54" si="29">I51+I53</f>
        <v>302169</v>
      </c>
      <c r="J54" s="328">
        <f t="shared" ref="J54" si="30">J51+J53</f>
        <v>80605864</v>
      </c>
      <c r="K54" s="332">
        <f t="shared" si="21"/>
        <v>182664024</v>
      </c>
      <c r="L54" s="154"/>
      <c r="M54" s="154"/>
    </row>
    <row r="55" spans="2:14" s="66" customFormat="1" outlineLevel="1" x14ac:dyDescent="0.25">
      <c r="B55" s="316" t="s">
        <v>36</v>
      </c>
      <c r="C55" s="154"/>
      <c r="D55" s="313"/>
      <c r="E55" s="549"/>
      <c r="F55" s="550"/>
      <c r="G55" s="550"/>
      <c r="H55" s="314"/>
      <c r="I55" s="154"/>
      <c r="J55" s="154"/>
      <c r="K55" s="336">
        <f t="shared" si="21"/>
        <v>0</v>
      </c>
      <c r="L55" s="154"/>
      <c r="M55" s="154"/>
    </row>
    <row r="56" spans="2:14" s="66" customFormat="1" ht="14.25" outlineLevel="1" x14ac:dyDescent="0.2">
      <c r="B56" s="330" t="s">
        <v>404</v>
      </c>
      <c r="C56" s="154"/>
      <c r="D56" s="154"/>
      <c r="E56" s="546">
        <f>E51*E59</f>
        <v>0</v>
      </c>
      <c r="F56" s="546">
        <f>F51*F59</f>
        <v>0</v>
      </c>
      <c r="G56" s="546">
        <f>G51*G59</f>
        <v>0</v>
      </c>
      <c r="H56" s="328">
        <f>H51*H59</f>
        <v>2899.9999999999995</v>
      </c>
      <c r="I56" s="154"/>
      <c r="J56" s="328">
        <f>J51*J59</f>
        <v>207437</v>
      </c>
      <c r="K56" s="332">
        <f t="shared" si="21"/>
        <v>210337</v>
      </c>
      <c r="L56" s="154"/>
    </row>
    <row r="57" spans="2:14" s="66" customFormat="1" ht="14.25" outlineLevel="1" x14ac:dyDescent="0.2">
      <c r="B57" s="330" t="s">
        <v>119</v>
      </c>
      <c r="C57" s="154"/>
      <c r="D57" s="154"/>
      <c r="E57" s="546">
        <f>E53*E59</f>
        <v>0</v>
      </c>
      <c r="F57" s="546">
        <f>F53*F59</f>
        <v>0</v>
      </c>
      <c r="G57" s="546">
        <f>G53*G59</f>
        <v>0</v>
      </c>
      <c r="H57" s="328">
        <f>H53*H59</f>
        <v>0</v>
      </c>
      <c r="I57" s="154"/>
      <c r="J57" s="328">
        <f>J53*J59</f>
        <v>0</v>
      </c>
      <c r="K57" s="337">
        <f t="shared" si="21"/>
        <v>0</v>
      </c>
      <c r="L57" s="154"/>
      <c r="M57" s="154"/>
    </row>
    <row r="58" spans="2:14" s="66" customFormat="1" ht="14.25" outlineLevel="1" x14ac:dyDescent="0.2">
      <c r="B58" s="330" t="s">
        <v>117</v>
      </c>
      <c r="C58" s="154"/>
      <c r="D58" s="154"/>
      <c r="E58" s="546">
        <f>E56+E57</f>
        <v>0</v>
      </c>
      <c r="F58" s="546">
        <f>F56+F57</f>
        <v>0</v>
      </c>
      <c r="G58" s="546">
        <f t="shared" ref="G58:H58" si="31">G56+G57</f>
        <v>0</v>
      </c>
      <c r="H58" s="328">
        <f t="shared" si="31"/>
        <v>2899.9999999999995</v>
      </c>
      <c r="I58" s="154"/>
      <c r="J58" s="328">
        <f t="shared" ref="J58" si="32">J56+J57</f>
        <v>207437</v>
      </c>
      <c r="K58" s="332">
        <f t="shared" si="21"/>
        <v>210337</v>
      </c>
      <c r="L58" s="154"/>
      <c r="M58" s="154"/>
    </row>
    <row r="59" spans="2:14" s="66" customFormat="1" ht="14.25" outlineLevel="1" x14ac:dyDescent="0.2">
      <c r="B59" s="459" t="s">
        <v>402</v>
      </c>
      <c r="C59" s="556"/>
      <c r="D59" s="556"/>
      <c r="E59" s="555"/>
      <c r="F59" s="555"/>
      <c r="G59" s="555"/>
      <c r="H59" s="473">
        <f>H60/H51</f>
        <v>2.6701802555822878E-3</v>
      </c>
      <c r="I59" s="556"/>
      <c r="J59" s="473">
        <f>J60/J51</f>
        <v>2.5734728183051296E-3</v>
      </c>
      <c r="K59" s="460"/>
      <c r="L59" s="154"/>
      <c r="M59" s="154"/>
    </row>
    <row r="60" spans="2:14" s="66" customFormat="1" ht="14.25" outlineLevel="1" x14ac:dyDescent="0.2">
      <c r="C60" s="83"/>
      <c r="H60" s="558">
        <v>2900</v>
      </c>
      <c r="I60" s="557" t="s">
        <v>521</v>
      </c>
      <c r="J60" s="558">
        <v>207437</v>
      </c>
      <c r="L60" s="154"/>
      <c r="M60" s="154"/>
    </row>
    <row r="61" spans="2:14" s="66" customFormat="1" ht="14.25" outlineLevel="1" x14ac:dyDescent="0.2">
      <c r="B61" s="69"/>
      <c r="C61" s="83"/>
      <c r="D61" s="154"/>
      <c r="E61" s="154"/>
      <c r="F61" s="154"/>
      <c r="G61" s="154"/>
      <c r="H61" s="154"/>
      <c r="I61" s="154"/>
      <c r="J61" s="154"/>
      <c r="L61" s="154"/>
      <c r="M61" s="154"/>
    </row>
    <row r="62" spans="2:14" s="320" customFormat="1" ht="35.25" customHeight="1" outlineLevel="1" x14ac:dyDescent="0.25">
      <c r="B62" s="324">
        <v>2013</v>
      </c>
      <c r="C62" s="307" t="s">
        <v>37</v>
      </c>
      <c r="D62" s="307" t="s">
        <v>409</v>
      </c>
      <c r="E62" s="307" t="s">
        <v>410</v>
      </c>
      <c r="F62" s="307" t="s">
        <v>108</v>
      </c>
      <c r="G62" s="307" t="s">
        <v>40</v>
      </c>
      <c r="H62" s="307" t="s">
        <v>41</v>
      </c>
      <c r="I62" s="307" t="s">
        <v>118</v>
      </c>
      <c r="J62" s="307" t="s">
        <v>505</v>
      </c>
      <c r="K62" s="325" t="s">
        <v>34</v>
      </c>
      <c r="L62" s="319"/>
      <c r="M62" s="319"/>
    </row>
    <row r="63" spans="2:14" s="66" customFormat="1" outlineLevel="1" x14ac:dyDescent="0.25">
      <c r="B63" s="316" t="s">
        <v>35</v>
      </c>
      <c r="C63" s="308"/>
      <c r="D63" s="308"/>
      <c r="E63" s="308"/>
      <c r="F63" s="308"/>
      <c r="G63" s="308"/>
      <c r="H63" s="308"/>
      <c r="I63" s="308"/>
      <c r="J63" s="154"/>
      <c r="K63" s="327"/>
      <c r="L63" s="154"/>
      <c r="M63" s="154"/>
    </row>
    <row r="64" spans="2:14" s="66" customFormat="1" ht="14.25" outlineLevel="1" x14ac:dyDescent="0.2">
      <c r="B64" s="330" t="s">
        <v>522</v>
      </c>
      <c r="C64" s="309">
        <v>66320829</v>
      </c>
      <c r="D64" s="329">
        <v>34349093</v>
      </c>
      <c r="E64" s="546"/>
      <c r="F64" s="546"/>
      <c r="G64" s="546">
        <v>0</v>
      </c>
      <c r="H64" s="329">
        <v>1086069</v>
      </c>
      <c r="I64" s="329">
        <v>302169</v>
      </c>
      <c r="J64" s="329">
        <v>80605864</v>
      </c>
      <c r="K64" s="332">
        <f>SUM(C64:J64)</f>
        <v>182664024</v>
      </c>
      <c r="L64" s="154"/>
      <c r="M64" s="154"/>
    </row>
    <row r="65" spans="2:13" s="66" customFormat="1" ht="14.25" outlineLevel="1" x14ac:dyDescent="0.2">
      <c r="B65" s="330" t="s">
        <v>116</v>
      </c>
      <c r="C65" s="458">
        <f>C64/$K$64</f>
        <v>0.36307548442051185</v>
      </c>
      <c r="D65" s="458">
        <f t="shared" ref="D65:I65" si="33">D64/$K$64</f>
        <v>0.18804520040574602</v>
      </c>
      <c r="E65" s="547">
        <f>E64/$K$64</f>
        <v>0</v>
      </c>
      <c r="F65" s="547">
        <f t="shared" si="33"/>
        <v>0</v>
      </c>
      <c r="G65" s="547">
        <f t="shared" si="33"/>
        <v>0</v>
      </c>
      <c r="H65" s="458">
        <f t="shared" si="33"/>
        <v>5.9457192293103098E-3</v>
      </c>
      <c r="I65" s="458">
        <f t="shared" si="33"/>
        <v>1.6542337860683503E-3</v>
      </c>
      <c r="J65" s="458">
        <f t="shared" ref="J65" si="34">J64/$K$64</f>
        <v>0.4412793621583635</v>
      </c>
      <c r="K65" s="457">
        <f t="shared" ref="K65:K71" si="35">SUM(C65:J65)</f>
        <v>1</v>
      </c>
      <c r="L65" s="154"/>
      <c r="M65" s="154"/>
    </row>
    <row r="66" spans="2:13" s="66" customFormat="1" ht="14.25" outlineLevel="1" x14ac:dyDescent="0.2">
      <c r="B66" s="330" t="s">
        <v>334</v>
      </c>
      <c r="C66" s="470">
        <f>-$C$16*C65</f>
        <v>0</v>
      </c>
      <c r="D66" s="470">
        <f>-$C$16*D65</f>
        <v>0</v>
      </c>
      <c r="E66" s="548">
        <f>-$C$16*E65</f>
        <v>0</v>
      </c>
      <c r="F66" s="548">
        <f t="shared" ref="F66:I66" si="36">-$C$16*F65</f>
        <v>0</v>
      </c>
      <c r="G66" s="548">
        <f t="shared" si="36"/>
        <v>0</v>
      </c>
      <c r="H66" s="470">
        <f t="shared" si="36"/>
        <v>0</v>
      </c>
      <c r="I66" s="470">
        <f t="shared" si="36"/>
        <v>0</v>
      </c>
      <c r="J66" s="470">
        <f t="shared" ref="J66" si="37">-$C$16*J65</f>
        <v>0</v>
      </c>
      <c r="K66" s="332">
        <f t="shared" si="35"/>
        <v>0</v>
      </c>
      <c r="L66" s="154"/>
      <c r="M66" s="154"/>
    </row>
    <row r="67" spans="2:13" s="66" customFormat="1" ht="14.25" outlineLevel="1" x14ac:dyDescent="0.2">
      <c r="B67" s="330" t="s">
        <v>117</v>
      </c>
      <c r="C67" s="333">
        <f>C64+C66</f>
        <v>66320829</v>
      </c>
      <c r="D67" s="328">
        <f t="shared" ref="D67" si="38">D64+D66</f>
        <v>34349093</v>
      </c>
      <c r="E67" s="546">
        <f t="shared" ref="E67" si="39">E64+E66</f>
        <v>0</v>
      </c>
      <c r="F67" s="546">
        <f t="shared" ref="F67" si="40">F64+F66</f>
        <v>0</v>
      </c>
      <c r="G67" s="546">
        <f t="shared" ref="G67" si="41">G64+G66</f>
        <v>0</v>
      </c>
      <c r="H67" s="328">
        <f t="shared" ref="H67" si="42">H64+H66</f>
        <v>1086069</v>
      </c>
      <c r="I67" s="328">
        <f t="shared" ref="I67:J67" si="43">I64+I66</f>
        <v>302169</v>
      </c>
      <c r="J67" s="328">
        <f t="shared" si="43"/>
        <v>80605864</v>
      </c>
      <c r="K67" s="332">
        <f t="shared" si="35"/>
        <v>182664024</v>
      </c>
      <c r="L67" s="154"/>
      <c r="M67" s="154"/>
    </row>
    <row r="68" spans="2:13" s="66" customFormat="1" outlineLevel="1" x14ac:dyDescent="0.25">
      <c r="B68" s="316" t="s">
        <v>36</v>
      </c>
      <c r="C68" s="154"/>
      <c r="D68" s="313"/>
      <c r="E68" s="549"/>
      <c r="F68" s="550"/>
      <c r="G68" s="550"/>
      <c r="H68" s="314"/>
      <c r="I68" s="154"/>
      <c r="J68" s="154"/>
      <c r="K68" s="336"/>
      <c r="L68" s="154"/>
      <c r="M68" s="154"/>
    </row>
    <row r="69" spans="2:13" s="66" customFormat="1" ht="14.25" outlineLevel="1" x14ac:dyDescent="0.2">
      <c r="B69" s="330" t="s">
        <v>404</v>
      </c>
      <c r="C69" s="154"/>
      <c r="D69" s="154"/>
      <c r="E69" s="546">
        <f>E64*E72</f>
        <v>0</v>
      </c>
      <c r="F69" s="546">
        <f t="shared" ref="F69:J69" si="44">F64*F72</f>
        <v>0</v>
      </c>
      <c r="G69" s="546">
        <f t="shared" si="44"/>
        <v>0</v>
      </c>
      <c r="H69" s="328">
        <f t="shared" si="44"/>
        <v>2899.9999999999995</v>
      </c>
      <c r="I69" s="154"/>
      <c r="J69" s="328">
        <f t="shared" si="44"/>
        <v>207437</v>
      </c>
      <c r="K69" s="332">
        <f t="shared" si="35"/>
        <v>210337</v>
      </c>
      <c r="L69" s="154"/>
      <c r="M69" s="154"/>
    </row>
    <row r="70" spans="2:13" s="66" customFormat="1" ht="14.25" outlineLevel="1" x14ac:dyDescent="0.2">
      <c r="B70" s="330" t="s">
        <v>119</v>
      </c>
      <c r="C70" s="154"/>
      <c r="D70" s="154"/>
      <c r="E70" s="546">
        <f>E66*E72</f>
        <v>0</v>
      </c>
      <c r="F70" s="546">
        <f t="shared" ref="F70:J70" si="45">F66*F72</f>
        <v>0</v>
      </c>
      <c r="G70" s="546">
        <f t="shared" si="45"/>
        <v>0</v>
      </c>
      <c r="H70" s="328">
        <f t="shared" si="45"/>
        <v>0</v>
      </c>
      <c r="I70" s="154"/>
      <c r="J70" s="328">
        <f t="shared" si="45"/>
        <v>0</v>
      </c>
      <c r="K70" s="337">
        <f t="shared" si="35"/>
        <v>0</v>
      </c>
      <c r="L70" s="154"/>
      <c r="M70" s="154"/>
    </row>
    <row r="71" spans="2:13" s="66" customFormat="1" ht="14.25" outlineLevel="1" x14ac:dyDescent="0.2">
      <c r="B71" s="330" t="s">
        <v>117</v>
      </c>
      <c r="C71" s="154"/>
      <c r="D71" s="154"/>
      <c r="E71" s="546">
        <f>E69+E70</f>
        <v>0</v>
      </c>
      <c r="F71" s="546">
        <f t="shared" ref="F71" si="46">F69+F70</f>
        <v>0</v>
      </c>
      <c r="G71" s="546">
        <f t="shared" ref="G71" si="47">G69+G70</f>
        <v>0</v>
      </c>
      <c r="H71" s="328">
        <f t="shared" ref="H71:J71" si="48">H69+H70</f>
        <v>2899.9999999999995</v>
      </c>
      <c r="I71" s="154"/>
      <c r="J71" s="328">
        <f t="shared" si="48"/>
        <v>207437</v>
      </c>
      <c r="K71" s="332">
        <f t="shared" si="35"/>
        <v>210337</v>
      </c>
      <c r="L71" s="154"/>
      <c r="M71" s="154"/>
    </row>
    <row r="72" spans="2:13" s="66" customFormat="1" ht="14.25" outlineLevel="1" x14ac:dyDescent="0.2">
      <c r="B72" s="459" t="s">
        <v>403</v>
      </c>
      <c r="C72" s="556"/>
      <c r="D72" s="556"/>
      <c r="E72" s="555"/>
      <c r="F72" s="555"/>
      <c r="G72" s="555"/>
      <c r="H72" s="473">
        <f>H73/H64</f>
        <v>2.6701802555822878E-3</v>
      </c>
      <c r="I72" s="556"/>
      <c r="J72" s="473">
        <f>J73/J64</f>
        <v>2.5734728183051296E-3</v>
      </c>
      <c r="K72" s="460"/>
      <c r="L72" s="154"/>
      <c r="M72" s="154"/>
    </row>
    <row r="73" spans="2:13" s="66" customFormat="1" ht="14.25" outlineLevel="1" x14ac:dyDescent="0.2">
      <c r="C73" s="83"/>
      <c r="H73" s="558">
        <v>2900</v>
      </c>
      <c r="I73" s="557" t="s">
        <v>521</v>
      </c>
      <c r="J73" s="558">
        <v>207437</v>
      </c>
      <c r="L73" s="154"/>
    </row>
    <row r="74" spans="2:13" s="66" customFormat="1" ht="14.25" outlineLevel="1" x14ac:dyDescent="0.2">
      <c r="B74" s="69"/>
      <c r="C74" s="83"/>
    </row>
    <row r="75" spans="2:13" s="320" customFormat="1" ht="45" outlineLevel="1" x14ac:dyDescent="0.25">
      <c r="B75" s="324">
        <v>2014</v>
      </c>
      <c r="C75" s="307" t="s">
        <v>37</v>
      </c>
      <c r="D75" s="307" t="s">
        <v>409</v>
      </c>
      <c r="E75" s="307" t="s">
        <v>410</v>
      </c>
      <c r="F75" s="307" t="s">
        <v>108</v>
      </c>
      <c r="G75" s="307" t="s">
        <v>40</v>
      </c>
      <c r="H75" s="307" t="s">
        <v>41</v>
      </c>
      <c r="I75" s="307" t="s">
        <v>118</v>
      </c>
      <c r="J75" s="307" t="s">
        <v>505</v>
      </c>
      <c r="K75" s="325" t="s">
        <v>34</v>
      </c>
    </row>
    <row r="76" spans="2:13" s="66" customFormat="1" outlineLevel="1" x14ac:dyDescent="0.25">
      <c r="B76" s="316" t="s">
        <v>35</v>
      </c>
      <c r="C76" s="308"/>
      <c r="D76" s="308"/>
      <c r="E76" s="308"/>
      <c r="F76" s="308"/>
      <c r="G76" s="308"/>
      <c r="H76" s="308"/>
      <c r="I76" s="308"/>
      <c r="J76" s="154"/>
      <c r="K76" s="327"/>
    </row>
    <row r="77" spans="2:13" s="66" customFormat="1" ht="14.25" outlineLevel="1" x14ac:dyDescent="0.2">
      <c r="B77" s="330" t="s">
        <v>519</v>
      </c>
      <c r="C77" s="309">
        <v>67753410</v>
      </c>
      <c r="D77" s="329">
        <v>37260698</v>
      </c>
      <c r="E77" s="546"/>
      <c r="F77" s="546"/>
      <c r="G77" s="546"/>
      <c r="H77" s="329">
        <v>1248464</v>
      </c>
      <c r="I77" s="329">
        <v>240322</v>
      </c>
      <c r="J77" s="329">
        <v>81473856</v>
      </c>
      <c r="K77" s="332">
        <f t="shared" ref="K77:K84" si="49">SUM(C77:J77)</f>
        <v>187976750</v>
      </c>
    </row>
    <row r="78" spans="2:13" s="66" customFormat="1" ht="14.25" outlineLevel="1" x14ac:dyDescent="0.2">
      <c r="B78" s="330" t="s">
        <v>116</v>
      </c>
      <c r="C78" s="458">
        <f>C77/$K$77</f>
        <v>0.3604350538031964</v>
      </c>
      <c r="D78" s="458">
        <f>D77/$K$77</f>
        <v>0.19821971600211197</v>
      </c>
      <c r="E78" s="547">
        <f t="shared" ref="E78:I78" si="50">E77/$K$77</f>
        <v>0</v>
      </c>
      <c r="F78" s="547">
        <f t="shared" si="50"/>
        <v>0</v>
      </c>
      <c r="G78" s="547">
        <f t="shared" si="50"/>
        <v>0</v>
      </c>
      <c r="H78" s="458">
        <f t="shared" ref="H78" si="51">H77/$K$77</f>
        <v>6.6415873239642669E-3</v>
      </c>
      <c r="I78" s="458">
        <f t="shared" si="50"/>
        <v>1.2784666188770685E-3</v>
      </c>
      <c r="J78" s="458">
        <f t="shared" ref="J78" si="52">J77/$K$77</f>
        <v>0.43342517625185029</v>
      </c>
      <c r="K78" s="457">
        <f t="shared" si="49"/>
        <v>1</v>
      </c>
    </row>
    <row r="79" spans="2:13" s="66" customFormat="1" ht="14.25" outlineLevel="1" x14ac:dyDescent="0.2">
      <c r="B79" s="330" t="s">
        <v>334</v>
      </c>
      <c r="C79" s="470">
        <f>-$C$17*C78</f>
        <v>-1037758.8399493023</v>
      </c>
      <c r="D79" s="470">
        <f t="shared" ref="D79:I79" si="53">-$C$17*D78</f>
        <v>-570711.03479782469</v>
      </c>
      <c r="E79" s="548">
        <f t="shared" si="53"/>
        <v>0</v>
      </c>
      <c r="F79" s="548">
        <f t="shared" si="53"/>
        <v>0</v>
      </c>
      <c r="G79" s="548">
        <f t="shared" si="53"/>
        <v>0</v>
      </c>
      <c r="H79" s="470">
        <f t="shared" ref="H79" si="54">-$C$17*H78</f>
        <v>-19122.351957760733</v>
      </c>
      <c r="I79" s="470">
        <f t="shared" si="53"/>
        <v>-3680.9406336049537</v>
      </c>
      <c r="J79" s="470">
        <f t="shared" ref="J79" si="55">-$C$17*J78</f>
        <v>-1247910.8326615074</v>
      </c>
      <c r="K79" s="332">
        <f t="shared" si="49"/>
        <v>-2879184</v>
      </c>
    </row>
    <row r="80" spans="2:13" s="66" customFormat="1" ht="14.25" outlineLevel="1" x14ac:dyDescent="0.2">
      <c r="B80" s="330" t="s">
        <v>117</v>
      </c>
      <c r="C80" s="333">
        <f>C77+C79</f>
        <v>66715651.160050698</v>
      </c>
      <c r="D80" s="328">
        <f t="shared" ref="D80" si="56">D77+D79</f>
        <v>36689986.965202175</v>
      </c>
      <c r="E80" s="546">
        <f t="shared" ref="E80" si="57">E77+E79</f>
        <v>0</v>
      </c>
      <c r="F80" s="546">
        <f t="shared" ref="F80" si="58">F77+F79</f>
        <v>0</v>
      </c>
      <c r="G80" s="546">
        <f t="shared" ref="G80:H80" si="59">G77+G79</f>
        <v>0</v>
      </c>
      <c r="H80" s="328">
        <f t="shared" si="59"/>
        <v>1229341.6480422392</v>
      </c>
      <c r="I80" s="328">
        <f t="shared" ref="I80:J80" si="60">I77+I79</f>
        <v>236641.05936639506</v>
      </c>
      <c r="J80" s="328">
        <f t="shared" si="60"/>
        <v>80225945.16733849</v>
      </c>
      <c r="K80" s="332">
        <f t="shared" si="49"/>
        <v>185097566</v>
      </c>
    </row>
    <row r="81" spans="2:11" s="66" customFormat="1" outlineLevel="1" x14ac:dyDescent="0.25">
      <c r="B81" s="316" t="s">
        <v>36</v>
      </c>
      <c r="C81" s="154"/>
      <c r="D81" s="313"/>
      <c r="E81" s="549"/>
      <c r="F81" s="550"/>
      <c r="G81" s="550"/>
      <c r="H81" s="314"/>
      <c r="I81" s="154"/>
      <c r="J81" s="154"/>
      <c r="K81" s="336"/>
    </row>
    <row r="82" spans="2:11" s="66" customFormat="1" ht="14.25" outlineLevel="1" x14ac:dyDescent="0.2">
      <c r="B82" s="330" t="s">
        <v>520</v>
      </c>
      <c r="C82" s="154"/>
      <c r="D82" s="154"/>
      <c r="E82" s="546">
        <f>E77*E85</f>
        <v>0</v>
      </c>
      <c r="F82" s="546">
        <f t="shared" ref="F82:G82" si="61">F77*F85</f>
        <v>0</v>
      </c>
      <c r="G82" s="546">
        <f t="shared" si="61"/>
        <v>0</v>
      </c>
      <c r="H82" s="328">
        <f t="shared" ref="H82:J82" si="62">H77*H85</f>
        <v>3377</v>
      </c>
      <c r="I82" s="154"/>
      <c r="J82" s="328">
        <f t="shared" si="62"/>
        <v>201178</v>
      </c>
      <c r="K82" s="332">
        <f t="shared" si="49"/>
        <v>204555</v>
      </c>
    </row>
    <row r="83" spans="2:11" s="66" customFormat="1" ht="14.25" outlineLevel="1" x14ac:dyDescent="0.2">
      <c r="B83" s="330" t="s">
        <v>119</v>
      </c>
      <c r="C83" s="154"/>
      <c r="D83" s="154"/>
      <c r="E83" s="546">
        <f>E79*E85</f>
        <v>0</v>
      </c>
      <c r="F83" s="546">
        <f t="shared" ref="F83:G83" si="63">F79*F85</f>
        <v>0</v>
      </c>
      <c r="G83" s="546">
        <f t="shared" si="63"/>
        <v>0</v>
      </c>
      <c r="H83" s="328">
        <f t="shared" ref="H83:J83" si="64">H79*H85</f>
        <v>-51.724505120979053</v>
      </c>
      <c r="I83" s="154"/>
      <c r="J83" s="328">
        <f t="shared" si="64"/>
        <v>-3081.3836219213281</v>
      </c>
      <c r="K83" s="337">
        <f t="shared" si="49"/>
        <v>-3133.1081270423069</v>
      </c>
    </row>
    <row r="84" spans="2:11" s="66" customFormat="1" ht="14.25" outlineLevel="1" x14ac:dyDescent="0.2">
      <c r="B84" s="330" t="s">
        <v>117</v>
      </c>
      <c r="C84" s="154"/>
      <c r="D84" s="154"/>
      <c r="E84" s="546">
        <f>E82+E83</f>
        <v>0</v>
      </c>
      <c r="F84" s="546">
        <f t="shared" ref="F84" si="65">F82+F83</f>
        <v>0</v>
      </c>
      <c r="G84" s="546">
        <f t="shared" ref="G84:H84" si="66">G82+G83</f>
        <v>0</v>
      </c>
      <c r="H84" s="328">
        <f t="shared" si="66"/>
        <v>3325.2754948790212</v>
      </c>
      <c r="I84" s="154"/>
      <c r="J84" s="328">
        <f t="shared" ref="J84" si="67">J82+J83</f>
        <v>198096.61637807867</v>
      </c>
      <c r="K84" s="332">
        <f t="shared" si="49"/>
        <v>201421.8918729577</v>
      </c>
    </row>
    <row r="85" spans="2:11" s="66" customFormat="1" ht="14.25" outlineLevel="1" x14ac:dyDescent="0.2">
      <c r="B85" s="459" t="s">
        <v>402</v>
      </c>
      <c r="C85" s="556"/>
      <c r="D85" s="556"/>
      <c r="E85" s="555"/>
      <c r="F85" s="555"/>
      <c r="G85" s="555"/>
      <c r="H85" s="473">
        <f>H86/H77</f>
        <v>2.7049238103781926E-3</v>
      </c>
      <c r="I85" s="556"/>
      <c r="J85" s="473">
        <f>J86/J77</f>
        <v>2.4692338116413686E-3</v>
      </c>
      <c r="K85" s="460"/>
    </row>
    <row r="86" spans="2:11" s="66" customFormat="1" ht="14.25" outlineLevel="1" x14ac:dyDescent="0.2">
      <c r="C86" s="83"/>
      <c r="H86" s="558">
        <v>3377</v>
      </c>
      <c r="I86" s="557" t="s">
        <v>521</v>
      </c>
      <c r="J86" s="558">
        <v>201178</v>
      </c>
    </row>
    <row r="87" spans="2:11" s="66" customFormat="1" ht="14.25" outlineLevel="1" x14ac:dyDescent="0.2">
      <c r="B87" s="83"/>
      <c r="C87" s="318"/>
    </row>
    <row r="88" spans="2:11" s="66" customFormat="1" ht="45" outlineLevel="1" x14ac:dyDescent="0.2">
      <c r="B88" s="324">
        <v>2015</v>
      </c>
      <c r="C88" s="307" t="s">
        <v>37</v>
      </c>
      <c r="D88" s="307" t="s">
        <v>409</v>
      </c>
      <c r="E88" s="307" t="s">
        <v>410</v>
      </c>
      <c r="F88" s="307" t="s">
        <v>108</v>
      </c>
      <c r="G88" s="307" t="s">
        <v>40</v>
      </c>
      <c r="H88" s="307" t="s">
        <v>41</v>
      </c>
      <c r="I88" s="307" t="s">
        <v>118</v>
      </c>
      <c r="J88" s="307" t="s">
        <v>505</v>
      </c>
      <c r="K88" s="325" t="s">
        <v>34</v>
      </c>
    </row>
    <row r="89" spans="2:11" s="66" customFormat="1" outlineLevel="1" x14ac:dyDescent="0.25">
      <c r="B89" s="316" t="s">
        <v>35</v>
      </c>
      <c r="C89" s="308"/>
      <c r="D89" s="308"/>
      <c r="E89" s="308"/>
      <c r="F89" s="308"/>
      <c r="G89" s="308"/>
      <c r="H89" s="308"/>
      <c r="I89" s="308"/>
      <c r="J89" s="154"/>
      <c r="K89" s="327"/>
    </row>
    <row r="90" spans="2:11" s="66" customFormat="1" ht="14.25" outlineLevel="1" x14ac:dyDescent="0.2">
      <c r="B90" s="330" t="s">
        <v>519</v>
      </c>
      <c r="C90" s="309">
        <v>67753410</v>
      </c>
      <c r="D90" s="329">
        <v>37260698</v>
      </c>
      <c r="E90" s="546"/>
      <c r="F90" s="546"/>
      <c r="G90" s="546"/>
      <c r="H90" s="329">
        <v>1248464</v>
      </c>
      <c r="I90" s="329">
        <v>240322</v>
      </c>
      <c r="J90" s="329">
        <v>81473856</v>
      </c>
      <c r="K90" s="332">
        <f t="shared" ref="K90:K93" si="68">SUM(C90:J90)</f>
        <v>187976750</v>
      </c>
    </row>
    <row r="91" spans="2:11" s="66" customFormat="1" ht="14.25" outlineLevel="1" x14ac:dyDescent="0.2">
      <c r="B91" s="330" t="s">
        <v>116</v>
      </c>
      <c r="C91" s="458">
        <f>C90/$K$77</f>
        <v>0.3604350538031964</v>
      </c>
      <c r="D91" s="458">
        <f>D90/$K$77</f>
        <v>0.19821971600211197</v>
      </c>
      <c r="E91" s="547">
        <f t="shared" ref="E91:J91" si="69">E90/$K$77</f>
        <v>0</v>
      </c>
      <c r="F91" s="547">
        <f t="shared" si="69"/>
        <v>0</v>
      </c>
      <c r="G91" s="547">
        <f t="shared" si="69"/>
        <v>0</v>
      </c>
      <c r="H91" s="458">
        <f t="shared" si="69"/>
        <v>6.6415873239642669E-3</v>
      </c>
      <c r="I91" s="458">
        <f t="shared" si="69"/>
        <v>1.2784666188770685E-3</v>
      </c>
      <c r="J91" s="458">
        <f t="shared" si="69"/>
        <v>0.43342517625185029</v>
      </c>
      <c r="K91" s="457">
        <f t="shared" si="68"/>
        <v>1</v>
      </c>
    </row>
    <row r="92" spans="2:11" s="66" customFormat="1" ht="14.25" outlineLevel="1" x14ac:dyDescent="0.2">
      <c r="B92" s="330" t="s">
        <v>334</v>
      </c>
      <c r="C92" s="470">
        <f>-$C$17*C91</f>
        <v>-1037758.8399493023</v>
      </c>
      <c r="D92" s="470">
        <f t="shared" ref="D92:J92" si="70">-$C$17*D91</f>
        <v>-570711.03479782469</v>
      </c>
      <c r="E92" s="548">
        <f t="shared" si="70"/>
        <v>0</v>
      </c>
      <c r="F92" s="548">
        <f t="shared" si="70"/>
        <v>0</v>
      </c>
      <c r="G92" s="548">
        <f t="shared" si="70"/>
        <v>0</v>
      </c>
      <c r="H92" s="470">
        <f t="shared" si="70"/>
        <v>-19122.351957760733</v>
      </c>
      <c r="I92" s="470">
        <f t="shared" si="70"/>
        <v>-3680.9406336049537</v>
      </c>
      <c r="J92" s="470">
        <f t="shared" si="70"/>
        <v>-1247910.8326615074</v>
      </c>
      <c r="K92" s="332">
        <f t="shared" si="68"/>
        <v>-2879184</v>
      </c>
    </row>
    <row r="93" spans="2:11" s="66" customFormat="1" ht="14.25" outlineLevel="1" x14ac:dyDescent="0.2">
      <c r="B93" s="330" t="s">
        <v>117</v>
      </c>
      <c r="C93" s="333">
        <f>C90+C92</f>
        <v>66715651.160050698</v>
      </c>
      <c r="D93" s="328">
        <f t="shared" ref="D93:J93" si="71">D90+D92</f>
        <v>36689986.965202175</v>
      </c>
      <c r="E93" s="546">
        <f t="shared" si="71"/>
        <v>0</v>
      </c>
      <c r="F93" s="546">
        <f t="shared" si="71"/>
        <v>0</v>
      </c>
      <c r="G93" s="546">
        <f t="shared" si="71"/>
        <v>0</v>
      </c>
      <c r="H93" s="328">
        <f t="shared" si="71"/>
        <v>1229341.6480422392</v>
      </c>
      <c r="I93" s="328">
        <f t="shared" si="71"/>
        <v>236641.05936639506</v>
      </c>
      <c r="J93" s="328">
        <f t="shared" si="71"/>
        <v>80225945.16733849</v>
      </c>
      <c r="K93" s="332">
        <f t="shared" si="68"/>
        <v>185097566</v>
      </c>
    </row>
    <row r="94" spans="2:11" s="66" customFormat="1" outlineLevel="1" x14ac:dyDescent="0.25">
      <c r="B94" s="316" t="s">
        <v>36</v>
      </c>
      <c r="C94" s="154"/>
      <c r="D94" s="313"/>
      <c r="E94" s="549"/>
      <c r="F94" s="550"/>
      <c r="G94" s="550"/>
      <c r="H94" s="314"/>
      <c r="I94" s="154"/>
      <c r="J94" s="154"/>
      <c r="K94" s="336"/>
    </row>
    <row r="95" spans="2:11" s="66" customFormat="1" ht="14.25" outlineLevel="1" x14ac:dyDescent="0.2">
      <c r="B95" s="330" t="s">
        <v>520</v>
      </c>
      <c r="C95" s="154"/>
      <c r="D95" s="154"/>
      <c r="E95" s="546">
        <f>E90*E98</f>
        <v>0</v>
      </c>
      <c r="F95" s="546">
        <f t="shared" ref="F95:H95" si="72">F90*F98</f>
        <v>0</v>
      </c>
      <c r="G95" s="546">
        <f t="shared" si="72"/>
        <v>0</v>
      </c>
      <c r="H95" s="328">
        <f t="shared" si="72"/>
        <v>3377</v>
      </c>
      <c r="I95" s="154"/>
      <c r="J95" s="328">
        <f t="shared" ref="J95" si="73">J90*J98</f>
        <v>201178</v>
      </c>
      <c r="K95" s="332">
        <f t="shared" ref="K95:K97" si="74">SUM(C95:J95)</f>
        <v>204555</v>
      </c>
    </row>
    <row r="96" spans="2:11" s="66" customFormat="1" ht="14.25" outlineLevel="1" x14ac:dyDescent="0.2">
      <c r="B96" s="330" t="s">
        <v>119</v>
      </c>
      <c r="C96" s="154"/>
      <c r="D96" s="154"/>
      <c r="E96" s="546">
        <f>E92*E98</f>
        <v>0</v>
      </c>
      <c r="F96" s="546">
        <f t="shared" ref="F96:H96" si="75">F92*F98</f>
        <v>0</v>
      </c>
      <c r="G96" s="546">
        <f t="shared" si="75"/>
        <v>0</v>
      </c>
      <c r="H96" s="328">
        <f t="shared" si="75"/>
        <v>-51.724505120979053</v>
      </c>
      <c r="I96" s="154"/>
      <c r="J96" s="328">
        <f t="shared" ref="J96" si="76">J92*J98</f>
        <v>-3081.3836219213281</v>
      </c>
      <c r="K96" s="337">
        <f t="shared" si="74"/>
        <v>-3133.1081270423069</v>
      </c>
    </row>
    <row r="97" spans="2:12" s="66" customFormat="1" ht="14.25" outlineLevel="1" x14ac:dyDescent="0.2">
      <c r="B97" s="330" t="s">
        <v>117</v>
      </c>
      <c r="C97" s="154"/>
      <c r="D97" s="154"/>
      <c r="E97" s="546">
        <f>E95+E96</f>
        <v>0</v>
      </c>
      <c r="F97" s="546">
        <f t="shared" ref="F97:H97" si="77">F95+F96</f>
        <v>0</v>
      </c>
      <c r="G97" s="546">
        <f t="shared" si="77"/>
        <v>0</v>
      </c>
      <c r="H97" s="328">
        <f t="shared" si="77"/>
        <v>3325.2754948790212</v>
      </c>
      <c r="I97" s="154"/>
      <c r="J97" s="328">
        <f t="shared" ref="J97" si="78">J95+J96</f>
        <v>198096.61637807867</v>
      </c>
      <c r="K97" s="332">
        <f t="shared" si="74"/>
        <v>201421.8918729577</v>
      </c>
    </row>
    <row r="98" spans="2:12" s="66" customFormat="1" ht="14.25" outlineLevel="1" x14ac:dyDescent="0.2">
      <c r="B98" s="459" t="s">
        <v>402</v>
      </c>
      <c r="C98" s="556"/>
      <c r="D98" s="556"/>
      <c r="E98" s="555"/>
      <c r="F98" s="555"/>
      <c r="G98" s="555"/>
      <c r="H98" s="473">
        <f>H99/H90</f>
        <v>2.7049238103781926E-3</v>
      </c>
      <c r="I98" s="556"/>
      <c r="J98" s="473">
        <f>J99/J90</f>
        <v>2.4692338116413686E-3</v>
      </c>
      <c r="K98" s="460"/>
    </row>
    <row r="99" spans="2:12" s="66" customFormat="1" ht="14.25" outlineLevel="1" x14ac:dyDescent="0.2">
      <c r="C99" s="83"/>
      <c r="H99" s="558">
        <v>3377</v>
      </c>
      <c r="I99" s="557" t="s">
        <v>521</v>
      </c>
      <c r="J99" s="558">
        <v>201178</v>
      </c>
    </row>
    <row r="100" spans="2:12" s="66" customFormat="1" ht="14.25" outlineLevel="1" x14ac:dyDescent="0.2">
      <c r="B100" s="83"/>
    </row>
    <row r="101" spans="2:12" s="66" customFormat="1" ht="45" outlineLevel="1" x14ac:dyDescent="0.2">
      <c r="B101" s="324">
        <v>2016</v>
      </c>
      <c r="C101" s="307" t="s">
        <v>37</v>
      </c>
      <c r="D101" s="307" t="s">
        <v>409</v>
      </c>
      <c r="E101" s="307" t="s">
        <v>410</v>
      </c>
      <c r="F101" s="307" t="s">
        <v>108</v>
      </c>
      <c r="G101" s="307" t="s">
        <v>40</v>
      </c>
      <c r="H101" s="307" t="s">
        <v>41</v>
      </c>
      <c r="I101" s="307" t="s">
        <v>118</v>
      </c>
      <c r="J101" s="307" t="s">
        <v>505</v>
      </c>
      <c r="K101" s="325" t="s">
        <v>34</v>
      </c>
    </row>
    <row r="102" spans="2:12" s="66" customFormat="1" outlineLevel="1" x14ac:dyDescent="0.25">
      <c r="B102" s="316" t="s">
        <v>35</v>
      </c>
      <c r="C102" s="308"/>
      <c r="D102" s="308"/>
      <c r="E102" s="308"/>
      <c r="F102" s="308"/>
      <c r="G102" s="308"/>
      <c r="H102" s="308"/>
      <c r="I102" s="308"/>
      <c r="J102" s="154"/>
      <c r="K102" s="327"/>
    </row>
    <row r="103" spans="2:12" s="66" customFormat="1" ht="14.25" outlineLevel="1" x14ac:dyDescent="0.2">
      <c r="B103" s="330" t="s">
        <v>519</v>
      </c>
      <c r="C103" s="309">
        <v>67753410</v>
      </c>
      <c r="D103" s="329">
        <v>37260698</v>
      </c>
      <c r="E103" s="546"/>
      <c r="F103" s="546"/>
      <c r="G103" s="546"/>
      <c r="H103" s="329">
        <v>1248464</v>
      </c>
      <c r="I103" s="329">
        <v>240322</v>
      </c>
      <c r="J103" s="329">
        <v>81473856</v>
      </c>
      <c r="K103" s="332">
        <f t="shared" ref="K103:K106" si="79">SUM(C103:J103)</f>
        <v>187976750</v>
      </c>
    </row>
    <row r="104" spans="2:12" s="23" customFormat="1" outlineLevel="1" x14ac:dyDescent="0.25">
      <c r="B104" s="330" t="s">
        <v>116</v>
      </c>
      <c r="C104" s="458">
        <f>C103/$K$77</f>
        <v>0.3604350538031964</v>
      </c>
      <c r="D104" s="458">
        <f>D103/$K$77</f>
        <v>0.19821971600211197</v>
      </c>
      <c r="E104" s="547">
        <f t="shared" ref="E104:J104" si="80">E103/$K$77</f>
        <v>0</v>
      </c>
      <c r="F104" s="547">
        <f t="shared" si="80"/>
        <v>0</v>
      </c>
      <c r="G104" s="547">
        <f t="shared" si="80"/>
        <v>0</v>
      </c>
      <c r="H104" s="458">
        <f t="shared" si="80"/>
        <v>6.6415873239642669E-3</v>
      </c>
      <c r="I104" s="458">
        <f t="shared" si="80"/>
        <v>1.2784666188770685E-3</v>
      </c>
      <c r="J104" s="458">
        <f t="shared" si="80"/>
        <v>0.43342517625185029</v>
      </c>
      <c r="K104" s="457">
        <f t="shared" si="79"/>
        <v>1</v>
      </c>
      <c r="L104" s="66"/>
    </row>
    <row r="105" spans="2:12" s="23" customFormat="1" outlineLevel="1" x14ac:dyDescent="0.25">
      <c r="B105" s="330" t="s">
        <v>334</v>
      </c>
      <c r="C105" s="470">
        <f>-$C$17*C104</f>
        <v>-1037758.8399493023</v>
      </c>
      <c r="D105" s="470">
        <f t="shared" ref="D105:J105" si="81">-$C$17*D104</f>
        <v>-570711.03479782469</v>
      </c>
      <c r="E105" s="548">
        <f t="shared" si="81"/>
        <v>0</v>
      </c>
      <c r="F105" s="548">
        <f t="shared" si="81"/>
        <v>0</v>
      </c>
      <c r="G105" s="548">
        <f t="shared" si="81"/>
        <v>0</v>
      </c>
      <c r="H105" s="470">
        <f t="shared" si="81"/>
        <v>-19122.351957760733</v>
      </c>
      <c r="I105" s="470">
        <f t="shared" si="81"/>
        <v>-3680.9406336049537</v>
      </c>
      <c r="J105" s="470">
        <f t="shared" si="81"/>
        <v>-1247910.8326615074</v>
      </c>
      <c r="K105" s="332">
        <f t="shared" si="79"/>
        <v>-2879184</v>
      </c>
    </row>
    <row r="106" spans="2:12" s="23" customFormat="1" outlineLevel="1" x14ac:dyDescent="0.25">
      <c r="B106" s="330" t="s">
        <v>117</v>
      </c>
      <c r="C106" s="333">
        <f>C103+C105</f>
        <v>66715651.160050698</v>
      </c>
      <c r="D106" s="328">
        <f t="shared" ref="D106:J106" si="82">D103+D105</f>
        <v>36689986.965202175</v>
      </c>
      <c r="E106" s="546">
        <f t="shared" si="82"/>
        <v>0</v>
      </c>
      <c r="F106" s="546">
        <f t="shared" si="82"/>
        <v>0</v>
      </c>
      <c r="G106" s="546">
        <f t="shared" si="82"/>
        <v>0</v>
      </c>
      <c r="H106" s="328">
        <f t="shared" si="82"/>
        <v>1229341.6480422392</v>
      </c>
      <c r="I106" s="328">
        <f t="shared" si="82"/>
        <v>236641.05936639506</v>
      </c>
      <c r="J106" s="328">
        <f t="shared" si="82"/>
        <v>80225945.16733849</v>
      </c>
      <c r="K106" s="332">
        <f t="shared" si="79"/>
        <v>185097566</v>
      </c>
    </row>
    <row r="107" spans="2:12" s="23" customFormat="1" outlineLevel="1" x14ac:dyDescent="0.25">
      <c r="B107" s="316" t="s">
        <v>36</v>
      </c>
      <c r="C107" s="154"/>
      <c r="D107" s="313"/>
      <c r="E107" s="549"/>
      <c r="F107" s="550"/>
      <c r="G107" s="550"/>
      <c r="H107" s="314"/>
      <c r="I107" s="154"/>
      <c r="J107" s="154"/>
      <c r="K107" s="336"/>
    </row>
    <row r="108" spans="2:12" s="23" customFormat="1" outlineLevel="1" x14ac:dyDescent="0.25">
      <c r="B108" s="330" t="s">
        <v>520</v>
      </c>
      <c r="C108" s="154"/>
      <c r="D108" s="154"/>
      <c r="E108" s="546">
        <f>E103*E111</f>
        <v>0</v>
      </c>
      <c r="F108" s="546">
        <f t="shared" ref="F108:H108" si="83">F103*F111</f>
        <v>0</v>
      </c>
      <c r="G108" s="546">
        <f t="shared" si="83"/>
        <v>0</v>
      </c>
      <c r="H108" s="328">
        <f t="shared" si="83"/>
        <v>3377</v>
      </c>
      <c r="I108" s="154"/>
      <c r="J108" s="328">
        <f t="shared" ref="J108" si="84">J103*J111</f>
        <v>201178</v>
      </c>
      <c r="K108" s="332">
        <f t="shared" ref="K108:K110" si="85">SUM(C108:J108)</f>
        <v>204555</v>
      </c>
    </row>
    <row r="109" spans="2:12" s="23" customFormat="1" outlineLevel="1" x14ac:dyDescent="0.25">
      <c r="B109" s="330" t="s">
        <v>119</v>
      </c>
      <c r="C109" s="154"/>
      <c r="D109" s="154"/>
      <c r="E109" s="546">
        <f>E105*E111</f>
        <v>0</v>
      </c>
      <c r="F109" s="546">
        <f t="shared" ref="F109:H109" si="86">F105*F111</f>
        <v>0</v>
      </c>
      <c r="G109" s="546">
        <f t="shared" si="86"/>
        <v>0</v>
      </c>
      <c r="H109" s="328">
        <f t="shared" si="86"/>
        <v>-51.724505120979053</v>
      </c>
      <c r="I109" s="154"/>
      <c r="J109" s="328">
        <f t="shared" ref="J109" si="87">J105*J111</f>
        <v>-3081.3836219213281</v>
      </c>
      <c r="K109" s="337">
        <f t="shared" si="85"/>
        <v>-3133.1081270423069</v>
      </c>
    </row>
    <row r="110" spans="2:12" s="23" customFormat="1" outlineLevel="1" x14ac:dyDescent="0.25">
      <c r="B110" s="330" t="s">
        <v>117</v>
      </c>
      <c r="C110" s="154"/>
      <c r="D110" s="154"/>
      <c r="E110" s="546">
        <f>E108+E109</f>
        <v>0</v>
      </c>
      <c r="F110" s="546">
        <f t="shared" ref="F110:H110" si="88">F108+F109</f>
        <v>0</v>
      </c>
      <c r="G110" s="546">
        <f t="shared" si="88"/>
        <v>0</v>
      </c>
      <c r="H110" s="328">
        <f t="shared" si="88"/>
        <v>3325.2754948790212</v>
      </c>
      <c r="I110" s="154"/>
      <c r="J110" s="328">
        <f t="shared" ref="J110" si="89">J108+J109</f>
        <v>198096.61637807867</v>
      </c>
      <c r="K110" s="332">
        <f t="shared" si="85"/>
        <v>201421.8918729577</v>
      </c>
    </row>
    <row r="111" spans="2:12" s="23" customFormat="1" outlineLevel="1" x14ac:dyDescent="0.25">
      <c r="B111" s="459" t="s">
        <v>402</v>
      </c>
      <c r="C111" s="556"/>
      <c r="D111" s="556"/>
      <c r="E111" s="555"/>
      <c r="F111" s="555"/>
      <c r="G111" s="555"/>
      <c r="H111" s="473">
        <f>H112/H103</f>
        <v>2.7049238103781926E-3</v>
      </c>
      <c r="I111" s="556"/>
      <c r="J111" s="473">
        <f>J112/J103</f>
        <v>2.4692338116413686E-3</v>
      </c>
      <c r="K111" s="460"/>
    </row>
    <row r="112" spans="2:12" s="23" customFormat="1" outlineLevel="1" x14ac:dyDescent="0.25">
      <c r="B112" s="66"/>
      <c r="C112" s="83"/>
      <c r="D112" s="66"/>
      <c r="E112" s="66"/>
      <c r="F112" s="66"/>
      <c r="G112" s="66"/>
      <c r="H112" s="558">
        <v>3377</v>
      </c>
      <c r="I112" s="557" t="s">
        <v>521</v>
      </c>
      <c r="J112" s="558">
        <v>201178</v>
      </c>
      <c r="K112" s="66"/>
    </row>
    <row r="113" spans="2:12" s="23" customFormat="1" outlineLevel="1" x14ac:dyDescent="0.25">
      <c r="B113" s="65"/>
    </row>
    <row r="114" spans="2:12" s="23" customFormat="1" ht="45" outlineLevel="1" x14ac:dyDescent="0.25">
      <c r="B114" s="324">
        <v>2017</v>
      </c>
      <c r="C114" s="307" t="s">
        <v>37</v>
      </c>
      <c r="D114" s="307" t="s">
        <v>409</v>
      </c>
      <c r="E114" s="307" t="s">
        <v>410</v>
      </c>
      <c r="F114" s="307" t="s">
        <v>108</v>
      </c>
      <c r="G114" s="307" t="s">
        <v>40</v>
      </c>
      <c r="H114" s="307" t="s">
        <v>41</v>
      </c>
      <c r="I114" s="307" t="s">
        <v>118</v>
      </c>
      <c r="J114" s="307" t="s">
        <v>505</v>
      </c>
      <c r="K114" s="325" t="s">
        <v>34</v>
      </c>
    </row>
    <row r="115" spans="2:12" s="23" customFormat="1" outlineLevel="1" x14ac:dyDescent="0.25">
      <c r="B115" s="316" t="s">
        <v>35</v>
      </c>
      <c r="C115" s="308"/>
      <c r="D115" s="308"/>
      <c r="E115" s="308"/>
      <c r="F115" s="308"/>
      <c r="G115" s="308"/>
      <c r="H115" s="308"/>
      <c r="I115" s="308"/>
      <c r="J115" s="154"/>
      <c r="K115" s="327"/>
    </row>
    <row r="116" spans="2:12" s="23" customFormat="1" outlineLevel="1" x14ac:dyDescent="0.25">
      <c r="B116" s="330" t="s">
        <v>519</v>
      </c>
      <c r="C116" s="309">
        <v>67753410</v>
      </c>
      <c r="D116" s="329">
        <v>37260698</v>
      </c>
      <c r="E116" s="546"/>
      <c r="F116" s="546"/>
      <c r="G116" s="546"/>
      <c r="H116" s="329">
        <v>1248464</v>
      </c>
      <c r="I116" s="329">
        <v>240322</v>
      </c>
      <c r="J116" s="329">
        <v>81473856</v>
      </c>
      <c r="K116" s="332">
        <f t="shared" ref="K116:K119" si="90">SUM(C116:J116)</f>
        <v>187976750</v>
      </c>
    </row>
    <row r="117" spans="2:12" s="23" customFormat="1" outlineLevel="1" x14ac:dyDescent="0.25">
      <c r="B117" s="330" t="s">
        <v>116</v>
      </c>
      <c r="C117" s="458">
        <f>C116/$K$77</f>
        <v>0.3604350538031964</v>
      </c>
      <c r="D117" s="458">
        <f>D116/$K$77</f>
        <v>0.19821971600211197</v>
      </c>
      <c r="E117" s="547">
        <f t="shared" ref="E117:J117" si="91">E116/$K$77</f>
        <v>0</v>
      </c>
      <c r="F117" s="547">
        <f t="shared" si="91"/>
        <v>0</v>
      </c>
      <c r="G117" s="547">
        <f t="shared" si="91"/>
        <v>0</v>
      </c>
      <c r="H117" s="458">
        <f t="shared" si="91"/>
        <v>6.6415873239642669E-3</v>
      </c>
      <c r="I117" s="458">
        <f t="shared" si="91"/>
        <v>1.2784666188770685E-3</v>
      </c>
      <c r="J117" s="458">
        <f t="shared" si="91"/>
        <v>0.43342517625185029</v>
      </c>
      <c r="K117" s="457">
        <f t="shared" si="90"/>
        <v>1</v>
      </c>
      <c r="L117" s="66"/>
    </row>
    <row r="118" spans="2:12" s="23" customFormat="1" outlineLevel="1" x14ac:dyDescent="0.25">
      <c r="B118" s="330" t="s">
        <v>334</v>
      </c>
      <c r="C118" s="470">
        <f>-$C$17*C117</f>
        <v>-1037758.8399493023</v>
      </c>
      <c r="D118" s="470">
        <f t="shared" ref="D118:J118" si="92">-$C$17*D117</f>
        <v>-570711.03479782469</v>
      </c>
      <c r="E118" s="548">
        <f t="shared" si="92"/>
        <v>0</v>
      </c>
      <c r="F118" s="548">
        <f t="shared" si="92"/>
        <v>0</v>
      </c>
      <c r="G118" s="548">
        <f t="shared" si="92"/>
        <v>0</v>
      </c>
      <c r="H118" s="470">
        <f t="shared" si="92"/>
        <v>-19122.351957760733</v>
      </c>
      <c r="I118" s="470">
        <f t="shared" si="92"/>
        <v>-3680.9406336049537</v>
      </c>
      <c r="J118" s="470">
        <f t="shared" si="92"/>
        <v>-1247910.8326615074</v>
      </c>
      <c r="K118" s="332">
        <f t="shared" si="90"/>
        <v>-2879184</v>
      </c>
    </row>
    <row r="119" spans="2:12" s="23" customFormat="1" outlineLevel="1" x14ac:dyDescent="0.25">
      <c r="B119" s="330" t="s">
        <v>117</v>
      </c>
      <c r="C119" s="333">
        <f>C116+C118</f>
        <v>66715651.160050698</v>
      </c>
      <c r="D119" s="328">
        <f t="shared" ref="D119:J119" si="93">D116+D118</f>
        <v>36689986.965202175</v>
      </c>
      <c r="E119" s="546">
        <f t="shared" si="93"/>
        <v>0</v>
      </c>
      <c r="F119" s="546">
        <f t="shared" si="93"/>
        <v>0</v>
      </c>
      <c r="G119" s="546">
        <f t="shared" si="93"/>
        <v>0</v>
      </c>
      <c r="H119" s="328">
        <f t="shared" si="93"/>
        <v>1229341.6480422392</v>
      </c>
      <c r="I119" s="328">
        <f t="shared" si="93"/>
        <v>236641.05936639506</v>
      </c>
      <c r="J119" s="328">
        <f t="shared" si="93"/>
        <v>80225945.16733849</v>
      </c>
      <c r="K119" s="332">
        <f t="shared" si="90"/>
        <v>185097566</v>
      </c>
    </row>
    <row r="120" spans="2:12" s="23" customFormat="1" outlineLevel="1" x14ac:dyDescent="0.25">
      <c r="B120" s="316" t="s">
        <v>36</v>
      </c>
      <c r="C120" s="154"/>
      <c r="D120" s="313"/>
      <c r="E120" s="549"/>
      <c r="F120" s="550"/>
      <c r="G120" s="550"/>
      <c r="H120" s="314"/>
      <c r="I120" s="154"/>
      <c r="J120" s="154"/>
      <c r="K120" s="336"/>
    </row>
    <row r="121" spans="2:12" s="23" customFormat="1" outlineLevel="1" x14ac:dyDescent="0.25">
      <c r="B121" s="330" t="s">
        <v>520</v>
      </c>
      <c r="C121" s="154"/>
      <c r="D121" s="154"/>
      <c r="E121" s="546">
        <f>E116*E124</f>
        <v>0</v>
      </c>
      <c r="F121" s="546">
        <f t="shared" ref="F121:H121" si="94">F116*F124</f>
        <v>0</v>
      </c>
      <c r="G121" s="546">
        <f t="shared" si="94"/>
        <v>0</v>
      </c>
      <c r="H121" s="328">
        <f t="shared" si="94"/>
        <v>3377</v>
      </c>
      <c r="I121" s="154"/>
      <c r="J121" s="328">
        <f t="shared" ref="J121" si="95">J116*J124</f>
        <v>201178</v>
      </c>
      <c r="K121" s="332">
        <f t="shared" ref="K121:K123" si="96">SUM(C121:J121)</f>
        <v>204555</v>
      </c>
    </row>
    <row r="122" spans="2:12" s="23" customFormat="1" outlineLevel="1" x14ac:dyDescent="0.25">
      <c r="B122" s="330" t="s">
        <v>119</v>
      </c>
      <c r="C122" s="154"/>
      <c r="D122" s="154"/>
      <c r="E122" s="546">
        <f>E118*E124</f>
        <v>0</v>
      </c>
      <c r="F122" s="546">
        <f t="shared" ref="F122:H122" si="97">F118*F124</f>
        <v>0</v>
      </c>
      <c r="G122" s="546">
        <f t="shared" si="97"/>
        <v>0</v>
      </c>
      <c r="H122" s="328">
        <f t="shared" si="97"/>
        <v>-51.724505120979053</v>
      </c>
      <c r="I122" s="154"/>
      <c r="J122" s="328">
        <f t="shared" ref="J122" si="98">J118*J124</f>
        <v>-3081.3836219213281</v>
      </c>
      <c r="K122" s="337">
        <f t="shared" si="96"/>
        <v>-3133.1081270423069</v>
      </c>
    </row>
    <row r="123" spans="2:12" s="23" customFormat="1" outlineLevel="1" x14ac:dyDescent="0.25">
      <c r="B123" s="330" t="s">
        <v>117</v>
      </c>
      <c r="C123" s="154"/>
      <c r="D123" s="154"/>
      <c r="E123" s="546">
        <f>E121+E122</f>
        <v>0</v>
      </c>
      <c r="F123" s="546">
        <f t="shared" ref="F123:H123" si="99">F121+F122</f>
        <v>0</v>
      </c>
      <c r="G123" s="546">
        <f t="shared" si="99"/>
        <v>0</v>
      </c>
      <c r="H123" s="328">
        <f t="shared" si="99"/>
        <v>3325.2754948790212</v>
      </c>
      <c r="I123" s="154"/>
      <c r="J123" s="328">
        <f t="shared" ref="J123" si="100">J121+J122</f>
        <v>198096.61637807867</v>
      </c>
      <c r="K123" s="332">
        <f t="shared" si="96"/>
        <v>201421.8918729577</v>
      </c>
    </row>
    <row r="124" spans="2:12" s="23" customFormat="1" outlineLevel="1" x14ac:dyDescent="0.25">
      <c r="B124" s="459" t="s">
        <v>402</v>
      </c>
      <c r="C124" s="556"/>
      <c r="D124" s="556"/>
      <c r="E124" s="555"/>
      <c r="F124" s="555"/>
      <c r="G124" s="555"/>
      <c r="H124" s="473">
        <f>H125/H116</f>
        <v>2.7049238103781926E-3</v>
      </c>
      <c r="I124" s="556"/>
      <c r="J124" s="473">
        <f>J125/J116</f>
        <v>2.4692338116413686E-3</v>
      </c>
      <c r="K124" s="460"/>
    </row>
    <row r="125" spans="2:12" s="23" customFormat="1" outlineLevel="1" x14ac:dyDescent="0.25">
      <c r="B125" s="66"/>
      <c r="C125" s="83"/>
      <c r="D125" s="66"/>
      <c r="E125" s="66"/>
      <c r="F125" s="66"/>
      <c r="G125" s="66"/>
      <c r="H125" s="558">
        <v>3377</v>
      </c>
      <c r="I125" s="557" t="s">
        <v>521</v>
      </c>
      <c r="J125" s="558">
        <v>201178</v>
      </c>
      <c r="K125" s="66"/>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53" t="s">
        <v>413</v>
      </c>
      <c r="C129" s="112"/>
      <c r="D129" s="112"/>
      <c r="E129" s="112"/>
      <c r="F129" s="112"/>
      <c r="G129" s="112"/>
      <c r="H129" s="112"/>
      <c r="I129" s="112"/>
      <c r="J129" s="112"/>
      <c r="K129" s="112"/>
    </row>
    <row r="130" spans="2:11" s="3" customFormat="1" ht="9.75" customHeight="1" x14ac:dyDescent="0.2"/>
    <row r="131" spans="2:11" s="3" customFormat="1" ht="38.25" customHeight="1" x14ac:dyDescent="0.2">
      <c r="B131" s="102" t="s">
        <v>55</v>
      </c>
      <c r="C131" s="102" t="str">
        <f t="shared" ref="C131:I131" si="101">C24</f>
        <v>Residential</v>
      </c>
      <c r="D131" s="102" t="str">
        <f t="shared" si="101"/>
        <v>General Service &lt;50 kW</v>
      </c>
      <c r="E131" s="559" t="str">
        <f t="shared" si="101"/>
        <v>General Service 50 - 999 kW</v>
      </c>
      <c r="F131" s="559" t="str">
        <f t="shared" si="101"/>
        <v>General Service 1,000 - 4,999 kW</v>
      </c>
      <c r="G131" s="559" t="str">
        <f t="shared" si="101"/>
        <v>Sentinel Lighting</v>
      </c>
      <c r="H131" s="102" t="str">
        <f t="shared" si="101"/>
        <v>Street Lighting</v>
      </c>
      <c r="I131" s="102" t="str">
        <f t="shared" si="101"/>
        <v>Unmetered Scattered Load</v>
      </c>
      <c r="J131" s="102" t="s">
        <v>505</v>
      </c>
      <c r="K131" s="102" t="s">
        <v>34</v>
      </c>
    </row>
    <row r="132" spans="2:11" s="3" customFormat="1" ht="16.5" customHeight="1" x14ac:dyDescent="0.2">
      <c r="B132" s="102"/>
      <c r="C132" s="102" t="s">
        <v>38</v>
      </c>
      <c r="D132" s="102" t="s">
        <v>38</v>
      </c>
      <c r="E132" s="559" t="s">
        <v>38</v>
      </c>
      <c r="F132" s="559" t="s">
        <v>38</v>
      </c>
      <c r="G132" s="559" t="s">
        <v>38</v>
      </c>
      <c r="H132" s="102" t="s">
        <v>38</v>
      </c>
      <c r="I132" s="102" t="s">
        <v>38</v>
      </c>
      <c r="J132" s="102" t="s">
        <v>38</v>
      </c>
      <c r="K132" s="102" t="s">
        <v>38</v>
      </c>
    </row>
    <row r="133" spans="2:11" s="3" customFormat="1" ht="16.5" customHeight="1" x14ac:dyDescent="0.2">
      <c r="B133" s="113">
        <v>2011</v>
      </c>
      <c r="C133" s="74">
        <f>C26*'3.  Distribution Rates'!E33</f>
        <v>0</v>
      </c>
      <c r="D133" s="74">
        <f>D26*'3.  Distribution Rates'!E34</f>
        <v>0</v>
      </c>
      <c r="E133" s="560">
        <f>E26*'3.  Distribution Rates'!E35</f>
        <v>0</v>
      </c>
      <c r="F133" s="560">
        <f>F26*'3.  Distribution Rates'!E36</f>
        <v>0</v>
      </c>
      <c r="G133" s="560">
        <f>G26*'3.  Distribution Rates'!E37</f>
        <v>0</v>
      </c>
      <c r="H133" s="74">
        <f>H26*'3.  Distribution Rates'!E38</f>
        <v>0</v>
      </c>
      <c r="I133" s="74">
        <f>I26*'3.  Distribution Rates'!E39</f>
        <v>0</v>
      </c>
      <c r="J133" s="74">
        <f>J26*'3.  Distribution Rates'!E40</f>
        <v>0</v>
      </c>
      <c r="K133" s="74">
        <f t="shared" ref="K133:K139" si="102">SUM(C133:J133)</f>
        <v>0</v>
      </c>
    </row>
    <row r="134" spans="2:11" s="3" customFormat="1" ht="16.5" customHeight="1" x14ac:dyDescent="0.2">
      <c r="B134" s="113">
        <v>2012</v>
      </c>
      <c r="C134" s="74">
        <f>C27*'3.  Distribution Rates'!F33</f>
        <v>0</v>
      </c>
      <c r="D134" s="74">
        <f>D27*'3.  Distribution Rates'!F34</f>
        <v>0</v>
      </c>
      <c r="E134" s="560">
        <f>E27*'3.  Distribution Rates'!F35</f>
        <v>0</v>
      </c>
      <c r="F134" s="560">
        <f>F27*'3.  Distribution Rates'!F36</f>
        <v>0</v>
      </c>
      <c r="G134" s="560">
        <f>G27*'3.  Distribution Rates'!F37</f>
        <v>0</v>
      </c>
      <c r="H134" s="74">
        <f>H27*'3.  Distribution Rates'!F38</f>
        <v>0</v>
      </c>
      <c r="I134" s="74">
        <f>I27*'3.  Distribution Rates'!F39</f>
        <v>0</v>
      </c>
      <c r="J134" s="74">
        <f>J27*'3.  Distribution Rates'!F40</f>
        <v>0</v>
      </c>
      <c r="K134" s="74">
        <f t="shared" si="102"/>
        <v>0</v>
      </c>
    </row>
    <row r="135" spans="2:11" s="3" customFormat="1" ht="16.5" customHeight="1" x14ac:dyDescent="0.2">
      <c r="B135" s="113">
        <v>2013</v>
      </c>
      <c r="C135" s="74">
        <f>C28*'3.  Distribution Rates'!G33</f>
        <v>0</v>
      </c>
      <c r="D135" s="74">
        <f>D28*'3.  Distribution Rates'!G34</f>
        <v>0</v>
      </c>
      <c r="E135" s="560">
        <f>E28*'3.  Distribution Rates'!G35</f>
        <v>0</v>
      </c>
      <c r="F135" s="560">
        <f>F28*'3.  Distribution Rates'!G36</f>
        <v>0</v>
      </c>
      <c r="G135" s="560">
        <f>G28*'3.  Distribution Rates'!G37</f>
        <v>0</v>
      </c>
      <c r="H135" s="74">
        <f>H28*'3.  Distribution Rates'!G38</f>
        <v>0</v>
      </c>
      <c r="I135" s="74">
        <f>I28*'3.  Distribution Rates'!G39</f>
        <v>0</v>
      </c>
      <c r="J135" s="74">
        <f>J28*'3.  Distribution Rates'!G40</f>
        <v>0</v>
      </c>
      <c r="K135" s="74">
        <f t="shared" si="102"/>
        <v>0</v>
      </c>
    </row>
    <row r="136" spans="2:11" s="3" customFormat="1" ht="16.5" customHeight="1" x14ac:dyDescent="0.2">
      <c r="B136" s="113">
        <v>2014</v>
      </c>
      <c r="C136" s="75">
        <f>C29*'3.  Distribution Rates'!H33</f>
        <v>13179.53726735614</v>
      </c>
      <c r="D136" s="75">
        <f>D29*'3.  Distribution Rates'!H34</f>
        <v>6886.57981989375</v>
      </c>
      <c r="E136" s="561">
        <f>E29*'3.  Distribution Rates'!H35</f>
        <v>0</v>
      </c>
      <c r="F136" s="561">
        <f>F29*'3.  Distribution Rates'!H36</f>
        <v>0</v>
      </c>
      <c r="G136" s="561">
        <f>G29*'3.  Distribution Rates'!H37</f>
        <v>0</v>
      </c>
      <c r="H136" s="75">
        <f>H29*'3.  Distribution Rates'!H38</f>
        <v>1337.0284570223582</v>
      </c>
      <c r="I136" s="75">
        <f>I29*'3.  Distribution Rates'!H39</f>
        <v>34.72353997700673</v>
      </c>
      <c r="J136" s="75">
        <f>J29*'3.  Distribution Rates'!H40</f>
        <v>6955.0936858260275</v>
      </c>
      <c r="K136" s="75">
        <f t="shared" si="102"/>
        <v>28392.962770075286</v>
      </c>
    </row>
    <row r="137" spans="2:11" s="3" customFormat="1" ht="16.5" customHeight="1" x14ac:dyDescent="0.2">
      <c r="B137" s="113">
        <v>2015</v>
      </c>
      <c r="C137" s="75">
        <f>C30*'3.  Distribution Rates'!I33</f>
        <v>13214.129228687782</v>
      </c>
      <c r="D137" s="74">
        <f>D30*'3.  Distribution Rates'!I34</f>
        <v>6430.0109920554914</v>
      </c>
      <c r="E137" s="561">
        <f>E30*'3.  Distribution Rates'!I35</f>
        <v>0</v>
      </c>
      <c r="F137" s="561">
        <f>F30*'3.  Distribution Rates'!I36</f>
        <v>0</v>
      </c>
      <c r="G137" s="561">
        <f>G30*'3.  Distribution Rates'!I37</f>
        <v>0</v>
      </c>
      <c r="H137" s="75">
        <f>H30*'3.  Distribution Rates'!I38</f>
        <v>1514.77282226992</v>
      </c>
      <c r="I137" s="74">
        <f>I30*'3.  Distribution Rates'!I39</f>
        <v>22.331039843870055</v>
      </c>
      <c r="J137" s="75">
        <f>J30*'3.  Distribution Rates'!I40</f>
        <v>6534.6902470085597</v>
      </c>
      <c r="K137" s="75">
        <f t="shared" si="102"/>
        <v>27715.93432986562</v>
      </c>
    </row>
    <row r="138" spans="2:11" s="3" customFormat="1" ht="16.5" customHeight="1" x14ac:dyDescent="0.2">
      <c r="B138" s="113">
        <v>2016</v>
      </c>
      <c r="C138" s="75">
        <f>C31*'3.  Distribution Rates'!J33</f>
        <v>11207.795471452464</v>
      </c>
      <c r="D138" s="74">
        <f>D31*'3.  Distribution Rates'!J34</f>
        <v>6525.1294978551277</v>
      </c>
      <c r="E138" s="561">
        <f>E31*'3.  Distribution Rates'!J35</f>
        <v>0</v>
      </c>
      <c r="F138" s="561">
        <f>F31*'3.  Distribution Rates'!J36</f>
        <v>0</v>
      </c>
      <c r="G138" s="561">
        <f>G31*'3.  Distribution Rates'!J37</f>
        <v>0</v>
      </c>
      <c r="H138" s="75">
        <f>H31*'3.  Distribution Rates'!J38</f>
        <v>1539.5350670215034</v>
      </c>
      <c r="I138" s="74">
        <f>I31*'3.  Distribution Rates'!J39</f>
        <v>22.699133907230546</v>
      </c>
      <c r="J138" s="74">
        <f>J31*'3.  Distribution Rates'!J40</f>
        <v>6641.4088331144349</v>
      </c>
      <c r="K138" s="75">
        <f t="shared" si="102"/>
        <v>25936.56800335076</v>
      </c>
    </row>
    <row r="139" spans="2:11" s="3" customFormat="1" ht="16.5" customHeight="1" x14ac:dyDescent="0.2">
      <c r="B139" s="113">
        <v>2017</v>
      </c>
      <c r="C139" s="75">
        <f>C32*'3.  Distribution Rates'!K33</f>
        <v>7967.9123731307427</v>
      </c>
      <c r="D139" s="74">
        <f>D32*'3.  Distribution Rates'!K34</f>
        <v>2225.7730357115165</v>
      </c>
      <c r="E139" s="561">
        <f>E32*'3.  Distribution Rates'!K35</f>
        <v>0</v>
      </c>
      <c r="F139" s="561">
        <f>F32*'3.  Distribution Rates'!K36</f>
        <v>0</v>
      </c>
      <c r="G139" s="561">
        <f>G32*'3.  Distribution Rates'!K37</f>
        <v>0</v>
      </c>
      <c r="H139" s="75">
        <f>H32*'3.  Distribution Rates'!K38</f>
        <v>516.22435430873657</v>
      </c>
      <c r="I139" s="74">
        <f>I32*'3.  Distribution Rates'!K39</f>
        <v>7.1164852249695763</v>
      </c>
      <c r="J139" s="74">
        <f>J32*'3.  Distribution Rates'!K40</f>
        <v>2227.1213691373387</v>
      </c>
      <c r="K139" s="75">
        <f t="shared" si="102"/>
        <v>12944.147617513303</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O30" sqref="O30"/>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688" t="s">
        <v>200</v>
      </c>
      <c r="C3" s="688"/>
      <c r="D3" s="688"/>
      <c r="E3" s="688"/>
      <c r="F3" s="688"/>
      <c r="G3" s="688"/>
      <c r="H3" s="688"/>
      <c r="I3" s="688"/>
      <c r="J3" s="688"/>
      <c r="K3" s="688"/>
    </row>
    <row r="4" spans="1:26" s="47" customFormat="1" ht="20.25" x14ac:dyDescent="0.3">
      <c r="A4" s="7"/>
      <c r="B4" s="228"/>
      <c r="C4" s="228"/>
      <c r="D4" s="228"/>
      <c r="E4" s="228"/>
      <c r="F4" s="228"/>
      <c r="G4" s="228"/>
      <c r="H4" s="228"/>
      <c r="I4" s="228"/>
      <c r="J4" s="228"/>
      <c r="K4" s="228"/>
    </row>
    <row r="5" spans="1:26" ht="54" customHeight="1" outlineLevel="1" x14ac:dyDescent="0.25">
      <c r="B5" s="689" t="s">
        <v>399</v>
      </c>
      <c r="C5" s="692" t="s">
        <v>504</v>
      </c>
      <c r="D5" s="692"/>
      <c r="E5" s="692"/>
      <c r="F5" s="692"/>
      <c r="G5" s="692"/>
      <c r="H5" s="692"/>
      <c r="I5" s="692"/>
      <c r="J5" s="692"/>
      <c r="K5" s="692"/>
    </row>
    <row r="6" spans="1:26" s="47" customFormat="1" ht="34.5" customHeight="1" outlineLevel="1" x14ac:dyDescent="0.25">
      <c r="A6" s="7"/>
      <c r="B6" s="689"/>
      <c r="C6" s="692" t="s">
        <v>408</v>
      </c>
      <c r="D6" s="692"/>
      <c r="E6" s="692"/>
      <c r="F6" s="692"/>
      <c r="G6" s="692"/>
      <c r="H6" s="692"/>
      <c r="I6" s="692"/>
      <c r="J6" s="692"/>
      <c r="K6" s="692"/>
    </row>
    <row r="7" spans="1:26" s="47" customFormat="1" ht="21" customHeight="1" outlineLevel="1" x14ac:dyDescent="0.25">
      <c r="A7" s="7"/>
      <c r="B7" s="689" t="s">
        <v>337</v>
      </c>
      <c r="C7" s="690" t="s">
        <v>363</v>
      </c>
      <c r="D7" s="690"/>
      <c r="E7" s="237"/>
    </row>
    <row r="8" spans="1:26" outlineLevel="1" x14ac:dyDescent="0.25">
      <c r="B8" s="689"/>
      <c r="C8" s="691" t="s">
        <v>338</v>
      </c>
      <c r="D8" s="691"/>
      <c r="E8" s="691"/>
      <c r="M8" s="9"/>
      <c r="N8" s="9"/>
      <c r="O8" s="9"/>
      <c r="P8" s="9"/>
      <c r="Q8" s="9"/>
      <c r="R8" s="9"/>
      <c r="S8" s="9"/>
      <c r="T8" s="9"/>
      <c r="U8" s="9"/>
      <c r="V8" s="9"/>
      <c r="W8" s="9"/>
      <c r="X8" s="9"/>
      <c r="Y8" s="9"/>
      <c r="Z8" s="9"/>
    </row>
    <row r="9" spans="1:26" s="5" customFormat="1" ht="10.5" customHeight="1" outlineLevel="1" x14ac:dyDescent="0.25">
      <c r="B9" s="47"/>
      <c r="C9" s="238"/>
      <c r="D9" s="239"/>
      <c r="E9" s="239"/>
      <c r="M9" s="9"/>
      <c r="N9" s="9"/>
      <c r="O9" s="9"/>
      <c r="P9" s="9"/>
      <c r="Q9" s="9"/>
      <c r="R9" s="9"/>
      <c r="S9" s="9"/>
      <c r="T9" s="9"/>
      <c r="U9" s="9"/>
      <c r="V9" s="9"/>
      <c r="W9" s="9"/>
      <c r="X9" s="9"/>
      <c r="Y9" s="9"/>
      <c r="Z9" s="9"/>
    </row>
    <row r="10" spans="1:26" s="5" customFormat="1" ht="5.25" customHeight="1" outlineLevel="1" x14ac:dyDescent="0.25">
      <c r="B10" s="47"/>
      <c r="C10" s="238"/>
      <c r="D10" s="239"/>
      <c r="E10" s="239"/>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1"/>
      <c r="B12" s="112" t="s">
        <v>341</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29.25" outlineLevel="1" x14ac:dyDescent="0.25">
      <c r="B14" s="123" t="s">
        <v>347</v>
      </c>
      <c r="C14" s="124"/>
      <c r="D14" s="199" t="s">
        <v>506</v>
      </c>
      <c r="E14" s="199" t="s">
        <v>507</v>
      </c>
      <c r="F14" s="488" t="s">
        <v>508</v>
      </c>
      <c r="G14" s="199" t="s">
        <v>509</v>
      </c>
      <c r="H14" s="199" t="s">
        <v>510</v>
      </c>
      <c r="I14" s="199" t="s">
        <v>512</v>
      </c>
      <c r="J14" s="199" t="s">
        <v>513</v>
      </c>
      <c r="K14" s="199" t="s">
        <v>516</v>
      </c>
    </row>
    <row r="15" spans="1:26" s="11" customFormat="1" ht="14.25" customHeight="1" outlineLevel="1" x14ac:dyDescent="0.2">
      <c r="A15" s="9"/>
      <c r="B15" s="70"/>
      <c r="C15" s="70"/>
      <c r="D15" s="70"/>
      <c r="E15" s="70"/>
      <c r="F15" s="70"/>
      <c r="G15" s="70"/>
      <c r="H15" s="70"/>
      <c r="I15" s="70"/>
      <c r="J15" s="70"/>
      <c r="K15" s="70"/>
      <c r="L15" s="12"/>
    </row>
    <row r="16" spans="1:26" s="345" customFormat="1" ht="46.5" customHeight="1" outlineLevel="1" thickBot="1" x14ac:dyDescent="0.3">
      <c r="A16" s="344"/>
      <c r="B16" s="133" t="s">
        <v>56</v>
      </c>
      <c r="C16" s="134" t="s">
        <v>57</v>
      </c>
      <c r="D16" s="200" t="s">
        <v>109</v>
      </c>
      <c r="E16" s="200" t="s">
        <v>110</v>
      </c>
      <c r="F16" s="200" t="s">
        <v>111</v>
      </c>
      <c r="G16" s="200" t="s">
        <v>114</v>
      </c>
      <c r="H16" s="200" t="s">
        <v>115</v>
      </c>
      <c r="I16" s="200" t="s">
        <v>511</v>
      </c>
      <c r="J16" s="200" t="s">
        <v>514</v>
      </c>
      <c r="K16" s="200" t="s">
        <v>515</v>
      </c>
    </row>
    <row r="17" spans="1:12" s="11" customFormat="1" ht="14.25" outlineLevel="1" x14ac:dyDescent="0.2">
      <c r="A17" s="7"/>
      <c r="B17" s="130" t="s">
        <v>406</v>
      </c>
      <c r="C17" s="131"/>
      <c r="D17" s="132">
        <v>2010</v>
      </c>
      <c r="E17" s="132">
        <v>2011</v>
      </c>
      <c r="F17" s="132">
        <v>2012</v>
      </c>
      <c r="G17" s="132">
        <v>2013</v>
      </c>
      <c r="H17" s="132">
        <v>2014</v>
      </c>
      <c r="I17" s="132">
        <v>2015</v>
      </c>
      <c r="J17" s="132">
        <v>2016</v>
      </c>
      <c r="K17" s="132">
        <v>2017</v>
      </c>
    </row>
    <row r="18" spans="1:12" s="11" customFormat="1" ht="14.25" outlineLevel="1" x14ac:dyDescent="0.2">
      <c r="A18" s="7"/>
      <c r="B18" s="128" t="s">
        <v>112</v>
      </c>
      <c r="C18" s="129"/>
      <c r="D18" s="435">
        <v>4</v>
      </c>
      <c r="E18" s="202">
        <v>4</v>
      </c>
      <c r="F18" s="202">
        <v>4</v>
      </c>
      <c r="G18" s="202">
        <v>4</v>
      </c>
      <c r="H18" s="202">
        <v>4</v>
      </c>
      <c r="I18" s="202">
        <v>4</v>
      </c>
      <c r="J18" s="202">
        <v>4</v>
      </c>
      <c r="K18" s="202">
        <v>4</v>
      </c>
    </row>
    <row r="19" spans="1:12" s="11" customFormat="1" ht="14.25" outlineLevel="1" x14ac:dyDescent="0.2">
      <c r="A19" s="7"/>
      <c r="B19" s="128" t="s">
        <v>113</v>
      </c>
      <c r="C19" s="129"/>
      <c r="D19" s="201">
        <f>12-D18</f>
        <v>8</v>
      </c>
      <c r="E19" s="201">
        <f>12-E18</f>
        <v>8</v>
      </c>
      <c r="F19" s="201">
        <f t="shared" ref="F19:H19" si="0">12-F18</f>
        <v>8</v>
      </c>
      <c r="G19" s="201">
        <f t="shared" si="0"/>
        <v>8</v>
      </c>
      <c r="H19" s="201">
        <f t="shared" si="0"/>
        <v>8</v>
      </c>
      <c r="I19" s="201">
        <f t="shared" ref="I19:K19" si="1">12-I18</f>
        <v>8</v>
      </c>
      <c r="J19" s="201">
        <f t="shared" si="1"/>
        <v>8</v>
      </c>
      <c r="K19" s="201">
        <f t="shared" si="1"/>
        <v>8</v>
      </c>
    </row>
    <row r="20" spans="1:12" s="11" customFormat="1" ht="14.25" outlineLevel="1" x14ac:dyDescent="0.2">
      <c r="A20" s="10"/>
      <c r="B20" s="107" t="str">
        <f>'2.  CDM Allocation'!C24</f>
        <v>Residential</v>
      </c>
      <c r="C20" s="79" t="str">
        <f>'2.  CDM Allocation'!C25</f>
        <v>kWh</v>
      </c>
      <c r="D20" s="203">
        <v>1.2699999999999999E-2</v>
      </c>
      <c r="E20" s="203">
        <v>1.2699999999999999E-2</v>
      </c>
      <c r="F20" s="203">
        <v>1.2800000000000001E-2</v>
      </c>
      <c r="G20" s="203">
        <v>1.29E-2</v>
      </c>
      <c r="H20" s="203">
        <v>1.26E-2</v>
      </c>
      <c r="I20" s="203">
        <v>1.2800000000000001E-2</v>
      </c>
      <c r="J20" s="203">
        <v>9.7999999999999997E-3</v>
      </c>
      <c r="K20" s="203">
        <f>'[2]19. Final Tariff Schedule'!$E$26</f>
        <v>6.6169999999999996E-3</v>
      </c>
      <c r="L20" s="12"/>
    </row>
    <row r="21" spans="1:12" outlineLevel="1" x14ac:dyDescent="0.25">
      <c r="B21" s="107" t="str">
        <f>'2.  CDM Allocation'!D24</f>
        <v>General Service &lt;50 kW</v>
      </c>
      <c r="C21" s="79" t="str">
        <f>'2.  CDM Allocation'!D25</f>
        <v>kWh</v>
      </c>
      <c r="D21" s="203">
        <v>1.3599999999999999E-2</v>
      </c>
      <c r="E21" s="203">
        <v>1.3599999999999999E-2</v>
      </c>
      <c r="F21" s="203">
        <v>1.37E-2</v>
      </c>
      <c r="G21" s="203">
        <v>1.38E-2</v>
      </c>
      <c r="H21" s="203">
        <v>1.12E-2</v>
      </c>
      <c r="I21" s="203">
        <v>1.1299999999999999E-2</v>
      </c>
      <c r="J21" s="203">
        <v>1.15E-2</v>
      </c>
      <c r="K21" s="203">
        <f>'[2]19. Final Tariff Schedule'!$E$107</f>
        <v>1E-4</v>
      </c>
    </row>
    <row r="22" spans="1:12" s="5" customFormat="1" ht="14.25" hidden="1" outlineLevel="1" x14ac:dyDescent="0.2">
      <c r="B22" s="492" t="str">
        <f>'2.  CDM Allocation'!E24</f>
        <v>General Service 50 - 999 kW</v>
      </c>
      <c r="C22" s="493" t="str">
        <f>'2.  CDM Allocation'!E25</f>
        <v>kW</v>
      </c>
      <c r="D22" s="487"/>
      <c r="E22" s="487"/>
      <c r="F22" s="487"/>
      <c r="G22" s="487"/>
      <c r="H22" s="487"/>
      <c r="I22" s="487"/>
      <c r="J22" s="487"/>
      <c r="K22" s="487"/>
    </row>
    <row r="23" spans="1:12" s="5" customFormat="1" ht="14.25" hidden="1" outlineLevel="1" x14ac:dyDescent="0.2">
      <c r="A23" s="7"/>
      <c r="B23" s="492" t="str">
        <f>'2.  CDM Allocation'!F24</f>
        <v>General Service 1,000 - 4,999 kW</v>
      </c>
      <c r="C23" s="493" t="str">
        <f>'2.  CDM Allocation'!F25</f>
        <v>kW</v>
      </c>
      <c r="D23" s="487"/>
      <c r="E23" s="487"/>
      <c r="F23" s="487"/>
      <c r="G23" s="487"/>
      <c r="H23" s="487"/>
      <c r="I23" s="487"/>
      <c r="J23" s="487"/>
      <c r="K23" s="487"/>
    </row>
    <row r="24" spans="1:12" s="5" customFormat="1" ht="14.25" hidden="1" outlineLevel="1" x14ac:dyDescent="0.2">
      <c r="A24" s="7"/>
      <c r="B24" s="492" t="str">
        <f>'2.  CDM Allocation'!G24</f>
        <v>Sentinel Lighting</v>
      </c>
      <c r="C24" s="493" t="str">
        <f>'2.  CDM Allocation'!G25</f>
        <v>kWh</v>
      </c>
      <c r="D24" s="487"/>
      <c r="E24" s="487"/>
      <c r="F24" s="487"/>
      <c r="G24" s="487"/>
      <c r="H24" s="487"/>
      <c r="I24" s="487"/>
      <c r="J24" s="487"/>
      <c r="K24" s="487"/>
    </row>
    <row r="25" spans="1:12" s="5" customFormat="1" ht="14.25" outlineLevel="1" x14ac:dyDescent="0.2">
      <c r="A25" s="7"/>
      <c r="B25" s="107" t="str">
        <f>'2.  CDM Allocation'!H24</f>
        <v>Street Lighting</v>
      </c>
      <c r="C25" s="79" t="str">
        <f>'2.  CDM Allocation'!H25</f>
        <v>kW</v>
      </c>
      <c r="D25" s="203">
        <v>15.2803</v>
      </c>
      <c r="E25" s="203">
        <v>19.217300000000002</v>
      </c>
      <c r="F25" s="203">
        <v>19.386399999999998</v>
      </c>
      <c r="G25" s="203">
        <v>19.479500000000002</v>
      </c>
      <c r="H25" s="203">
        <v>29.033799999999999</v>
      </c>
      <c r="I25" s="203">
        <v>29.411200000000001</v>
      </c>
      <c r="J25" s="203">
        <v>29.9406</v>
      </c>
      <c r="K25" s="203">
        <f>'[2]19. Final Tariff Schedule'!$E$209</f>
        <v>1E-4</v>
      </c>
    </row>
    <row r="26" spans="1:12" s="5" customFormat="1" ht="14.25" outlineLevel="1" x14ac:dyDescent="0.2">
      <c r="A26" s="7"/>
      <c r="B26" s="107" t="str">
        <f>'2.  CDM Allocation'!I24</f>
        <v>Unmetered Scattered Load</v>
      </c>
      <c r="C26" s="79" t="str">
        <f>'2.  CDM Allocation'!I25</f>
        <v>kWh</v>
      </c>
      <c r="D26" s="203">
        <v>1.61E-2</v>
      </c>
      <c r="E26" s="203">
        <v>1.61E-2</v>
      </c>
      <c r="F26" s="203">
        <v>1.6199999999999999E-2</v>
      </c>
      <c r="G26" s="203">
        <v>1.6299999999999999E-2</v>
      </c>
      <c r="H26" s="203">
        <v>6.0000000000000001E-3</v>
      </c>
      <c r="I26" s="203">
        <v>6.1000000000000004E-3</v>
      </c>
      <c r="J26" s="203">
        <v>6.1999999999999998E-3</v>
      </c>
      <c r="K26" s="203">
        <f>'[2]19. Final Tariff Schedule'!$E$177</f>
        <v>-2.0000000000000001E-4</v>
      </c>
    </row>
    <row r="27" spans="1:12" s="5" customFormat="1" ht="14.25" outlineLevel="1" x14ac:dyDescent="0.2">
      <c r="A27" s="7"/>
      <c r="B27" s="108" t="s">
        <v>505</v>
      </c>
      <c r="C27" s="109" t="s">
        <v>36</v>
      </c>
      <c r="D27" s="204">
        <v>2.6147999999999998</v>
      </c>
      <c r="E27" s="204">
        <v>2.5318000000000001</v>
      </c>
      <c r="F27" s="204">
        <v>2.5541</v>
      </c>
      <c r="G27" s="204">
        <v>2.5663999999999998</v>
      </c>
      <c r="H27" s="204">
        <v>2.1025</v>
      </c>
      <c r="I27" s="205">
        <v>2.1297999999999999</v>
      </c>
      <c r="J27" s="205">
        <v>2.1680999999999999</v>
      </c>
      <c r="K27" s="205">
        <f>'[2]19. Final Tariff Schedule'!$E$141</f>
        <v>1E-4</v>
      </c>
    </row>
    <row r="28" spans="1:12" s="5" customFormat="1" ht="14.25" outlineLevel="1" x14ac:dyDescent="0.2">
      <c r="A28" s="7"/>
      <c r="B28" s="231"/>
      <c r="C28" s="281"/>
      <c r="D28" s="350"/>
      <c r="E28" s="350"/>
      <c r="F28" s="350"/>
      <c r="G28" s="350"/>
      <c r="H28" s="350"/>
      <c r="I28" s="351"/>
      <c r="J28" s="351"/>
      <c r="K28" s="351"/>
    </row>
    <row r="29" spans="1:12" s="5" customFormat="1" outlineLevel="1" x14ac:dyDescent="0.25">
      <c r="A29" s="7"/>
      <c r="B29" s="37"/>
      <c r="C29" s="38"/>
      <c r="D29" s="39"/>
      <c r="E29" s="39"/>
      <c r="F29" s="39"/>
      <c r="G29" s="39"/>
      <c r="H29" s="39"/>
      <c r="I29" s="40"/>
      <c r="J29" s="40"/>
      <c r="K29" s="40"/>
    </row>
    <row r="30" spans="1:12" s="40" customFormat="1" ht="18.75" x14ac:dyDescent="0.25">
      <c r="A30" s="122"/>
      <c r="B30" s="353"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77" t="s">
        <v>56</v>
      </c>
      <c r="C32" s="685" t="s">
        <v>57</v>
      </c>
      <c r="D32" s="686"/>
      <c r="E32" s="278">
        <v>2011</v>
      </c>
      <c r="F32" s="278">
        <v>2012</v>
      </c>
      <c r="G32" s="278">
        <v>2013</v>
      </c>
      <c r="H32" s="278">
        <v>2014</v>
      </c>
      <c r="I32" s="278">
        <v>2015</v>
      </c>
      <c r="J32" s="278">
        <v>2016</v>
      </c>
      <c r="K32" s="279">
        <v>2017</v>
      </c>
    </row>
    <row r="33" spans="2:11" ht="19.5" customHeight="1" x14ac:dyDescent="0.25">
      <c r="B33" s="282" t="s">
        <v>37</v>
      </c>
      <c r="C33" s="687" t="s">
        <v>35</v>
      </c>
      <c r="D33" s="687"/>
      <c r="E33" s="280">
        <f t="shared" ref="E33:E39" si="2">SUM(D20*$E$18+E20*$E$19)/12</f>
        <v>1.2699999999999998E-2</v>
      </c>
      <c r="F33" s="280">
        <f t="shared" ref="F33:F39" si="3">SUM(E20*$F$18+F20*$F$19)/12</f>
        <v>1.2766666666666667E-2</v>
      </c>
      <c r="G33" s="280">
        <f>SUM(F20*$G$18+G20*$G$19)/12</f>
        <v>1.2866666666666667E-2</v>
      </c>
      <c r="H33" s="280">
        <f t="shared" ref="H33:H39" si="4">SUM(G20*$H$18+H20*$H$19)/12</f>
        <v>1.2700000000000001E-2</v>
      </c>
      <c r="I33" s="280">
        <f t="shared" ref="I33:I39" si="5">SUM(H20*$I$18+I20*$I$19)/12</f>
        <v>1.2733333333333333E-2</v>
      </c>
      <c r="J33" s="280">
        <f t="shared" ref="J33:J39" si="6">SUM(I20*$J$18+J20*$J$19)/12</f>
        <v>1.0799999999999999E-2</v>
      </c>
      <c r="K33" s="283">
        <f>SUM(J20*$K$18+K20*$K$19)/12</f>
        <v>7.6779999999999999E-3</v>
      </c>
    </row>
    <row r="34" spans="2:11" ht="19.5" customHeight="1" x14ac:dyDescent="0.25">
      <c r="B34" s="282" t="s">
        <v>39</v>
      </c>
      <c r="C34" s="683" t="s">
        <v>35</v>
      </c>
      <c r="D34" s="683"/>
      <c r="E34" s="280">
        <f t="shared" si="2"/>
        <v>1.3599999999999999E-2</v>
      </c>
      <c r="F34" s="280">
        <f t="shared" si="3"/>
        <v>1.3666666666666667E-2</v>
      </c>
      <c r="G34" s="280">
        <f>SUM(F21*$G$18+G21*$G$19)/12</f>
        <v>1.3766666666666668E-2</v>
      </c>
      <c r="H34" s="280">
        <f t="shared" si="4"/>
        <v>1.2066666666666665E-2</v>
      </c>
      <c r="I34" s="280">
        <f t="shared" si="5"/>
        <v>1.1266666666666666E-2</v>
      </c>
      <c r="J34" s="280">
        <f t="shared" si="6"/>
        <v>1.1433333333333332E-2</v>
      </c>
      <c r="K34" s="283">
        <f t="shared" ref="K34:K39" si="7">SUM(J21*$K$18+K21*$K$19)/12</f>
        <v>3.9000000000000003E-3</v>
      </c>
    </row>
    <row r="35" spans="2:11" ht="19.5" customHeight="1" x14ac:dyDescent="0.25">
      <c r="B35" s="489" t="s">
        <v>107</v>
      </c>
      <c r="C35" s="682" t="s">
        <v>36</v>
      </c>
      <c r="D35" s="682"/>
      <c r="E35" s="490">
        <f t="shared" si="2"/>
        <v>0</v>
      </c>
      <c r="F35" s="490">
        <f t="shared" si="3"/>
        <v>0</v>
      </c>
      <c r="G35" s="490">
        <f t="shared" ref="G35:G39" si="8">SUM(F22*$G$18+G22*$G$19)/12</f>
        <v>0</v>
      </c>
      <c r="H35" s="490">
        <f t="shared" si="4"/>
        <v>0</v>
      </c>
      <c r="I35" s="490">
        <f t="shared" si="5"/>
        <v>0</v>
      </c>
      <c r="J35" s="490">
        <f t="shared" si="6"/>
        <v>0</v>
      </c>
      <c r="K35" s="491">
        <f t="shared" si="7"/>
        <v>0</v>
      </c>
    </row>
    <row r="36" spans="2:11" ht="19.5" customHeight="1" x14ac:dyDescent="0.25">
      <c r="B36" s="489" t="s">
        <v>108</v>
      </c>
      <c r="C36" s="682" t="s">
        <v>36</v>
      </c>
      <c r="D36" s="682"/>
      <c r="E36" s="490">
        <f t="shared" si="2"/>
        <v>0</v>
      </c>
      <c r="F36" s="490">
        <f t="shared" si="3"/>
        <v>0</v>
      </c>
      <c r="G36" s="490">
        <f t="shared" si="8"/>
        <v>0</v>
      </c>
      <c r="H36" s="490">
        <f t="shared" si="4"/>
        <v>0</v>
      </c>
      <c r="I36" s="490">
        <f t="shared" si="5"/>
        <v>0</v>
      </c>
      <c r="J36" s="490">
        <f t="shared" si="6"/>
        <v>0</v>
      </c>
      <c r="K36" s="491">
        <f t="shared" si="7"/>
        <v>0</v>
      </c>
    </row>
    <row r="37" spans="2:11" ht="19.5" customHeight="1" x14ac:dyDescent="0.25">
      <c r="B37" s="489" t="s">
        <v>40</v>
      </c>
      <c r="C37" s="682" t="s">
        <v>36</v>
      </c>
      <c r="D37" s="682"/>
      <c r="E37" s="490">
        <f t="shared" si="2"/>
        <v>0</v>
      </c>
      <c r="F37" s="490">
        <f t="shared" si="3"/>
        <v>0</v>
      </c>
      <c r="G37" s="490">
        <f t="shared" si="8"/>
        <v>0</v>
      </c>
      <c r="H37" s="490">
        <f t="shared" si="4"/>
        <v>0</v>
      </c>
      <c r="I37" s="490">
        <f t="shared" si="5"/>
        <v>0</v>
      </c>
      <c r="J37" s="490">
        <f t="shared" si="6"/>
        <v>0</v>
      </c>
      <c r="K37" s="491">
        <f t="shared" si="7"/>
        <v>0</v>
      </c>
    </row>
    <row r="38" spans="2:11" ht="19.5" customHeight="1" x14ac:dyDescent="0.25">
      <c r="B38" s="282" t="s">
        <v>41</v>
      </c>
      <c r="C38" s="683" t="s">
        <v>36</v>
      </c>
      <c r="D38" s="683"/>
      <c r="E38" s="280">
        <f t="shared" si="2"/>
        <v>17.904966666666667</v>
      </c>
      <c r="F38" s="280">
        <f t="shared" si="3"/>
        <v>19.330033333333333</v>
      </c>
      <c r="G38" s="280">
        <f t="shared" si="8"/>
        <v>19.448466666666665</v>
      </c>
      <c r="H38" s="280">
        <f t="shared" si="4"/>
        <v>25.849033333333335</v>
      </c>
      <c r="I38" s="280">
        <f t="shared" si="5"/>
        <v>29.285399999999999</v>
      </c>
      <c r="J38" s="280">
        <f t="shared" si="6"/>
        <v>29.764133333333334</v>
      </c>
      <c r="K38" s="283">
        <f t="shared" si="7"/>
        <v>9.9802666666666671</v>
      </c>
    </row>
    <row r="39" spans="2:11" ht="19.5" customHeight="1" x14ac:dyDescent="0.25">
      <c r="B39" s="282" t="s">
        <v>42</v>
      </c>
      <c r="C39" s="683" t="s">
        <v>35</v>
      </c>
      <c r="D39" s="683"/>
      <c r="E39" s="280">
        <f t="shared" si="2"/>
        <v>1.61E-2</v>
      </c>
      <c r="F39" s="280">
        <f t="shared" si="3"/>
        <v>1.6166666666666666E-2</v>
      </c>
      <c r="G39" s="280">
        <f t="shared" si="8"/>
        <v>1.6266666666666665E-2</v>
      </c>
      <c r="H39" s="280">
        <f t="shared" si="4"/>
        <v>9.4333333333333335E-3</v>
      </c>
      <c r="I39" s="280">
        <f t="shared" si="5"/>
        <v>6.0666666666666673E-3</v>
      </c>
      <c r="J39" s="280">
        <f t="shared" si="6"/>
        <v>6.1666666666666667E-3</v>
      </c>
      <c r="K39" s="283">
        <f t="shared" si="7"/>
        <v>1.9333333333333331E-3</v>
      </c>
    </row>
    <row r="40" spans="2:11" ht="19.5" customHeight="1" x14ac:dyDescent="0.25">
      <c r="B40" s="284" t="s">
        <v>505</v>
      </c>
      <c r="C40" s="684" t="s">
        <v>36</v>
      </c>
      <c r="D40" s="684"/>
      <c r="E40" s="285">
        <f t="shared" ref="E40" si="9">SUM(D27*$E$18+E27*$E$19)/12</f>
        <v>2.5594666666666668</v>
      </c>
      <c r="F40" s="285">
        <f t="shared" ref="F40" si="10">SUM(E27*$F$18+F27*$F$19)/12</f>
        <v>2.5466666666666669</v>
      </c>
      <c r="G40" s="285">
        <f t="shared" ref="G40" si="11">SUM(F27*$G$18+G27*$G$19)/12</f>
        <v>2.5623</v>
      </c>
      <c r="H40" s="285">
        <f t="shared" ref="H40" si="12">SUM(G27*$H$18+H27*$H$19)/12</f>
        <v>2.2571333333333334</v>
      </c>
      <c r="I40" s="285">
        <f t="shared" ref="I40" si="13">SUM(H27*$I$18+I27*$I$19)/12</f>
        <v>2.1206999999999998</v>
      </c>
      <c r="J40" s="285">
        <f t="shared" ref="J40" si="14">SUM(I27*$J$18+J27*$J$19)/12</f>
        <v>2.1553333333333331</v>
      </c>
      <c r="K40" s="286">
        <f t="shared" ref="K40" si="15">SUM(J27*$K$18+K27*$K$19)/12</f>
        <v>0.72276666666666667</v>
      </c>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rintOptions headings="1" gridLines="1"/>
  <pageMargins left="0.7" right="0.7" top="0.75" bottom="0.75" header="0.3" footer="0.3"/>
  <pageSetup scale="58" orientation="landscape" r:id="rId1"/>
  <headerFooter>
    <oddHeader>&amp;L&amp;Z&amp;F&amp;A</oddHeader>
    <oddFooter>&amp;L&amp;D&amp;T</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22"/>
  <sheetViews>
    <sheetView topLeftCell="A200" zoomScale="70" zoomScaleNormal="70" zoomScaleSheetLayoutView="80" zoomScalePageLayoutView="85" workbookViewId="0">
      <selection activeCell="U85" sqref="U85"/>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hidden="1" customWidth="1"/>
    <col min="11" max="11" width="15.5703125" style="26" hidden="1" customWidth="1"/>
    <col min="12" max="13" width="10.85546875" style="26" hidden="1" customWidth="1"/>
    <col min="14" max="14" width="13.5703125" style="26" hidden="1" customWidth="1"/>
    <col min="15" max="15" width="17.85546875" style="26" bestFit="1" customWidth="1"/>
    <col min="16" max="16" width="13" style="26" bestFit="1" customWidth="1"/>
    <col min="17" max="17" width="3.140625" style="26" customWidth="1"/>
    <col min="18" max="18" width="15.7109375" style="26" bestFit="1" customWidth="1"/>
    <col min="19" max="19" width="6.42578125"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672" t="s">
        <v>350</v>
      </c>
      <c r="C3" s="672"/>
      <c r="D3" s="672"/>
      <c r="E3" s="672"/>
      <c r="F3" s="672"/>
      <c r="G3" s="672"/>
      <c r="H3" s="672"/>
      <c r="I3" s="672"/>
      <c r="J3" s="672"/>
      <c r="K3" s="672"/>
      <c r="L3" s="672"/>
      <c r="M3" s="672"/>
      <c r="N3" s="672"/>
      <c r="O3" s="672"/>
      <c r="P3" s="672"/>
    </row>
    <row r="4" spans="1:16" ht="18.75" customHeight="1" outlineLevel="1" x14ac:dyDescent="0.3">
      <c r="A4" s="64"/>
      <c r="B4" s="127"/>
      <c r="C4" s="228"/>
      <c r="D4" s="356"/>
      <c r="E4" s="228"/>
      <c r="F4" s="127"/>
      <c r="G4" s="127"/>
      <c r="H4" s="127"/>
      <c r="I4" s="127"/>
      <c r="J4" s="127"/>
      <c r="K4" s="127"/>
      <c r="L4" s="127"/>
      <c r="M4" s="127"/>
      <c r="N4" s="127"/>
      <c r="O4" s="127"/>
      <c r="P4" s="127"/>
    </row>
    <row r="5" spans="1:16" outlineLevel="1" x14ac:dyDescent="0.25">
      <c r="A5" s="64"/>
      <c r="C5" s="354" t="s">
        <v>399</v>
      </c>
      <c r="D5" s="357" t="s">
        <v>415</v>
      </c>
      <c r="E5" s="296"/>
    </row>
    <row r="6" spans="1:16" outlineLevel="1" x14ac:dyDescent="0.25">
      <c r="A6" s="64"/>
      <c r="C6" s="296"/>
      <c r="D6" s="357" t="s">
        <v>484</v>
      </c>
      <c r="E6" s="296"/>
    </row>
    <row r="7" spans="1:16" s="66" customFormat="1" ht="15" outlineLevel="1" x14ac:dyDescent="0.2">
      <c r="A7" s="126"/>
      <c r="B7" s="69"/>
      <c r="C7" s="70"/>
      <c r="D7" s="357" t="s">
        <v>351</v>
      </c>
      <c r="E7" s="358"/>
    </row>
    <row r="8" spans="1:16" outlineLevel="1" x14ac:dyDescent="0.25">
      <c r="A8" s="64"/>
      <c r="C8" s="26"/>
      <c r="D8" s="165" t="s">
        <v>358</v>
      </c>
    </row>
    <row r="9" spans="1:16" s="66" customFormat="1" ht="15" outlineLevel="1" x14ac:dyDescent="0.2">
      <c r="A9" s="126"/>
      <c r="B9" s="69"/>
      <c r="C9" s="69"/>
      <c r="D9" s="165"/>
      <c r="E9" s="69"/>
    </row>
    <row r="10" spans="1:16" outlineLevel="1" x14ac:dyDescent="0.25">
      <c r="A10" s="64"/>
      <c r="C10" s="25"/>
      <c r="D10" s="165" t="s">
        <v>356</v>
      </c>
    </row>
    <row r="11" spans="1:16" outlineLevel="1" x14ac:dyDescent="0.25">
      <c r="A11" s="64"/>
      <c r="C11" s="25"/>
      <c r="D11" s="165" t="s">
        <v>357</v>
      </c>
    </row>
    <row r="12" spans="1:16" outlineLevel="1" x14ac:dyDescent="0.25">
      <c r="A12" s="64"/>
      <c r="C12" s="679" t="s">
        <v>337</v>
      </c>
      <c r="D12" s="164"/>
      <c r="E12" s="47"/>
    </row>
    <row r="13" spans="1:16" outlineLevel="1" x14ac:dyDescent="0.25">
      <c r="A13" s="64"/>
      <c r="C13" s="679"/>
      <c r="D13" s="690" t="s">
        <v>363</v>
      </c>
      <c r="E13" s="690"/>
    </row>
    <row r="14" spans="1:16" outlineLevel="1" x14ac:dyDescent="0.25">
      <c r="A14" s="64"/>
      <c r="C14" s="679"/>
      <c r="D14" s="691" t="s">
        <v>338</v>
      </c>
      <c r="E14" s="691"/>
    </row>
    <row r="15" spans="1:16" outlineLevel="1" x14ac:dyDescent="0.25">
      <c r="A15" s="64"/>
      <c r="C15" s="84"/>
      <c r="D15" s="69"/>
      <c r="E15" s="47"/>
    </row>
    <row r="16" spans="1:16" x14ac:dyDescent="0.25">
      <c r="A16" s="64"/>
      <c r="C16" s="84"/>
      <c r="D16" s="248"/>
      <c r="E16" s="47"/>
    </row>
    <row r="17" spans="1:17" x14ac:dyDescent="0.25">
      <c r="B17" s="706" t="s">
        <v>352</v>
      </c>
      <c r="C17" s="706"/>
      <c r="D17" s="706"/>
      <c r="E17" s="706"/>
      <c r="F17" s="706"/>
      <c r="G17" s="706"/>
      <c r="H17" s="706"/>
      <c r="I17" s="706"/>
      <c r="J17" s="706"/>
      <c r="K17" s="706"/>
      <c r="L17" s="706"/>
      <c r="M17" s="706"/>
      <c r="N17" s="706"/>
      <c r="O17" s="706"/>
      <c r="P17" s="706"/>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93" t="s">
        <v>58</v>
      </c>
      <c r="C19" s="695" t="s">
        <v>0</v>
      </c>
      <c r="D19" s="695" t="s">
        <v>44</v>
      </c>
      <c r="E19" s="695" t="s">
        <v>206</v>
      </c>
      <c r="F19" s="265" t="s">
        <v>45</v>
      </c>
      <c r="G19" s="265" t="s">
        <v>203</v>
      </c>
      <c r="H19" s="703" t="s">
        <v>59</v>
      </c>
      <c r="I19" s="704"/>
      <c r="J19" s="704"/>
      <c r="K19" s="704"/>
      <c r="L19" s="704"/>
      <c r="M19" s="704"/>
      <c r="N19" s="704"/>
      <c r="O19" s="704"/>
      <c r="P19" s="705"/>
      <c r="Q19" s="4"/>
    </row>
    <row r="20" spans="1:17" s="27" customFormat="1" ht="43.5" customHeight="1" x14ac:dyDescent="0.2">
      <c r="A20" s="264"/>
      <c r="B20" s="694"/>
      <c r="C20" s="702"/>
      <c r="D20" s="702"/>
      <c r="E20" s="702"/>
      <c r="F20" s="209" t="s">
        <v>46</v>
      </c>
      <c r="G20" s="209" t="s">
        <v>47</v>
      </c>
      <c r="H20" s="209" t="str">
        <f>'1.  LRAMVA Summary'!C21</f>
        <v>Residential</v>
      </c>
      <c r="I20" s="209" t="str">
        <f>'1.  LRAMVA Summary'!D21</f>
        <v>General Service &lt;50 kW</v>
      </c>
      <c r="J20" s="507" t="str">
        <f>'1.  LRAMVA Summary'!E21</f>
        <v>General Service 50 - 999 kW</v>
      </c>
      <c r="K20" s="507" t="str">
        <f>'1.  LRAMVA Summary'!F21</f>
        <v>General Service 1,000 - 4,999 kW</v>
      </c>
      <c r="L20" s="507" t="str">
        <f>'1.  LRAMVA Summary'!G21</f>
        <v>Sentinel Lighting</v>
      </c>
      <c r="M20" s="507" t="str">
        <f>'1.  LRAMVA Summary'!H21</f>
        <v>Street Lighting</v>
      </c>
      <c r="N20" s="507" t="str">
        <f>'1.  LRAMVA Summary'!I21</f>
        <v>Unmetered Scattered Load</v>
      </c>
      <c r="O20" s="209" t="s">
        <v>505</v>
      </c>
      <c r="P20" s="266" t="str">
        <f>'1.  LRAMVA Summary'!K21</f>
        <v>Total</v>
      </c>
      <c r="Q20" s="4"/>
    </row>
    <row r="21" spans="1:17" s="21" customFormat="1" ht="21" customHeight="1" outlineLevel="1" x14ac:dyDescent="0.25">
      <c r="A21" s="715">
        <v>2011</v>
      </c>
      <c r="B21" s="242"/>
      <c r="C21" s="701" t="s">
        <v>1</v>
      </c>
      <c r="D21" s="701"/>
      <c r="E21" s="243"/>
      <c r="F21" s="244"/>
      <c r="G21" s="244"/>
      <c r="H21" s="244"/>
      <c r="I21" s="244"/>
      <c r="J21" s="508"/>
      <c r="K21" s="508"/>
      <c r="L21" s="508"/>
      <c r="M21" s="508"/>
      <c r="N21" s="508"/>
      <c r="O21" s="244"/>
      <c r="P21" s="245"/>
      <c r="Q21" s="138"/>
    </row>
    <row r="22" spans="1:17" s="27" customFormat="1" ht="14.25" outlineLevel="1" x14ac:dyDescent="0.2">
      <c r="A22" s="715"/>
      <c r="B22" s="267">
        <v>1</v>
      </c>
      <c r="C22" s="249" t="s">
        <v>2</v>
      </c>
      <c r="D22" s="247" t="s">
        <v>33</v>
      </c>
      <c r="E22" s="247"/>
      <c r="F22" s="290">
        <f>'[3]LDC - Results (Net)'!$I$7</f>
        <v>6.85</v>
      </c>
      <c r="G22" s="290">
        <f>'[3]LDC - Results (Net)'!$N7</f>
        <v>46772.048999999999</v>
      </c>
      <c r="H22" s="289">
        <v>1</v>
      </c>
      <c r="I22" s="500"/>
      <c r="J22" s="500"/>
      <c r="K22" s="500"/>
      <c r="L22" s="500"/>
      <c r="M22" s="500"/>
      <c r="N22" s="500"/>
      <c r="O22" s="500"/>
      <c r="P22" s="246">
        <f>SUM(H22:O22)</f>
        <v>1</v>
      </c>
      <c r="Q22" s="4"/>
    </row>
    <row r="23" spans="1:17" s="27" customFormat="1" ht="14.25" outlineLevel="1" x14ac:dyDescent="0.2">
      <c r="A23" s="715"/>
      <c r="B23" s="267">
        <v>2</v>
      </c>
      <c r="C23" s="249" t="s">
        <v>3</v>
      </c>
      <c r="D23" s="247" t="s">
        <v>33</v>
      </c>
      <c r="E23" s="247"/>
      <c r="F23" s="252">
        <f>'[3]LDC - Results (Net)'!$I$8</f>
        <v>0.27300000000000002</v>
      </c>
      <c r="G23" s="252">
        <f>'[3]LDC - Results (Net)'!$N8</f>
        <v>289.10199999999998</v>
      </c>
      <c r="H23" s="289">
        <v>1</v>
      </c>
      <c r="I23" s="500"/>
      <c r="J23" s="500"/>
      <c r="K23" s="500"/>
      <c r="L23" s="500"/>
      <c r="M23" s="500"/>
      <c r="N23" s="500"/>
      <c r="O23" s="500"/>
      <c r="P23" s="246">
        <f t="shared" ref="P23:P30" si="0">SUM(H23:O23)</f>
        <v>1</v>
      </c>
      <c r="Q23" s="4"/>
    </row>
    <row r="24" spans="1:17" s="27" customFormat="1" ht="14.25" outlineLevel="1" x14ac:dyDescent="0.2">
      <c r="A24" s="715"/>
      <c r="B24" s="267">
        <v>3</v>
      </c>
      <c r="C24" s="249" t="s">
        <v>4</v>
      </c>
      <c r="D24" s="247" t="s">
        <v>33</v>
      </c>
      <c r="E24" s="247"/>
      <c r="F24" s="252">
        <f>'[3]LDC - Results (Net)'!$I$9</f>
        <v>48.585999999999999</v>
      </c>
      <c r="G24" s="252">
        <f>'[3]LDC - Results (Net)'!$N9</f>
        <v>86998.285000000003</v>
      </c>
      <c r="H24" s="289">
        <v>1</v>
      </c>
      <c r="I24" s="500"/>
      <c r="J24" s="500"/>
      <c r="K24" s="500"/>
      <c r="L24" s="500"/>
      <c r="M24" s="500"/>
      <c r="N24" s="500"/>
      <c r="O24" s="500"/>
      <c r="P24" s="246">
        <f t="shared" si="0"/>
        <v>1</v>
      </c>
      <c r="Q24" s="4"/>
    </row>
    <row r="25" spans="1:17" s="27" customFormat="1" ht="14.25" outlineLevel="1" x14ac:dyDescent="0.2">
      <c r="A25" s="715"/>
      <c r="B25" s="267">
        <v>4</v>
      </c>
      <c r="C25" s="249" t="s">
        <v>5</v>
      </c>
      <c r="D25" s="247" t="s">
        <v>33</v>
      </c>
      <c r="E25" s="247"/>
      <c r="F25" s="252">
        <f>'[3]LDC - Results (Net)'!$I$10</f>
        <v>2.0489999999999999</v>
      </c>
      <c r="G25" s="252">
        <f>'[3]LDC - Results (Net)'!$N10</f>
        <v>32224.924999999999</v>
      </c>
      <c r="H25" s="289">
        <v>1</v>
      </c>
      <c r="I25" s="500"/>
      <c r="J25" s="500"/>
      <c r="K25" s="500"/>
      <c r="L25" s="500"/>
      <c r="M25" s="500"/>
      <c r="N25" s="500"/>
      <c r="O25" s="500"/>
      <c r="P25" s="246">
        <f t="shared" si="0"/>
        <v>1</v>
      </c>
      <c r="Q25" s="4"/>
    </row>
    <row r="26" spans="1:17" s="27" customFormat="1" ht="14.25" outlineLevel="1" x14ac:dyDescent="0.2">
      <c r="A26" s="715"/>
      <c r="B26" s="267">
        <v>5</v>
      </c>
      <c r="C26" s="249" t="s">
        <v>6</v>
      </c>
      <c r="D26" s="247" t="s">
        <v>33</v>
      </c>
      <c r="E26" s="247"/>
      <c r="F26" s="252">
        <f>'[3]LDC - Results (Net)'!$I$11</f>
        <v>2.6659999999999999</v>
      </c>
      <c r="G26" s="252">
        <f>'[3]LDC - Results (Net)'!$N11</f>
        <v>46602.048999999999</v>
      </c>
      <c r="H26" s="289">
        <v>1</v>
      </c>
      <c r="I26" s="500"/>
      <c r="J26" s="500"/>
      <c r="K26" s="500"/>
      <c r="L26" s="500"/>
      <c r="M26" s="500"/>
      <c r="N26" s="500"/>
      <c r="O26" s="500"/>
      <c r="P26" s="246">
        <f t="shared" si="0"/>
        <v>1</v>
      </c>
      <c r="Q26" s="4"/>
    </row>
    <row r="27" spans="1:17" s="27" customFormat="1" ht="14.25" hidden="1" outlineLevel="1" x14ac:dyDescent="0.2">
      <c r="A27" s="715"/>
      <c r="B27" s="510">
        <v>6</v>
      </c>
      <c r="C27" s="511" t="s">
        <v>7</v>
      </c>
      <c r="D27" s="512" t="s">
        <v>33</v>
      </c>
      <c r="E27" s="512"/>
      <c r="F27" s="498">
        <f>'[3]LDC - Results (Net)'!$I$12</f>
        <v>0</v>
      </c>
      <c r="G27" s="498">
        <f>'[3]LDC - Results (Net)'!$N12</f>
        <v>0</v>
      </c>
      <c r="H27" s="500"/>
      <c r="I27" s="500"/>
      <c r="J27" s="500"/>
      <c r="K27" s="500"/>
      <c r="L27" s="500"/>
      <c r="M27" s="500"/>
      <c r="N27" s="500"/>
      <c r="O27" s="500"/>
      <c r="P27" s="501">
        <f t="shared" si="0"/>
        <v>0</v>
      </c>
      <c r="Q27" s="4"/>
    </row>
    <row r="28" spans="1:17" s="27" customFormat="1" ht="14.25" hidden="1" outlineLevel="1" x14ac:dyDescent="0.2">
      <c r="A28" s="715"/>
      <c r="B28" s="510">
        <v>7</v>
      </c>
      <c r="C28" s="511" t="s">
        <v>60</v>
      </c>
      <c r="D28" s="512" t="s">
        <v>33</v>
      </c>
      <c r="E28" s="512"/>
      <c r="F28" s="498">
        <f>'[3]LDC - Results (Net)'!$I$13</f>
        <v>0</v>
      </c>
      <c r="G28" s="498">
        <f>'[3]LDC - Results (Net)'!$N13</f>
        <v>0</v>
      </c>
      <c r="H28" s="500"/>
      <c r="I28" s="500"/>
      <c r="J28" s="500"/>
      <c r="K28" s="500"/>
      <c r="L28" s="500"/>
      <c r="M28" s="500"/>
      <c r="N28" s="500"/>
      <c r="O28" s="500"/>
      <c r="P28" s="501">
        <f t="shared" si="0"/>
        <v>0</v>
      </c>
      <c r="Q28" s="4"/>
    </row>
    <row r="29" spans="1:17" s="27" customFormat="1" ht="14.25" hidden="1" outlineLevel="1" x14ac:dyDescent="0.2">
      <c r="A29" s="715"/>
      <c r="B29" s="510">
        <v>8</v>
      </c>
      <c r="C29" s="511" t="s">
        <v>8</v>
      </c>
      <c r="D29" s="512" t="s">
        <v>33</v>
      </c>
      <c r="E29" s="512"/>
      <c r="F29" s="498">
        <f>'[3]LDC - Results (Net)'!$I$14</f>
        <v>0</v>
      </c>
      <c r="G29" s="498">
        <f>'[3]LDC - Results (Net)'!$N14</f>
        <v>0</v>
      </c>
      <c r="H29" s="500"/>
      <c r="I29" s="500"/>
      <c r="J29" s="500"/>
      <c r="K29" s="500"/>
      <c r="L29" s="500"/>
      <c r="M29" s="500"/>
      <c r="N29" s="500"/>
      <c r="O29" s="500"/>
      <c r="P29" s="501">
        <f t="shared" si="0"/>
        <v>0</v>
      </c>
      <c r="Q29" s="4"/>
    </row>
    <row r="30" spans="1:17" s="27" customFormat="1" ht="15" outlineLevel="1" x14ac:dyDescent="0.2">
      <c r="A30" s="715"/>
      <c r="B30" s="267"/>
      <c r="C30" s="467" t="s">
        <v>255</v>
      </c>
      <c r="D30" s="247" t="s">
        <v>254</v>
      </c>
      <c r="E30" s="247"/>
      <c r="F30" s="252">
        <f>'[3]LDC - Adjustments (Net)'!$I$16</f>
        <v>-5.9649999999999999</v>
      </c>
      <c r="G30" s="252">
        <f>'[3]LDC - Adjustments (Net)'!$N$16</f>
        <v>-7332.66</v>
      </c>
      <c r="H30" s="287">
        <v>1</v>
      </c>
      <c r="I30" s="500"/>
      <c r="J30" s="500"/>
      <c r="K30" s="500"/>
      <c r="L30" s="500"/>
      <c r="M30" s="500"/>
      <c r="N30" s="500"/>
      <c r="O30" s="500"/>
      <c r="P30" s="246">
        <f t="shared" si="0"/>
        <v>1</v>
      </c>
      <c r="Q30" s="4"/>
    </row>
    <row r="31" spans="1:17" s="27" customFormat="1" ht="15" hidden="1" outlineLevel="1" x14ac:dyDescent="0.2">
      <c r="A31" s="715"/>
      <c r="B31" s="510"/>
      <c r="C31" s="707"/>
      <c r="D31" s="707"/>
      <c r="E31" s="535"/>
      <c r="F31" s="498"/>
      <c r="G31" s="498"/>
      <c r="H31" s="499"/>
      <c r="I31" s="500"/>
      <c r="J31" s="500"/>
      <c r="K31" s="500"/>
      <c r="L31" s="500"/>
      <c r="M31" s="500"/>
      <c r="N31" s="500"/>
      <c r="O31" s="500"/>
      <c r="P31" s="501"/>
      <c r="Q31" s="4"/>
    </row>
    <row r="32" spans="1:17" s="27" customFormat="1" ht="15" hidden="1" outlineLevel="1" x14ac:dyDescent="0.2">
      <c r="A32" s="715"/>
      <c r="B32" s="510"/>
      <c r="C32" s="707"/>
      <c r="D32" s="707"/>
      <c r="E32" s="535"/>
      <c r="F32" s="536"/>
      <c r="G32" s="536"/>
      <c r="H32" s="499"/>
      <c r="I32" s="500"/>
      <c r="J32" s="500"/>
      <c r="K32" s="500"/>
      <c r="L32" s="500"/>
      <c r="M32" s="500"/>
      <c r="N32" s="500"/>
      <c r="O32" s="500"/>
      <c r="P32" s="501"/>
      <c r="Q32" s="4"/>
    </row>
    <row r="33" spans="1:19" s="21" customFormat="1" ht="20.25" customHeight="1" outlineLevel="1" x14ac:dyDescent="0.25">
      <c r="A33" s="715"/>
      <c r="B33" s="242"/>
      <c r="C33" s="701" t="s">
        <v>9</v>
      </c>
      <c r="D33" s="701"/>
      <c r="E33" s="243"/>
      <c r="F33" s="244"/>
      <c r="G33" s="244"/>
      <c r="H33" s="243"/>
      <c r="I33" s="243"/>
      <c r="J33" s="509"/>
      <c r="K33" s="509"/>
      <c r="L33" s="509"/>
      <c r="M33" s="509"/>
      <c r="N33" s="509"/>
      <c r="O33" s="243"/>
      <c r="P33" s="245"/>
      <c r="Q33" s="138"/>
      <c r="R33" s="27"/>
      <c r="S33" s="27"/>
    </row>
    <row r="34" spans="1:19" s="27" customFormat="1" ht="14.25" outlineLevel="1" x14ac:dyDescent="0.2">
      <c r="A34" s="715"/>
      <c r="B34" s="147">
        <v>9</v>
      </c>
      <c r="C34" s="251" t="s">
        <v>26</v>
      </c>
      <c r="D34" s="247" t="s">
        <v>33</v>
      </c>
      <c r="E34" s="247">
        <v>12</v>
      </c>
      <c r="F34" s="290">
        <f>'[3]LDC - Results (Net)'!$I$19</f>
        <v>15.294</v>
      </c>
      <c r="G34" s="290">
        <f>'[3]LDC - Results (Net)'!$N19</f>
        <v>78073.766000000003</v>
      </c>
      <c r="H34" s="499"/>
      <c r="I34" s="289">
        <v>0.6</v>
      </c>
      <c r="J34" s="500"/>
      <c r="K34" s="500"/>
      <c r="L34" s="500"/>
      <c r="M34" s="500"/>
      <c r="N34" s="500"/>
      <c r="O34" s="289">
        <v>0.4</v>
      </c>
      <c r="P34" s="246">
        <f t="shared" ref="P34:P41" si="1">SUM(H34:O34)</f>
        <v>1</v>
      </c>
      <c r="Q34" s="4"/>
    </row>
    <row r="35" spans="1:19" s="27" customFormat="1" ht="14.25" outlineLevel="1" x14ac:dyDescent="0.2">
      <c r="A35" s="715"/>
      <c r="B35" s="147">
        <v>10</v>
      </c>
      <c r="C35" s="249" t="s">
        <v>24</v>
      </c>
      <c r="D35" s="247" t="s">
        <v>33</v>
      </c>
      <c r="E35" s="247">
        <v>12</v>
      </c>
      <c r="F35" s="252">
        <f>'[3]LDC - Results (Net)'!$I$20</f>
        <v>170.977</v>
      </c>
      <c r="G35" s="252">
        <f>'[3]LDC - Results (Net)'!$N20</f>
        <v>451696.234</v>
      </c>
      <c r="H35" s="499"/>
      <c r="I35" s="289">
        <v>1</v>
      </c>
      <c r="J35" s="500"/>
      <c r="K35" s="500"/>
      <c r="L35" s="500"/>
      <c r="M35" s="500"/>
      <c r="N35" s="500"/>
      <c r="O35" s="500"/>
      <c r="P35" s="246">
        <f t="shared" si="1"/>
        <v>1</v>
      </c>
      <c r="Q35" s="4"/>
    </row>
    <row r="36" spans="1:19" s="27" customFormat="1" ht="15" hidden="1" customHeight="1" outlineLevel="1" x14ac:dyDescent="0.2">
      <c r="A36" s="715"/>
      <c r="B36" s="513">
        <v>11</v>
      </c>
      <c r="C36" s="511" t="s">
        <v>27</v>
      </c>
      <c r="D36" s="512" t="s">
        <v>33</v>
      </c>
      <c r="E36" s="512">
        <v>3</v>
      </c>
      <c r="F36" s="498">
        <f>'[3]LDC - Results (Net)'!$I$21</f>
        <v>0</v>
      </c>
      <c r="G36" s="498">
        <f>'[3]LDC - Results (Net)'!$N21</f>
        <v>0</v>
      </c>
      <c r="H36" s="499"/>
      <c r="I36" s="500"/>
      <c r="J36" s="500"/>
      <c r="K36" s="500"/>
      <c r="L36" s="500"/>
      <c r="M36" s="500"/>
      <c r="N36" s="500"/>
      <c r="O36" s="500"/>
      <c r="P36" s="501">
        <f t="shared" si="1"/>
        <v>0</v>
      </c>
      <c r="Q36" s="4"/>
    </row>
    <row r="37" spans="1:19" s="27" customFormat="1" ht="14.25" outlineLevel="1" x14ac:dyDescent="0.2">
      <c r="A37" s="715"/>
      <c r="B37" s="147">
        <v>12</v>
      </c>
      <c r="C37" s="249" t="s">
        <v>28</v>
      </c>
      <c r="D37" s="247" t="s">
        <v>33</v>
      </c>
      <c r="E37" s="247">
        <v>12</v>
      </c>
      <c r="F37" s="252">
        <f>'[3]LDC - Results (Net)'!$I$22</f>
        <v>4.6349999999999998</v>
      </c>
      <c r="G37" s="252">
        <f>'[3]LDC - Results (Net)'!$N22</f>
        <v>22210.92</v>
      </c>
      <c r="H37" s="499"/>
      <c r="I37" s="500"/>
      <c r="J37" s="500"/>
      <c r="K37" s="500"/>
      <c r="L37" s="500"/>
      <c r="M37" s="500"/>
      <c r="N37" s="500"/>
      <c r="O37" s="289">
        <v>1</v>
      </c>
      <c r="P37" s="246">
        <f t="shared" si="1"/>
        <v>1</v>
      </c>
      <c r="Q37" s="4"/>
    </row>
    <row r="38" spans="1:19" s="27" customFormat="1" ht="14.25" hidden="1" outlineLevel="1" x14ac:dyDescent="0.2">
      <c r="A38" s="715"/>
      <c r="B38" s="513">
        <v>13</v>
      </c>
      <c r="C38" s="511" t="s">
        <v>23</v>
      </c>
      <c r="D38" s="512" t="s">
        <v>33</v>
      </c>
      <c r="E38" s="512">
        <v>12</v>
      </c>
      <c r="F38" s="498">
        <f>'[3]LDC - Results (Net)'!$I$23</f>
        <v>0</v>
      </c>
      <c r="G38" s="498">
        <f>'[3]LDC - Results (Net)'!$N23</f>
        <v>0</v>
      </c>
      <c r="H38" s="499"/>
      <c r="I38" s="500"/>
      <c r="J38" s="500"/>
      <c r="K38" s="500"/>
      <c r="L38" s="500"/>
      <c r="M38" s="500"/>
      <c r="N38" s="500"/>
      <c r="O38" s="500"/>
      <c r="P38" s="501">
        <f t="shared" si="1"/>
        <v>0</v>
      </c>
      <c r="Q38" s="4"/>
    </row>
    <row r="39" spans="1:19" s="27" customFormat="1" ht="28.5" hidden="1" outlineLevel="1" x14ac:dyDescent="0.2">
      <c r="A39" s="715"/>
      <c r="B39" s="513">
        <v>14</v>
      </c>
      <c r="C39" s="511" t="s">
        <v>61</v>
      </c>
      <c r="D39" s="512" t="s">
        <v>33</v>
      </c>
      <c r="E39" s="512">
        <v>0</v>
      </c>
      <c r="F39" s="498">
        <f>'[3]LDC - Results (Net)'!$I$24</f>
        <v>0</v>
      </c>
      <c r="G39" s="498">
        <f>'[3]LDC - Results (Net)'!$N24</f>
        <v>0</v>
      </c>
      <c r="H39" s="499"/>
      <c r="I39" s="499"/>
      <c r="J39" s="499"/>
      <c r="K39" s="499"/>
      <c r="L39" s="499"/>
      <c r="M39" s="499"/>
      <c r="N39" s="499"/>
      <c r="O39" s="499"/>
      <c r="P39" s="501">
        <f t="shared" si="1"/>
        <v>0</v>
      </c>
      <c r="Q39" s="4"/>
    </row>
    <row r="40" spans="1:19" s="27" customFormat="1" ht="14.25" hidden="1" outlineLevel="1" x14ac:dyDescent="0.2">
      <c r="A40" s="715"/>
      <c r="B40" s="510">
        <v>15</v>
      </c>
      <c r="C40" s="511" t="s">
        <v>10</v>
      </c>
      <c r="D40" s="512" t="s">
        <v>33</v>
      </c>
      <c r="E40" s="512">
        <v>0</v>
      </c>
      <c r="F40" s="498">
        <f>'[3]LDC - Results (Net)'!$I$25</f>
        <v>0</v>
      </c>
      <c r="G40" s="498">
        <f>'[3]LDC - Results (Net)'!$N25</f>
        <v>0</v>
      </c>
      <c r="H40" s="499"/>
      <c r="I40" s="500"/>
      <c r="J40" s="500"/>
      <c r="K40" s="500"/>
      <c r="L40" s="500"/>
      <c r="M40" s="500"/>
      <c r="N40" s="500"/>
      <c r="O40" s="500"/>
      <c r="P40" s="501">
        <f t="shared" si="1"/>
        <v>0</v>
      </c>
      <c r="Q40" s="4"/>
    </row>
    <row r="41" spans="1:19" s="27" customFormat="1" ht="15" outlineLevel="1" x14ac:dyDescent="0.2">
      <c r="A41" s="715"/>
      <c r="B41" s="267"/>
      <c r="C41" s="250" t="s">
        <v>255</v>
      </c>
      <c r="D41" s="247" t="s">
        <v>254</v>
      </c>
      <c r="E41" s="247"/>
      <c r="F41" s="252">
        <f>'[3]LDC - Adjustments (Net)'!$I$27</f>
        <v>-0.89200000000000002</v>
      </c>
      <c r="G41" s="252">
        <f>'[3]LDC - Adjustments (Net)'!$N$27</f>
        <v>22.83</v>
      </c>
      <c r="H41" s="499"/>
      <c r="I41" s="289">
        <v>1</v>
      </c>
      <c r="J41" s="500"/>
      <c r="K41" s="500"/>
      <c r="L41" s="500"/>
      <c r="M41" s="500"/>
      <c r="N41" s="500"/>
      <c r="O41" s="500"/>
      <c r="P41" s="246">
        <f t="shared" si="1"/>
        <v>1</v>
      </c>
      <c r="Q41" s="4"/>
    </row>
    <row r="42" spans="1:19" s="27" customFormat="1" ht="15" hidden="1" outlineLevel="1" x14ac:dyDescent="0.2">
      <c r="A42" s="715"/>
      <c r="B42" s="510"/>
      <c r="C42" s="707"/>
      <c r="D42" s="707"/>
      <c r="E42" s="535"/>
      <c r="F42" s="498"/>
      <c r="G42" s="498"/>
      <c r="H42" s="499"/>
      <c r="I42" s="500"/>
      <c r="J42" s="500"/>
      <c r="K42" s="500"/>
      <c r="L42" s="500"/>
      <c r="M42" s="500"/>
      <c r="N42" s="500"/>
      <c r="O42" s="500"/>
      <c r="P42" s="501"/>
      <c r="Q42" s="4"/>
    </row>
    <row r="43" spans="1:19" s="27" customFormat="1" ht="15" hidden="1" outlineLevel="1" x14ac:dyDescent="0.2">
      <c r="A43" s="715"/>
      <c r="B43" s="510"/>
      <c r="C43" s="707"/>
      <c r="D43" s="707"/>
      <c r="E43" s="535"/>
      <c r="F43" s="536"/>
      <c r="G43" s="536"/>
      <c r="H43" s="499"/>
      <c r="I43" s="500"/>
      <c r="J43" s="500"/>
      <c r="K43" s="500"/>
      <c r="L43" s="500"/>
      <c r="M43" s="500"/>
      <c r="N43" s="500"/>
      <c r="O43" s="500"/>
      <c r="P43" s="501"/>
      <c r="Q43" s="4"/>
    </row>
    <row r="44" spans="1:19" s="21" customFormat="1" ht="18" hidden="1" customHeight="1" outlineLevel="1" x14ac:dyDescent="0.25">
      <c r="A44" s="715"/>
      <c r="B44" s="242"/>
      <c r="C44" s="701" t="s">
        <v>11</v>
      </c>
      <c r="D44" s="701"/>
      <c r="E44" s="243"/>
      <c r="F44" s="244"/>
      <c r="G44" s="244"/>
      <c r="H44" s="243"/>
      <c r="I44" s="243"/>
      <c r="J44" s="509"/>
      <c r="K44" s="509"/>
      <c r="L44" s="509"/>
      <c r="M44" s="509"/>
      <c r="N44" s="509"/>
      <c r="O44" s="243"/>
      <c r="P44" s="245"/>
      <c r="Q44" s="138"/>
    </row>
    <row r="45" spans="1:19" s="27" customFormat="1" ht="14.25" hidden="1" outlineLevel="1" x14ac:dyDescent="0.2">
      <c r="A45" s="715"/>
      <c r="B45" s="513">
        <v>16</v>
      </c>
      <c r="C45" s="511" t="s">
        <v>12</v>
      </c>
      <c r="D45" s="512" t="s">
        <v>33</v>
      </c>
      <c r="E45" s="512">
        <v>12</v>
      </c>
      <c r="F45" s="502">
        <f>'[3]LDC - Results (Net)'!$I$30</f>
        <v>0</v>
      </c>
      <c r="G45" s="502">
        <f>'[3]LDC - Results (Net)'!$N30</f>
        <v>0</v>
      </c>
      <c r="H45" s="499"/>
      <c r="I45" s="500"/>
      <c r="J45" s="500"/>
      <c r="K45" s="500"/>
      <c r="L45" s="500"/>
      <c r="M45" s="500"/>
      <c r="N45" s="500"/>
      <c r="O45" s="500"/>
      <c r="P45" s="501">
        <f t="shared" ref="P45:P50" si="2">SUM(H45:O45)</f>
        <v>0</v>
      </c>
      <c r="Q45" s="4"/>
    </row>
    <row r="46" spans="1:19" s="27" customFormat="1" ht="14.25" hidden="1" outlineLevel="1" x14ac:dyDescent="0.2">
      <c r="A46" s="715"/>
      <c r="B46" s="513">
        <v>17</v>
      </c>
      <c r="C46" s="511" t="s">
        <v>13</v>
      </c>
      <c r="D46" s="512" t="s">
        <v>33</v>
      </c>
      <c r="E46" s="512">
        <v>12</v>
      </c>
      <c r="F46" s="498">
        <f>'[3]LDC - Results (Net)'!$I$31</f>
        <v>0</v>
      </c>
      <c r="G46" s="498">
        <f>'[3]LDC - Results (Net)'!$N31</f>
        <v>0</v>
      </c>
      <c r="H46" s="499"/>
      <c r="I46" s="500"/>
      <c r="J46" s="500"/>
      <c r="K46" s="500"/>
      <c r="L46" s="500"/>
      <c r="M46" s="500"/>
      <c r="N46" s="500"/>
      <c r="O46" s="500"/>
      <c r="P46" s="501">
        <f t="shared" si="2"/>
        <v>0</v>
      </c>
      <c r="Q46" s="4"/>
    </row>
    <row r="47" spans="1:19" s="27" customFormat="1" ht="14.25" hidden="1" outlineLevel="1" x14ac:dyDescent="0.2">
      <c r="A47" s="715"/>
      <c r="B47" s="513">
        <v>18</v>
      </c>
      <c r="C47" s="511" t="s">
        <v>14</v>
      </c>
      <c r="D47" s="512" t="s">
        <v>33</v>
      </c>
      <c r="E47" s="512">
        <v>12</v>
      </c>
      <c r="F47" s="498">
        <f>'[3]LDC - Results (Net)'!$I$32</f>
        <v>0</v>
      </c>
      <c r="G47" s="498">
        <f>'[3]LDC - Results (Net)'!$N32</f>
        <v>0</v>
      </c>
      <c r="H47" s="499"/>
      <c r="I47" s="500"/>
      <c r="J47" s="500"/>
      <c r="K47" s="500"/>
      <c r="L47" s="500"/>
      <c r="M47" s="500"/>
      <c r="N47" s="500"/>
      <c r="O47" s="500"/>
      <c r="P47" s="501">
        <f t="shared" si="2"/>
        <v>0</v>
      </c>
      <c r="Q47" s="4"/>
    </row>
    <row r="48" spans="1:19" s="27" customFormat="1" ht="14.25" hidden="1" outlineLevel="1" x14ac:dyDescent="0.2">
      <c r="A48" s="715"/>
      <c r="B48" s="513">
        <v>19</v>
      </c>
      <c r="C48" s="514" t="s">
        <v>26</v>
      </c>
      <c r="D48" s="512" t="s">
        <v>33</v>
      </c>
      <c r="E48" s="512">
        <v>12</v>
      </c>
      <c r="F48" s="498">
        <f>'[3]LDC - Results (Net)'!$I$33</f>
        <v>0</v>
      </c>
      <c r="G48" s="498">
        <f>'[3]LDC - Results (Net)'!$N33</f>
        <v>0</v>
      </c>
      <c r="H48" s="499"/>
      <c r="I48" s="500"/>
      <c r="J48" s="500"/>
      <c r="K48" s="500"/>
      <c r="L48" s="500"/>
      <c r="M48" s="500"/>
      <c r="N48" s="500"/>
      <c r="O48" s="500"/>
      <c r="P48" s="501">
        <f t="shared" si="2"/>
        <v>0</v>
      </c>
      <c r="Q48" s="4"/>
    </row>
    <row r="49" spans="1:17" s="27" customFormat="1" ht="14.25" hidden="1" outlineLevel="1" x14ac:dyDescent="0.2">
      <c r="A49" s="715"/>
      <c r="B49" s="513">
        <v>20</v>
      </c>
      <c r="C49" s="511" t="s">
        <v>10</v>
      </c>
      <c r="D49" s="512" t="s">
        <v>33</v>
      </c>
      <c r="E49" s="512">
        <v>0</v>
      </c>
      <c r="F49" s="498">
        <f>'[3]LDC - Results (Net)'!$I$34</f>
        <v>0</v>
      </c>
      <c r="G49" s="498">
        <f>'[3]LDC - Results (Net)'!$N34</f>
        <v>0</v>
      </c>
      <c r="H49" s="499"/>
      <c r="I49" s="500"/>
      <c r="J49" s="500"/>
      <c r="K49" s="500"/>
      <c r="L49" s="500"/>
      <c r="M49" s="500"/>
      <c r="N49" s="500"/>
      <c r="O49" s="500"/>
      <c r="P49" s="501">
        <f t="shared" si="2"/>
        <v>0</v>
      </c>
      <c r="Q49" s="4"/>
    </row>
    <row r="50" spans="1:17" s="27" customFormat="1" ht="15" hidden="1" outlineLevel="1" x14ac:dyDescent="0.2">
      <c r="A50" s="715"/>
      <c r="B50" s="513"/>
      <c r="C50" s="515" t="s">
        <v>255</v>
      </c>
      <c r="D50" s="512" t="s">
        <v>254</v>
      </c>
      <c r="E50" s="512"/>
      <c r="F50" s="498">
        <f>'[3]LDC - Adjustments (Net)'!$I$35</f>
        <v>0</v>
      </c>
      <c r="G50" s="498">
        <f>'[3]LDC - Adjustments (Net)'!$N$35</f>
        <v>0</v>
      </c>
      <c r="H50" s="499"/>
      <c r="I50" s="500"/>
      <c r="J50" s="500"/>
      <c r="K50" s="500"/>
      <c r="L50" s="500"/>
      <c r="M50" s="500"/>
      <c r="N50" s="500"/>
      <c r="O50" s="500"/>
      <c r="P50" s="501">
        <f t="shared" si="2"/>
        <v>0</v>
      </c>
      <c r="Q50" s="4"/>
    </row>
    <row r="51" spans="1:17" s="27" customFormat="1" ht="15" hidden="1" outlineLevel="1" x14ac:dyDescent="0.2">
      <c r="A51" s="715"/>
      <c r="B51" s="513"/>
      <c r="C51" s="707"/>
      <c r="D51" s="707"/>
      <c r="E51" s="535"/>
      <c r="F51" s="498"/>
      <c r="G51" s="498"/>
      <c r="H51" s="499"/>
      <c r="I51" s="503"/>
      <c r="J51" s="503"/>
      <c r="K51" s="503"/>
      <c r="L51" s="503"/>
      <c r="M51" s="503"/>
      <c r="N51" s="503"/>
      <c r="O51" s="503"/>
      <c r="P51" s="501"/>
      <c r="Q51" s="4"/>
    </row>
    <row r="52" spans="1:17" s="27" customFormat="1" ht="15" hidden="1" outlineLevel="1" x14ac:dyDescent="0.2">
      <c r="A52" s="715"/>
      <c r="B52" s="513"/>
      <c r="C52" s="707"/>
      <c r="D52" s="707"/>
      <c r="E52" s="535"/>
      <c r="F52" s="536"/>
      <c r="G52" s="536"/>
      <c r="H52" s="499"/>
      <c r="I52" s="503"/>
      <c r="J52" s="503"/>
      <c r="K52" s="503"/>
      <c r="L52" s="503"/>
      <c r="M52" s="503"/>
      <c r="N52" s="503"/>
      <c r="O52" s="503"/>
      <c r="P52" s="501"/>
      <c r="Q52" s="4"/>
    </row>
    <row r="53" spans="1:17" s="21" customFormat="1" ht="20.25" hidden="1" customHeight="1" outlineLevel="1" x14ac:dyDescent="0.25">
      <c r="A53" s="715"/>
      <c r="B53" s="242"/>
      <c r="C53" s="701" t="s">
        <v>15</v>
      </c>
      <c r="D53" s="701"/>
      <c r="E53" s="243"/>
      <c r="F53" s="244"/>
      <c r="G53" s="244"/>
      <c r="H53" s="244"/>
      <c r="I53" s="244"/>
      <c r="J53" s="508"/>
      <c r="K53" s="508"/>
      <c r="L53" s="508"/>
      <c r="M53" s="508"/>
      <c r="N53" s="508"/>
      <c r="O53" s="244"/>
      <c r="P53" s="245"/>
      <c r="Q53" s="138"/>
    </row>
    <row r="54" spans="1:17" s="27" customFormat="1" ht="14.25" hidden="1" outlineLevel="1" x14ac:dyDescent="0.2">
      <c r="A54" s="715"/>
      <c r="B54" s="510">
        <v>21</v>
      </c>
      <c r="C54" s="511" t="s">
        <v>15</v>
      </c>
      <c r="D54" s="512" t="s">
        <v>33</v>
      </c>
      <c r="E54" s="512"/>
      <c r="F54" s="502">
        <f>'[3]LDC - Results (Net)'!$I$38</f>
        <v>0</v>
      </c>
      <c r="G54" s="502">
        <f>'[3]LDC - Results (Net)'!$N$38</f>
        <v>0</v>
      </c>
      <c r="H54" s="500"/>
      <c r="I54" s="503"/>
      <c r="J54" s="503"/>
      <c r="K54" s="503"/>
      <c r="L54" s="503"/>
      <c r="M54" s="503"/>
      <c r="N54" s="503"/>
      <c r="O54" s="503"/>
      <c r="P54" s="501">
        <f t="shared" ref="P54:P55" si="3">SUM(H54:O54)</f>
        <v>0</v>
      </c>
      <c r="Q54" s="4"/>
    </row>
    <row r="55" spans="1:17" s="27" customFormat="1" ht="15" hidden="1" outlineLevel="1" x14ac:dyDescent="0.2">
      <c r="A55" s="715"/>
      <c r="B55" s="510"/>
      <c r="C55" s="515" t="s">
        <v>255</v>
      </c>
      <c r="D55" s="512" t="s">
        <v>254</v>
      </c>
      <c r="E55" s="512"/>
      <c r="F55" s="498">
        <f>'[3]LDC - Adjustments (Net)'!$I$39</f>
        <v>0</v>
      </c>
      <c r="G55" s="498">
        <f>'[3]LDC - Adjustments (Net)'!$N$39</f>
        <v>0</v>
      </c>
      <c r="H55" s="499"/>
      <c r="I55" s="503"/>
      <c r="J55" s="503"/>
      <c r="K55" s="503"/>
      <c r="L55" s="503"/>
      <c r="M55" s="503"/>
      <c r="N55" s="503"/>
      <c r="O55" s="503"/>
      <c r="P55" s="501">
        <f t="shared" si="3"/>
        <v>0</v>
      </c>
      <c r="Q55" s="4"/>
    </row>
    <row r="56" spans="1:17" s="27" customFormat="1" ht="15" hidden="1" outlineLevel="1" x14ac:dyDescent="0.2">
      <c r="A56" s="715"/>
      <c r="B56" s="510"/>
      <c r="C56" s="707"/>
      <c r="D56" s="707"/>
      <c r="E56" s="535"/>
      <c r="F56" s="498"/>
      <c r="G56" s="498"/>
      <c r="H56" s="499"/>
      <c r="I56" s="503"/>
      <c r="J56" s="503"/>
      <c r="K56" s="503"/>
      <c r="L56" s="503"/>
      <c r="M56" s="503"/>
      <c r="N56" s="503"/>
      <c r="O56" s="503"/>
      <c r="P56" s="501"/>
      <c r="Q56" s="4"/>
    </row>
    <row r="57" spans="1:17" s="27" customFormat="1" ht="15" hidden="1" outlineLevel="1" x14ac:dyDescent="0.2">
      <c r="A57" s="715"/>
      <c r="B57" s="510"/>
      <c r="C57" s="707"/>
      <c r="D57" s="707"/>
      <c r="E57" s="535"/>
      <c r="F57" s="536"/>
      <c r="G57" s="536"/>
      <c r="H57" s="499"/>
      <c r="I57" s="503"/>
      <c r="J57" s="503"/>
      <c r="K57" s="503"/>
      <c r="L57" s="503"/>
      <c r="M57" s="503"/>
      <c r="N57" s="503"/>
      <c r="O57" s="503"/>
      <c r="P57" s="501"/>
      <c r="Q57" s="4"/>
    </row>
    <row r="58" spans="1:17" s="21" customFormat="1" ht="18.75" customHeight="1" outlineLevel="1" x14ac:dyDescent="0.25">
      <c r="A58" s="715"/>
      <c r="B58" s="242"/>
      <c r="C58" s="701" t="s">
        <v>16</v>
      </c>
      <c r="D58" s="701"/>
      <c r="E58" s="243"/>
      <c r="F58" s="244"/>
      <c r="G58" s="244"/>
      <c r="H58" s="244"/>
      <c r="I58" s="244"/>
      <c r="J58" s="508"/>
      <c r="K58" s="508"/>
      <c r="L58" s="508"/>
      <c r="M58" s="508"/>
      <c r="N58" s="508"/>
      <c r="O58" s="244"/>
      <c r="P58" s="245"/>
      <c r="Q58" s="138"/>
    </row>
    <row r="59" spans="1:17" s="27" customFormat="1" ht="14.25" outlineLevel="1" x14ac:dyDescent="0.2">
      <c r="A59" s="715"/>
      <c r="B59" s="267">
        <v>22</v>
      </c>
      <c r="C59" s="249" t="s">
        <v>17</v>
      </c>
      <c r="D59" s="247" t="s">
        <v>33</v>
      </c>
      <c r="E59" s="247"/>
      <c r="F59" s="290">
        <f>'[3]LDC - Results (Net)'!$I$47</f>
        <v>30.131</v>
      </c>
      <c r="G59" s="290">
        <f>'[3]LDC - Results (Net)'!$N47</f>
        <v>165617.94899999999</v>
      </c>
      <c r="H59" s="500"/>
      <c r="I59" s="500"/>
      <c r="J59" s="500"/>
      <c r="K59" s="500"/>
      <c r="L59" s="500"/>
      <c r="M59" s="500"/>
      <c r="N59" s="500"/>
      <c r="O59" s="289">
        <v>1</v>
      </c>
      <c r="P59" s="246">
        <f t="shared" ref="P59:P63" si="4">SUM(H59:O59)</f>
        <v>1</v>
      </c>
      <c r="Q59" s="4"/>
    </row>
    <row r="60" spans="1:17" s="27" customFormat="1" ht="14.25" outlineLevel="1" x14ac:dyDescent="0.2">
      <c r="A60" s="715"/>
      <c r="B60" s="267">
        <v>23</v>
      </c>
      <c r="C60" s="249" t="s">
        <v>18</v>
      </c>
      <c r="D60" s="247" t="s">
        <v>33</v>
      </c>
      <c r="E60" s="247"/>
      <c r="F60" s="252">
        <f>'[3]LDC - Results (Net)'!$I$48</f>
        <v>17.989000000000001</v>
      </c>
      <c r="G60" s="252">
        <f>'[3]LDC - Results (Net)'!$N48</f>
        <v>92389.58</v>
      </c>
      <c r="H60" s="500"/>
      <c r="I60" s="500"/>
      <c r="J60" s="500"/>
      <c r="K60" s="500"/>
      <c r="L60" s="500"/>
      <c r="M60" s="500"/>
      <c r="N60" s="500"/>
      <c r="O60" s="289">
        <v>1</v>
      </c>
      <c r="P60" s="246">
        <f t="shared" si="4"/>
        <v>1</v>
      </c>
      <c r="Q60" s="4"/>
    </row>
    <row r="61" spans="1:17" s="27" customFormat="1" ht="14.25" hidden="1" outlineLevel="1" x14ac:dyDescent="0.2">
      <c r="A61" s="715"/>
      <c r="B61" s="510">
        <v>24</v>
      </c>
      <c r="C61" s="511" t="s">
        <v>19</v>
      </c>
      <c r="D61" s="512" t="s">
        <v>33</v>
      </c>
      <c r="E61" s="512"/>
      <c r="F61" s="498">
        <f>'[3]LDC - Results (Net)'!$I$49</f>
        <v>0</v>
      </c>
      <c r="G61" s="498">
        <f>'[3]LDC - Results (Net)'!$N49</f>
        <v>0</v>
      </c>
      <c r="H61" s="500"/>
      <c r="I61" s="500"/>
      <c r="J61" s="500"/>
      <c r="K61" s="500"/>
      <c r="L61" s="500"/>
      <c r="M61" s="500"/>
      <c r="N61" s="500"/>
      <c r="O61" s="500"/>
      <c r="P61" s="501">
        <f t="shared" si="4"/>
        <v>0</v>
      </c>
      <c r="Q61" s="4"/>
    </row>
    <row r="62" spans="1:17" s="27" customFormat="1" ht="14.25" hidden="1" outlineLevel="1" x14ac:dyDescent="0.2">
      <c r="A62" s="715"/>
      <c r="B62" s="510">
        <v>25</v>
      </c>
      <c r="C62" s="511" t="s">
        <v>20</v>
      </c>
      <c r="D62" s="512" t="s">
        <v>33</v>
      </c>
      <c r="E62" s="512"/>
      <c r="F62" s="498">
        <f>'[3]LDC - Results (Net)'!$I$50</f>
        <v>0</v>
      </c>
      <c r="G62" s="498">
        <f>'[3]LDC - Results (Net)'!$N50</f>
        <v>0</v>
      </c>
      <c r="H62" s="500"/>
      <c r="I62" s="500"/>
      <c r="J62" s="500"/>
      <c r="K62" s="500"/>
      <c r="L62" s="500"/>
      <c r="M62" s="500"/>
      <c r="N62" s="500"/>
      <c r="O62" s="500"/>
      <c r="P62" s="501">
        <f t="shared" si="4"/>
        <v>0</v>
      </c>
      <c r="Q62" s="4"/>
    </row>
    <row r="63" spans="1:17" s="27" customFormat="1" ht="15" outlineLevel="1" x14ac:dyDescent="0.2">
      <c r="A63" s="715"/>
      <c r="B63" s="267"/>
      <c r="C63" s="250" t="s">
        <v>255</v>
      </c>
      <c r="D63" s="247" t="s">
        <v>254</v>
      </c>
      <c r="E63" s="247"/>
      <c r="F63" s="252">
        <f>'[3]LDC - Adjustments (Net)'!$I$52</f>
        <v>4.1929999999999996</v>
      </c>
      <c r="G63" s="252">
        <f>'[3]LDC - Adjustments (Net)'!$N$52</f>
        <v>21537.171999999999</v>
      </c>
      <c r="H63" s="500"/>
      <c r="I63" s="500"/>
      <c r="J63" s="500"/>
      <c r="K63" s="500"/>
      <c r="L63" s="500"/>
      <c r="M63" s="500"/>
      <c r="N63" s="500"/>
      <c r="O63" s="289">
        <v>1</v>
      </c>
      <c r="P63" s="246">
        <f t="shared" si="4"/>
        <v>1</v>
      </c>
      <c r="Q63" s="4"/>
    </row>
    <row r="64" spans="1:17" s="27" customFormat="1" ht="15" hidden="1" outlineLevel="1" x14ac:dyDescent="0.2">
      <c r="A64" s="715"/>
      <c r="B64" s="510"/>
      <c r="C64" s="707"/>
      <c r="D64" s="707"/>
      <c r="E64" s="535"/>
      <c r="F64" s="498"/>
      <c r="G64" s="498"/>
      <c r="H64" s="499"/>
      <c r="I64" s="503"/>
      <c r="J64" s="503"/>
      <c r="K64" s="503"/>
      <c r="L64" s="503"/>
      <c r="M64" s="503"/>
      <c r="N64" s="503"/>
      <c r="O64" s="503"/>
      <c r="P64" s="501"/>
      <c r="Q64" s="4"/>
    </row>
    <row r="65" spans="1:18" s="27" customFormat="1" ht="15" hidden="1" outlineLevel="1" x14ac:dyDescent="0.2">
      <c r="A65" s="715"/>
      <c r="B65" s="510"/>
      <c r="C65" s="707"/>
      <c r="D65" s="707"/>
      <c r="E65" s="535"/>
      <c r="F65" s="498"/>
      <c r="G65" s="498"/>
      <c r="H65" s="499"/>
      <c r="I65" s="503"/>
      <c r="J65" s="503"/>
      <c r="K65" s="503"/>
      <c r="L65" s="503"/>
      <c r="M65" s="503"/>
      <c r="N65" s="503"/>
      <c r="O65" s="503"/>
      <c r="P65" s="501"/>
      <c r="Q65" s="4"/>
    </row>
    <row r="66" spans="1:18" s="27" customFormat="1" ht="15" hidden="1" outlineLevel="1" x14ac:dyDescent="0.2">
      <c r="A66" s="715"/>
      <c r="B66" s="510"/>
      <c r="C66" s="712"/>
      <c r="D66" s="712"/>
      <c r="E66" s="539"/>
      <c r="F66" s="536"/>
      <c r="G66" s="536"/>
      <c r="H66" s="499"/>
      <c r="I66" s="503"/>
      <c r="J66" s="503"/>
      <c r="K66" s="503"/>
      <c r="L66" s="503"/>
      <c r="M66" s="503"/>
      <c r="N66" s="503"/>
      <c r="O66" s="503"/>
      <c r="P66" s="501"/>
      <c r="Q66" s="4"/>
    </row>
    <row r="67" spans="1:18" s="27" customFormat="1" ht="15" collapsed="1" x14ac:dyDescent="0.2">
      <c r="A67" s="715"/>
      <c r="B67" s="338"/>
      <c r="C67" s="697" t="s">
        <v>222</v>
      </c>
      <c r="D67" s="697"/>
      <c r="E67" s="339"/>
      <c r="F67" s="520"/>
      <c r="G67" s="340">
        <f>SUM(G22:G66)</f>
        <v>1037102.201</v>
      </c>
      <c r="H67" s="341">
        <f>SUMPRODUCT($G22:$G66,H22:H66)</f>
        <v>205553.74999999997</v>
      </c>
      <c r="I67" s="341">
        <f>SUMPRODUCT($G22:$G66,I22:I66)</f>
        <v>498563.3236</v>
      </c>
      <c r="J67" s="517"/>
      <c r="K67" s="517"/>
      <c r="L67" s="517"/>
      <c r="M67" s="517"/>
      <c r="N67" s="517"/>
      <c r="O67" s="341">
        <f>SUMPRODUCT($G22:$G66,O22:O66)</f>
        <v>332985.1274</v>
      </c>
      <c r="P67" s="343">
        <f>SUM(H67:O67)</f>
        <v>1037102.201</v>
      </c>
      <c r="Q67" s="4"/>
      <c r="R67" s="528" t="s">
        <v>518</v>
      </c>
    </row>
    <row r="68" spans="1:18" s="27" customFormat="1" ht="15" x14ac:dyDescent="0.2">
      <c r="A68" s="715"/>
      <c r="B68" s="461"/>
      <c r="C68" s="462" t="s">
        <v>502</v>
      </c>
      <c r="D68" s="462"/>
      <c r="E68" s="463"/>
      <c r="F68" s="521"/>
      <c r="G68" s="464">
        <f>G67-G28-G39-G40-G49</f>
        <v>1037102.201</v>
      </c>
      <c r="H68" s="465">
        <f>H67-(G28*H28)</f>
        <v>205553.74999999997</v>
      </c>
      <c r="I68" s="465">
        <f>I67-SUM(G39*I39,G40*I40)</f>
        <v>498563.3236</v>
      </c>
      <c r="J68" s="518"/>
      <c r="K68" s="518"/>
      <c r="L68" s="518"/>
      <c r="M68" s="518"/>
      <c r="N68" s="518"/>
      <c r="O68" s="465">
        <f>O67-SUM(M39*O39,M40*O40)</f>
        <v>332985.1274</v>
      </c>
      <c r="P68" s="343">
        <f>SUM(H68:O68)</f>
        <v>1037102.201</v>
      </c>
      <c r="Q68" s="4"/>
      <c r="R68" s="528">
        <f>P67-P68-G28-G39-G40-G49</f>
        <v>0</v>
      </c>
    </row>
    <row r="69" spans="1:18" s="27" customFormat="1" ht="15" x14ac:dyDescent="0.2">
      <c r="A69" s="715"/>
      <c r="B69" s="268"/>
      <c r="C69" s="698" t="s">
        <v>318</v>
      </c>
      <c r="D69" s="698"/>
      <c r="E69" s="262"/>
      <c r="F69" s="519"/>
      <c r="G69" s="519"/>
      <c r="H69" s="516"/>
      <c r="I69" s="516"/>
      <c r="J69" s="516">
        <f>SUM($E$34*$F$34*J34,$E$35*$F$35*J35,$E$36*$F$36*J36,$E$37*$F$37*J37,$E$38*$F$38*J38,$E$45*$F$45*J45,$E$46*$F$46*J46,$E$47*$F$47*J47,$E$48*$F$48*J48,$F$59*J59,$F$60*J60,$F$61*J61,$F$62*J62)</f>
        <v>0</v>
      </c>
      <c r="K69" s="516">
        <f>SUM($E$34*$F$34*K34,$E$35*$F$35*K35,$E$36*$F$36*K36,$E$37*$F$37*K37,$E$38*$F$38*K38,$E$45*$F$45*K45,$E$46*$F$46*K46,$E$47*$F$47*K47,$E$48*$F$48*K48,$F$59*K59,$F$60*K60,$F$61*K61,$F$62*K62)</f>
        <v>0</v>
      </c>
      <c r="L69" s="516"/>
      <c r="M69" s="516"/>
      <c r="N69" s="516"/>
      <c r="O69" s="262">
        <f>SUMPRODUCT(E22:E63,F22:F63,O22:O63)-E39*F39*O39-E40*F40*O40-E49*F49*N49</f>
        <v>129.03120000000001</v>
      </c>
      <c r="P69" s="269">
        <f>SUM(H69:O69)</f>
        <v>129.03120000000001</v>
      </c>
      <c r="Q69" s="4"/>
    </row>
    <row r="70" spans="1:18" s="27" customFormat="1" ht="15" x14ac:dyDescent="0.2">
      <c r="A70" s="715"/>
      <c r="B70" s="268"/>
      <c r="C70" s="698" t="s">
        <v>498</v>
      </c>
      <c r="D70" s="698"/>
      <c r="E70" s="262"/>
      <c r="F70" s="519"/>
      <c r="G70" s="519"/>
      <c r="H70" s="516"/>
      <c r="I70" s="516"/>
      <c r="J70" s="516">
        <f>J69-($E$36*$F$36*J36)</f>
        <v>0</v>
      </c>
      <c r="K70" s="516">
        <f>K69-($E$36*$F$36*K36)</f>
        <v>0</v>
      </c>
      <c r="L70" s="516"/>
      <c r="M70" s="516"/>
      <c r="N70" s="516"/>
      <c r="O70" s="262">
        <f>O69-E36*F36*O36</f>
        <v>129.03120000000001</v>
      </c>
      <c r="P70" s="269">
        <f>SUM(H70:O70)</f>
        <v>129.03120000000001</v>
      </c>
      <c r="Q70" s="4"/>
    </row>
    <row r="71" spans="1:18" s="27" customFormat="1" ht="15" x14ac:dyDescent="0.2">
      <c r="A71" s="715"/>
      <c r="B71" s="270"/>
      <c r="C71" s="699"/>
      <c r="D71" s="699"/>
      <c r="E71" s="255"/>
      <c r="F71" s="253"/>
      <c r="G71" s="253"/>
      <c r="H71" s="545" t="s">
        <v>35</v>
      </c>
      <c r="I71" s="545" t="s">
        <v>35</v>
      </c>
      <c r="J71" s="253"/>
      <c r="K71" s="255"/>
      <c r="L71" s="255"/>
      <c r="M71" s="255"/>
      <c r="N71" s="255"/>
      <c r="O71" s="545" t="s">
        <v>36</v>
      </c>
      <c r="P71" s="271"/>
      <c r="Q71" s="4"/>
    </row>
    <row r="72" spans="1:18" s="6" customFormat="1" ht="15" x14ac:dyDescent="0.2">
      <c r="A72" s="715"/>
      <c r="B72" s="270"/>
      <c r="C72" s="700" t="s">
        <v>320</v>
      </c>
      <c r="D72" s="700"/>
      <c r="E72" s="247"/>
      <c r="F72" s="257"/>
      <c r="G72" s="247"/>
      <c r="H72" s="258">
        <f>'3.  Distribution Rates'!E33</f>
        <v>1.2699999999999998E-2</v>
      </c>
      <c r="I72" s="258">
        <f>'3.  Distribution Rates'!E34</f>
        <v>1.3599999999999999E-2</v>
      </c>
      <c r="J72" s="522">
        <f>'3.  Distribution Rates'!E35</f>
        <v>0</v>
      </c>
      <c r="K72" s="522">
        <f>'3.  Distribution Rates'!E36</f>
        <v>0</v>
      </c>
      <c r="L72" s="522">
        <f>'3.  Distribution Rates'!E37</f>
        <v>0</v>
      </c>
      <c r="M72" s="522">
        <f>'3.  Distribution Rates'!E38</f>
        <v>17.904966666666667</v>
      </c>
      <c r="N72" s="522">
        <f>'3.  Distribution Rates'!E39</f>
        <v>1.61E-2</v>
      </c>
      <c r="O72" s="258">
        <f>'3.  Distribution Rates'!E40</f>
        <v>2.5594666666666668</v>
      </c>
      <c r="P72" s="272"/>
      <c r="Q72" s="139"/>
    </row>
    <row r="73" spans="1:18" s="27" customFormat="1" ht="15" x14ac:dyDescent="0.2">
      <c r="A73" s="715"/>
      <c r="B73" s="270"/>
      <c r="C73" s="699" t="s">
        <v>62</v>
      </c>
      <c r="D73" s="699"/>
      <c r="E73" s="255"/>
      <c r="F73" s="257"/>
      <c r="G73" s="247"/>
      <c r="H73" s="259">
        <f>H67*H72</f>
        <v>2610.5326249999994</v>
      </c>
      <c r="I73" s="259">
        <f>I67*I72</f>
        <v>6780.4612009599996</v>
      </c>
      <c r="J73" s="523">
        <f>J69*J72</f>
        <v>0</v>
      </c>
      <c r="K73" s="523">
        <f>K69*K72</f>
        <v>0</v>
      </c>
      <c r="L73" s="523">
        <f>L69*L72</f>
        <v>0</v>
      </c>
      <c r="M73" s="523">
        <f>M69*M72</f>
        <v>0</v>
      </c>
      <c r="N73" s="523">
        <f>N67*N72</f>
        <v>0</v>
      </c>
      <c r="O73" s="259">
        <f>O69*O72</f>
        <v>330.25105536000007</v>
      </c>
      <c r="P73" s="273">
        <f>SUM(H73:O73)</f>
        <v>9721.244881319999</v>
      </c>
      <c r="Q73" s="4"/>
    </row>
    <row r="74" spans="1:18" s="27" customFormat="1" ht="15" x14ac:dyDescent="0.2">
      <c r="A74" s="715"/>
      <c r="B74" s="270"/>
      <c r="C74" s="700" t="s">
        <v>63</v>
      </c>
      <c r="D74" s="700"/>
      <c r="E74" s="255"/>
      <c r="F74" s="253"/>
      <c r="G74" s="253"/>
      <c r="H74" s="247">
        <f>H68*'6.  Persistence Rates'!$E$25</f>
        <v>205553.74999999997</v>
      </c>
      <c r="I74" s="247">
        <f>I68*'6.  Persistence Rates'!$E$25</f>
        <v>498563.3236</v>
      </c>
      <c r="J74" s="512">
        <f>J70*'6.  Persistence Rates'!Q25</f>
        <v>0</v>
      </c>
      <c r="K74" s="524">
        <f>K70*'6.  Persistence Rates'!Q25</f>
        <v>0</v>
      </c>
      <c r="L74" s="524">
        <f>L69*'6.  Persistence Rates'!Q25</f>
        <v>0</v>
      </c>
      <c r="M74" s="524">
        <f>M69*'6.  Persistence Rates'!Q25</f>
        <v>0</v>
      </c>
      <c r="N74" s="524">
        <f>N67*'6.  Persistence Rates'!E25</f>
        <v>0</v>
      </c>
      <c r="O74" s="247">
        <f>O70*'6.  Persistence Rates'!$Q$25</f>
        <v>129.03120000000001</v>
      </c>
      <c r="P74" s="271"/>
      <c r="Q74" s="4"/>
    </row>
    <row r="75" spans="1:18" s="27" customFormat="1" ht="15" x14ac:dyDescent="0.2">
      <c r="A75" s="715"/>
      <c r="B75" s="270"/>
      <c r="C75" s="700" t="s">
        <v>64</v>
      </c>
      <c r="D75" s="700"/>
      <c r="E75" s="255"/>
      <c r="F75" s="253"/>
      <c r="G75" s="253"/>
      <c r="H75" s="247">
        <f>H68*'6.  Persistence Rates'!$F$25</f>
        <v>200530.44232649071</v>
      </c>
      <c r="I75" s="247">
        <f>I68*'6.  Persistence Rates'!$F$25</f>
        <v>486379.4691620724</v>
      </c>
      <c r="J75" s="512">
        <f>J70*'6.  Persistence Rates'!R25</f>
        <v>0</v>
      </c>
      <c r="K75" s="524">
        <f>K70*'6.  Persistence Rates'!R25</f>
        <v>0</v>
      </c>
      <c r="L75" s="524">
        <f>L69*'6.  Persistence Rates'!R25</f>
        <v>0</v>
      </c>
      <c r="M75" s="524">
        <f>M69*'6.  Persistence Rates'!R25</f>
        <v>0</v>
      </c>
      <c r="N75" s="524">
        <f>N67*'6.  Persistence Rates'!F25</f>
        <v>0</v>
      </c>
      <c r="O75" s="247">
        <f>O70*'6.  Persistence Rates'!$R$25</f>
        <v>125.57886020066891</v>
      </c>
      <c r="P75" s="271"/>
      <c r="Q75" s="4"/>
    </row>
    <row r="76" spans="1:18" s="27" customFormat="1" ht="15" x14ac:dyDescent="0.2">
      <c r="A76" s="715"/>
      <c r="B76" s="270"/>
      <c r="C76" s="700" t="s">
        <v>65</v>
      </c>
      <c r="D76" s="700"/>
      <c r="E76" s="255"/>
      <c r="F76" s="253"/>
      <c r="G76" s="253"/>
      <c r="H76" s="247">
        <f>$H$68*'6.  Persistence Rates'!$G$25</f>
        <v>166572.88245356793</v>
      </c>
      <c r="I76" s="247">
        <f>$I$68*'6.  Persistence Rates'!$G$25</f>
        <v>404016.61316168134</v>
      </c>
      <c r="J76" s="512">
        <f>$J$70*'6.  Persistence Rates'!$S$25</f>
        <v>0</v>
      </c>
      <c r="K76" s="524">
        <f>$K$70*'6.  Persistence Rates'!$S$25</f>
        <v>0</v>
      </c>
      <c r="L76" s="524">
        <f>$L$69*'6.  Persistence Rates'!$S$25</f>
        <v>0</v>
      </c>
      <c r="M76" s="524">
        <f>$M$69*'6.  Persistence Rates'!$S$25</f>
        <v>0</v>
      </c>
      <c r="N76" s="524">
        <f>$N$67*'6.  Persistence Rates'!$G$25</f>
        <v>0</v>
      </c>
      <c r="O76" s="247">
        <f>O70*'6.  Persistence Rates'!$S$25</f>
        <v>99.254769230769242</v>
      </c>
      <c r="P76" s="271"/>
      <c r="Q76" s="4"/>
    </row>
    <row r="77" spans="1:18" s="27" customFormat="1" ht="15" x14ac:dyDescent="0.2">
      <c r="A77" s="715"/>
      <c r="B77" s="270"/>
      <c r="C77" s="700" t="s">
        <v>417</v>
      </c>
      <c r="D77" s="700"/>
      <c r="E77" s="255"/>
      <c r="F77" s="253"/>
      <c r="G77" s="253"/>
      <c r="H77" s="247">
        <f>$H$68*'6.  Persistence Rates'!$H$25</f>
        <v>162122.13361782758</v>
      </c>
      <c r="I77" s="247">
        <f>$I$68*'6.  Persistence Rates'!$H$25</f>
        <v>393221.47985929437</v>
      </c>
      <c r="J77" s="512">
        <f>$J$70*'6.  Persistence Rates'!$S$25</f>
        <v>0</v>
      </c>
      <c r="K77" s="524">
        <f>$K$70*'6.  Persistence Rates'!$S$25</f>
        <v>0</v>
      </c>
      <c r="L77" s="524">
        <f>$L$69*'6.  Persistence Rates'!$S$25</f>
        <v>0</v>
      </c>
      <c r="M77" s="524">
        <f>$M$69*'6.  Persistence Rates'!$S$25</f>
        <v>0</v>
      </c>
      <c r="N77" s="524">
        <f>$N$67*'6.  Persistence Rates'!$G$25</f>
        <v>0</v>
      </c>
      <c r="O77" s="247">
        <f>O70*'6.  Persistence Rates'!$T$25</f>
        <v>98.176536546141861</v>
      </c>
      <c r="P77" s="271"/>
      <c r="Q77" s="4"/>
    </row>
    <row r="78" spans="1:18" s="27" customFormat="1" ht="15" hidden="1" x14ac:dyDescent="0.2">
      <c r="A78" s="715"/>
      <c r="B78" s="270"/>
      <c r="C78" s="571" t="s">
        <v>418</v>
      </c>
      <c r="D78" s="571"/>
      <c r="E78" s="524"/>
      <c r="F78" s="572"/>
      <c r="G78" s="572"/>
      <c r="H78" s="512">
        <v>0</v>
      </c>
      <c r="I78" s="512">
        <v>0</v>
      </c>
      <c r="J78" s="512">
        <v>0</v>
      </c>
      <c r="K78" s="512">
        <v>0</v>
      </c>
      <c r="L78" s="512">
        <v>0</v>
      </c>
      <c r="M78" s="512">
        <v>0</v>
      </c>
      <c r="N78" s="512">
        <v>0</v>
      </c>
      <c r="O78" s="512">
        <v>0</v>
      </c>
      <c r="P78" s="573"/>
      <c r="Q78" s="4"/>
    </row>
    <row r="79" spans="1:18" s="27" customFormat="1" ht="15" hidden="1" x14ac:dyDescent="0.2">
      <c r="A79" s="715"/>
      <c r="B79" s="270"/>
      <c r="C79" s="571" t="s">
        <v>419</v>
      </c>
      <c r="D79" s="571"/>
      <c r="E79" s="524"/>
      <c r="F79" s="572"/>
      <c r="G79" s="572"/>
      <c r="H79" s="512">
        <v>0</v>
      </c>
      <c r="I79" s="512">
        <v>0</v>
      </c>
      <c r="J79" s="512">
        <v>0</v>
      </c>
      <c r="K79" s="512">
        <v>0</v>
      </c>
      <c r="L79" s="512">
        <v>0</v>
      </c>
      <c r="M79" s="512">
        <v>0</v>
      </c>
      <c r="N79" s="512">
        <v>0</v>
      </c>
      <c r="O79" s="512">
        <v>0</v>
      </c>
      <c r="P79" s="573"/>
      <c r="Q79" s="4"/>
    </row>
    <row r="80" spans="1:18" s="27" customFormat="1" ht="15" hidden="1" x14ac:dyDescent="0.2">
      <c r="A80" s="715"/>
      <c r="B80" s="270"/>
      <c r="C80" s="571" t="s">
        <v>420</v>
      </c>
      <c r="D80" s="571"/>
      <c r="E80" s="524"/>
      <c r="F80" s="572"/>
      <c r="G80" s="572"/>
      <c r="H80" s="512">
        <v>0</v>
      </c>
      <c r="I80" s="512">
        <v>0</v>
      </c>
      <c r="J80" s="512">
        <v>0</v>
      </c>
      <c r="K80" s="512">
        <v>0</v>
      </c>
      <c r="L80" s="512">
        <v>0</v>
      </c>
      <c r="M80" s="512">
        <v>0</v>
      </c>
      <c r="N80" s="512">
        <v>0</v>
      </c>
      <c r="O80" s="512">
        <v>0</v>
      </c>
      <c r="P80" s="573"/>
      <c r="Q80" s="4"/>
    </row>
    <row r="81" spans="1:18" s="27" customFormat="1" ht="15" hidden="1" x14ac:dyDescent="0.2">
      <c r="A81" s="715"/>
      <c r="B81" s="270"/>
      <c r="C81" s="571" t="s">
        <v>421</v>
      </c>
      <c r="D81" s="571"/>
      <c r="E81" s="524"/>
      <c r="F81" s="572"/>
      <c r="G81" s="572"/>
      <c r="H81" s="512">
        <v>0</v>
      </c>
      <c r="I81" s="512">
        <v>0</v>
      </c>
      <c r="J81" s="512">
        <v>0</v>
      </c>
      <c r="K81" s="512">
        <v>0</v>
      </c>
      <c r="L81" s="512">
        <v>0</v>
      </c>
      <c r="M81" s="512">
        <v>0</v>
      </c>
      <c r="N81" s="512">
        <v>0</v>
      </c>
      <c r="O81" s="512">
        <v>0</v>
      </c>
      <c r="P81" s="573"/>
      <c r="Q81" s="4"/>
    </row>
    <row r="82" spans="1:18" ht="15.75" hidden="1" customHeight="1" x14ac:dyDescent="0.25">
      <c r="A82" s="715"/>
      <c r="B82" s="381"/>
      <c r="C82" s="574" t="s">
        <v>422</v>
      </c>
      <c r="D82" s="575"/>
      <c r="E82" s="575"/>
      <c r="F82" s="576"/>
      <c r="G82" s="576"/>
      <c r="H82" s="577">
        <v>0</v>
      </c>
      <c r="I82" s="577">
        <v>0</v>
      </c>
      <c r="J82" s="577">
        <v>0</v>
      </c>
      <c r="K82" s="577">
        <v>0</v>
      </c>
      <c r="L82" s="577">
        <v>0</v>
      </c>
      <c r="M82" s="577">
        <v>0</v>
      </c>
      <c r="N82" s="577">
        <v>0</v>
      </c>
      <c r="O82" s="577">
        <v>0</v>
      </c>
      <c r="P82" s="578"/>
      <c r="Q82" s="143"/>
      <c r="R82" s="27"/>
    </row>
    <row r="83" spans="1:18" x14ac:dyDescent="0.25">
      <c r="B83" s="69"/>
      <c r="C83" s="256"/>
      <c r="D83" s="141"/>
      <c r="E83" s="141"/>
      <c r="F83" s="142"/>
      <c r="G83" s="142"/>
      <c r="H83" s="66"/>
      <c r="I83" s="66"/>
      <c r="J83" s="66"/>
      <c r="K83" s="66"/>
      <c r="L83" s="66"/>
      <c r="M83" s="66"/>
      <c r="N83" s="66"/>
      <c r="O83" s="66"/>
      <c r="P83" s="66"/>
      <c r="Q83" s="143"/>
    </row>
    <row r="84" spans="1:18" x14ac:dyDescent="0.25">
      <c r="B84" s="69"/>
      <c r="C84" s="140"/>
      <c r="D84" s="69"/>
      <c r="E84" s="69"/>
      <c r="F84" s="66"/>
      <c r="G84" s="66"/>
      <c r="H84" s="66"/>
      <c r="I84" s="66"/>
      <c r="J84" s="66"/>
      <c r="K84" s="66"/>
      <c r="L84" s="66"/>
      <c r="M84" s="66"/>
      <c r="N84" s="66"/>
      <c r="O84" s="66"/>
      <c r="P84" s="66"/>
      <c r="Q84" s="66"/>
    </row>
    <row r="85" spans="1:18" x14ac:dyDescent="0.25">
      <c r="B85" s="706" t="s">
        <v>353</v>
      </c>
      <c r="C85" s="706"/>
      <c r="D85" s="706"/>
      <c r="E85" s="706"/>
      <c r="F85" s="706"/>
      <c r="G85" s="706"/>
      <c r="H85" s="706"/>
      <c r="I85" s="706"/>
      <c r="J85" s="706"/>
      <c r="K85" s="706"/>
      <c r="L85" s="706"/>
      <c r="M85" s="706"/>
      <c r="N85" s="706"/>
      <c r="O85" s="706"/>
      <c r="P85" s="706"/>
      <c r="Q85" s="66"/>
    </row>
    <row r="86" spans="1:18" ht="18" x14ac:dyDescent="0.25">
      <c r="B86" s="144"/>
      <c r="C86" s="145"/>
      <c r="D86" s="144"/>
      <c r="E86" s="144"/>
      <c r="F86" s="101"/>
      <c r="G86" s="144"/>
      <c r="H86" s="144"/>
      <c r="I86" s="144"/>
      <c r="J86" s="144"/>
      <c r="K86" s="144"/>
      <c r="L86" s="144"/>
      <c r="M86" s="144"/>
      <c r="N86" s="144"/>
      <c r="O86" s="144"/>
      <c r="P86" s="144"/>
      <c r="Q86" s="66"/>
    </row>
    <row r="87" spans="1:18" ht="45" x14ac:dyDescent="0.25">
      <c r="A87" s="716">
        <v>2012</v>
      </c>
      <c r="B87" s="693" t="s">
        <v>58</v>
      </c>
      <c r="C87" s="695" t="s">
        <v>0</v>
      </c>
      <c r="D87" s="695" t="s">
        <v>44</v>
      </c>
      <c r="E87" s="695" t="s">
        <v>206</v>
      </c>
      <c r="F87" s="265" t="s">
        <v>45</v>
      </c>
      <c r="G87" s="265" t="s">
        <v>203</v>
      </c>
      <c r="H87" s="703" t="s">
        <v>59</v>
      </c>
      <c r="I87" s="704"/>
      <c r="J87" s="704"/>
      <c r="K87" s="704"/>
      <c r="L87" s="704"/>
      <c r="M87" s="704"/>
      <c r="N87" s="704"/>
      <c r="O87" s="704"/>
      <c r="P87" s="705"/>
      <c r="Q87" s="66"/>
    </row>
    <row r="88" spans="1:18" ht="45" x14ac:dyDescent="0.25">
      <c r="A88" s="716"/>
      <c r="B88" s="710"/>
      <c r="C88" s="696"/>
      <c r="D88" s="696"/>
      <c r="E88" s="696"/>
      <c r="F88" s="136" t="s">
        <v>92</v>
      </c>
      <c r="G88" s="136" t="s">
        <v>93</v>
      </c>
      <c r="H88" s="136" t="s">
        <v>37</v>
      </c>
      <c r="I88" s="136" t="s">
        <v>39</v>
      </c>
      <c r="J88" s="526" t="s">
        <v>107</v>
      </c>
      <c r="K88" s="526" t="s">
        <v>108</v>
      </c>
      <c r="L88" s="526" t="s">
        <v>40</v>
      </c>
      <c r="M88" s="526" t="s">
        <v>41</v>
      </c>
      <c r="N88" s="526" t="s">
        <v>42</v>
      </c>
      <c r="O88" s="136" t="s">
        <v>505</v>
      </c>
      <c r="P88" s="365" t="s">
        <v>34</v>
      </c>
      <c r="Q88" s="66"/>
    </row>
    <row r="89" spans="1:18" s="21" customFormat="1" ht="19.5" customHeight="1" outlineLevel="1" x14ac:dyDescent="0.25">
      <c r="A89" s="716"/>
      <c r="B89" s="359"/>
      <c r="C89" s="708" t="s">
        <v>1</v>
      </c>
      <c r="D89" s="708"/>
      <c r="E89" s="360"/>
      <c r="F89" s="361"/>
      <c r="G89" s="361"/>
      <c r="H89" s="361"/>
      <c r="I89" s="361"/>
      <c r="J89" s="527"/>
      <c r="K89" s="527"/>
      <c r="L89" s="527"/>
      <c r="M89" s="527"/>
      <c r="N89" s="527"/>
      <c r="O89" s="361"/>
      <c r="P89" s="362"/>
      <c r="Q89" s="138"/>
    </row>
    <row r="90" spans="1:18" ht="15" outlineLevel="1" x14ac:dyDescent="0.25">
      <c r="A90" s="716"/>
      <c r="B90" s="267">
        <v>1</v>
      </c>
      <c r="C90" s="249" t="s">
        <v>2</v>
      </c>
      <c r="D90" s="247" t="s">
        <v>33</v>
      </c>
      <c r="E90" s="247"/>
      <c r="F90" s="290">
        <f>'[3]LDC - Results (Net)'!$J$7</f>
        <v>4.5380000000000003</v>
      </c>
      <c r="G90" s="290">
        <f>'[3]LDC - Results (Net)'!$O7</f>
        <v>27028.694</v>
      </c>
      <c r="H90" s="289">
        <v>1</v>
      </c>
      <c r="I90" s="503"/>
      <c r="J90" s="503"/>
      <c r="K90" s="503"/>
      <c r="L90" s="503"/>
      <c r="M90" s="503"/>
      <c r="N90" s="503"/>
      <c r="O90" s="503"/>
      <c r="P90" s="246">
        <f>SUM(H90:O90)</f>
        <v>1</v>
      </c>
      <c r="Q90" s="66"/>
    </row>
    <row r="91" spans="1:18" ht="15" outlineLevel="1" x14ac:dyDescent="0.25">
      <c r="A91" s="716"/>
      <c r="B91" s="267">
        <v>2</v>
      </c>
      <c r="C91" s="249" t="s">
        <v>3</v>
      </c>
      <c r="D91" s="247" t="s">
        <v>33</v>
      </c>
      <c r="E91" s="247"/>
      <c r="F91" s="290">
        <f>'[3]LDC - Results (Net)'!$J$8</f>
        <v>0.38500000000000001</v>
      </c>
      <c r="G91" s="290">
        <f>'[3]LDC - Results (Net)'!$O8</f>
        <v>683.49599999999998</v>
      </c>
      <c r="H91" s="289">
        <v>1</v>
      </c>
      <c r="I91" s="503"/>
      <c r="J91" s="503"/>
      <c r="K91" s="503"/>
      <c r="L91" s="503"/>
      <c r="M91" s="503"/>
      <c r="N91" s="503"/>
      <c r="O91" s="503"/>
      <c r="P91" s="246">
        <f t="shared" ref="P91:P99" si="5">SUM(H91:O91)</f>
        <v>1</v>
      </c>
      <c r="Q91" s="66"/>
    </row>
    <row r="92" spans="1:18" ht="15" outlineLevel="1" x14ac:dyDescent="0.25">
      <c r="A92" s="716"/>
      <c r="B92" s="267">
        <v>3</v>
      </c>
      <c r="C92" s="249" t="s">
        <v>4</v>
      </c>
      <c r="D92" s="247" t="s">
        <v>33</v>
      </c>
      <c r="E92" s="247"/>
      <c r="F92" s="290">
        <f>'[3]LDC - Results (Net)'!$J$9</f>
        <v>32.122</v>
      </c>
      <c r="G92" s="290">
        <f>'[3]LDC - Results (Net)'!$O9</f>
        <v>53256.94</v>
      </c>
      <c r="H92" s="289">
        <v>1</v>
      </c>
      <c r="I92" s="503"/>
      <c r="J92" s="503"/>
      <c r="K92" s="503"/>
      <c r="L92" s="503"/>
      <c r="M92" s="503"/>
      <c r="N92" s="503"/>
      <c r="O92" s="503"/>
      <c r="P92" s="246">
        <f t="shared" si="5"/>
        <v>1</v>
      </c>
      <c r="Q92" s="66"/>
    </row>
    <row r="93" spans="1:18" ht="15" outlineLevel="1" x14ac:dyDescent="0.25">
      <c r="A93" s="716"/>
      <c r="B93" s="267">
        <v>4</v>
      </c>
      <c r="C93" s="249" t="s">
        <v>5</v>
      </c>
      <c r="D93" s="247" t="s">
        <v>33</v>
      </c>
      <c r="E93" s="247"/>
      <c r="F93" s="290">
        <f>'[3]LDC - Results (Net)'!$J$10</f>
        <v>0.36499999999999999</v>
      </c>
      <c r="G93" s="290">
        <f>'[3]LDC - Results (Net)'!$O10</f>
        <v>2217.2399999999998</v>
      </c>
      <c r="H93" s="289">
        <v>1</v>
      </c>
      <c r="I93" s="503"/>
      <c r="J93" s="503"/>
      <c r="K93" s="503"/>
      <c r="L93" s="503"/>
      <c r="M93" s="503"/>
      <c r="N93" s="503"/>
      <c r="O93" s="503"/>
      <c r="P93" s="246">
        <f t="shared" si="5"/>
        <v>1</v>
      </c>
      <c r="Q93" s="66"/>
    </row>
    <row r="94" spans="1:18" ht="15" outlineLevel="1" x14ac:dyDescent="0.25">
      <c r="A94" s="716"/>
      <c r="B94" s="267">
        <v>5</v>
      </c>
      <c r="C94" s="249" t="s">
        <v>6</v>
      </c>
      <c r="D94" s="247" t="s">
        <v>33</v>
      </c>
      <c r="E94" s="247"/>
      <c r="F94" s="290">
        <f>'[3]LDC - Results (Net)'!$J$11</f>
        <v>2.347</v>
      </c>
      <c r="G94" s="290">
        <f>'[3]LDC - Results (Net)'!$O11</f>
        <v>42469.832999999999</v>
      </c>
      <c r="H94" s="289">
        <v>1</v>
      </c>
      <c r="I94" s="503"/>
      <c r="J94" s="503"/>
      <c r="K94" s="503"/>
      <c r="L94" s="503"/>
      <c r="M94" s="503"/>
      <c r="N94" s="503"/>
      <c r="O94" s="503"/>
      <c r="P94" s="246">
        <f t="shared" si="5"/>
        <v>1</v>
      </c>
      <c r="Q94" s="66"/>
    </row>
    <row r="95" spans="1:18" ht="15" hidden="1" outlineLevel="1" x14ac:dyDescent="0.25">
      <c r="A95" s="716"/>
      <c r="B95" s="510">
        <v>6</v>
      </c>
      <c r="C95" s="511" t="s">
        <v>7</v>
      </c>
      <c r="D95" s="512" t="s">
        <v>33</v>
      </c>
      <c r="E95" s="512"/>
      <c r="F95" s="502">
        <f>'[3]LDC - Results (Net)'!$J$12</f>
        <v>0</v>
      </c>
      <c r="G95" s="502">
        <f>'[3]LDC - Results (Net)'!$O12</f>
        <v>0</v>
      </c>
      <c r="H95" s="500"/>
      <c r="I95" s="503"/>
      <c r="J95" s="503"/>
      <c r="K95" s="503"/>
      <c r="L95" s="503"/>
      <c r="M95" s="503"/>
      <c r="N95" s="503"/>
      <c r="O95" s="503"/>
      <c r="P95" s="501">
        <f t="shared" si="5"/>
        <v>0</v>
      </c>
      <c r="Q95" s="66"/>
    </row>
    <row r="96" spans="1:18" ht="28.5" hidden="1" outlineLevel="1" x14ac:dyDescent="0.25">
      <c r="A96" s="716"/>
      <c r="B96" s="510">
        <v>7</v>
      </c>
      <c r="C96" s="511" t="s">
        <v>32</v>
      </c>
      <c r="D96" s="512" t="s">
        <v>33</v>
      </c>
      <c r="E96" s="512"/>
      <c r="F96" s="502">
        <f>'[3]LDC - Results (Net)'!$J$13</f>
        <v>0</v>
      </c>
      <c r="G96" s="502">
        <f>'[3]LDC - Results (Net)'!$O13</f>
        <v>0</v>
      </c>
      <c r="H96" s="500"/>
      <c r="I96" s="503"/>
      <c r="J96" s="503"/>
      <c r="K96" s="503"/>
      <c r="L96" s="503"/>
      <c r="M96" s="503"/>
      <c r="N96" s="503"/>
      <c r="O96" s="503"/>
      <c r="P96" s="501">
        <f t="shared" si="5"/>
        <v>0</v>
      </c>
      <c r="Q96" s="66"/>
    </row>
    <row r="97" spans="1:20" ht="15" hidden="1" outlineLevel="1" x14ac:dyDescent="0.25">
      <c r="A97" s="716"/>
      <c r="B97" s="510">
        <v>8</v>
      </c>
      <c r="C97" s="511" t="s">
        <v>25</v>
      </c>
      <c r="D97" s="512" t="s">
        <v>33</v>
      </c>
      <c r="E97" s="512"/>
      <c r="F97" s="502">
        <f>'[3]LDC - Results (Net)'!$J$14</f>
        <v>0</v>
      </c>
      <c r="G97" s="502">
        <f>'[3]LDC - Results (Net)'!$O14</f>
        <v>0</v>
      </c>
      <c r="H97" s="500"/>
      <c r="I97" s="503"/>
      <c r="J97" s="503"/>
      <c r="K97" s="503"/>
      <c r="L97" s="503"/>
      <c r="M97" s="503"/>
      <c r="N97" s="503"/>
      <c r="O97" s="503"/>
      <c r="P97" s="501">
        <f t="shared" si="5"/>
        <v>0</v>
      </c>
      <c r="Q97" s="66"/>
    </row>
    <row r="98" spans="1:20" ht="15" hidden="1" outlineLevel="1" x14ac:dyDescent="0.25">
      <c r="A98" s="716"/>
      <c r="B98" s="510">
        <v>9</v>
      </c>
      <c r="C98" s="511" t="s">
        <v>8</v>
      </c>
      <c r="D98" s="512" t="s">
        <v>33</v>
      </c>
      <c r="E98" s="512"/>
      <c r="F98" s="502">
        <f>'[3]LDC - Results (Net)'!$J$15</f>
        <v>0</v>
      </c>
      <c r="G98" s="502">
        <f>'[3]LDC - Results (Net)'!$O15</f>
        <v>0</v>
      </c>
      <c r="H98" s="500"/>
      <c r="I98" s="503"/>
      <c r="J98" s="503"/>
      <c r="K98" s="503"/>
      <c r="L98" s="503"/>
      <c r="M98" s="503"/>
      <c r="N98" s="503"/>
      <c r="O98" s="503"/>
      <c r="P98" s="501">
        <f t="shared" si="5"/>
        <v>0</v>
      </c>
      <c r="Q98" s="66"/>
    </row>
    <row r="99" spans="1:20" ht="15" outlineLevel="1" x14ac:dyDescent="0.25">
      <c r="A99" s="716"/>
      <c r="B99" s="267"/>
      <c r="C99" s="250" t="s">
        <v>256</v>
      </c>
      <c r="D99" s="247" t="s">
        <v>254</v>
      </c>
      <c r="E99" s="247"/>
      <c r="F99" s="290">
        <f>'[3]LDC - Adjustments (Net)'!$J$16</f>
        <v>0.879</v>
      </c>
      <c r="G99" s="290">
        <f>'[3]LDC - Adjustments (Net)'!$O$16</f>
        <v>1788.7940000000001</v>
      </c>
      <c r="H99" s="287">
        <v>1</v>
      </c>
      <c r="I99" s="503"/>
      <c r="J99" s="503"/>
      <c r="K99" s="503"/>
      <c r="L99" s="503"/>
      <c r="M99" s="503"/>
      <c r="N99" s="503"/>
      <c r="O99" s="503"/>
      <c r="P99" s="246">
        <f t="shared" si="5"/>
        <v>1</v>
      </c>
      <c r="Q99" s="66"/>
    </row>
    <row r="100" spans="1:20" ht="15" hidden="1" outlineLevel="1" x14ac:dyDescent="0.25">
      <c r="A100" s="716"/>
      <c r="B100" s="510"/>
      <c r="C100" s="707"/>
      <c r="D100" s="707"/>
      <c r="E100" s="535"/>
      <c r="F100" s="502"/>
      <c r="G100" s="502"/>
      <c r="H100" s="499"/>
      <c r="I100" s="503"/>
      <c r="J100" s="503"/>
      <c r="K100" s="503"/>
      <c r="L100" s="503"/>
      <c r="M100" s="503"/>
      <c r="N100" s="503"/>
      <c r="O100" s="503"/>
      <c r="P100" s="501"/>
      <c r="Q100" s="66"/>
    </row>
    <row r="101" spans="1:20" ht="15" hidden="1" outlineLevel="1" x14ac:dyDescent="0.25">
      <c r="A101" s="716"/>
      <c r="B101" s="510"/>
      <c r="C101" s="707"/>
      <c r="D101" s="707"/>
      <c r="E101" s="535"/>
      <c r="F101" s="502"/>
      <c r="G101" s="502"/>
      <c r="H101" s="499"/>
      <c r="I101" s="503"/>
      <c r="J101" s="503"/>
      <c r="K101" s="503"/>
      <c r="L101" s="503"/>
      <c r="M101" s="503"/>
      <c r="N101" s="503"/>
      <c r="O101" s="503"/>
      <c r="P101" s="501"/>
      <c r="Q101" s="66"/>
    </row>
    <row r="102" spans="1:20" s="21" customFormat="1" ht="18.75" customHeight="1" outlineLevel="1" x14ac:dyDescent="0.25">
      <c r="A102" s="716"/>
      <c r="B102" s="242"/>
      <c r="C102" s="701" t="s">
        <v>9</v>
      </c>
      <c r="D102" s="701"/>
      <c r="E102" s="243"/>
      <c r="F102" s="244"/>
      <c r="G102" s="244"/>
      <c r="H102" s="244"/>
      <c r="I102" s="244"/>
      <c r="J102" s="508"/>
      <c r="K102" s="508"/>
      <c r="L102" s="508"/>
      <c r="M102" s="508"/>
      <c r="N102" s="508"/>
      <c r="O102" s="244"/>
      <c r="P102" s="245"/>
      <c r="Q102" s="138"/>
      <c r="R102" s="27"/>
      <c r="S102" s="27"/>
    </row>
    <row r="103" spans="1:20" ht="15" outlineLevel="1" x14ac:dyDescent="0.25">
      <c r="A103" s="716"/>
      <c r="B103" s="147">
        <v>10</v>
      </c>
      <c r="C103" s="251" t="s">
        <v>26</v>
      </c>
      <c r="D103" s="247" t="s">
        <v>33</v>
      </c>
      <c r="E103" s="247">
        <v>12</v>
      </c>
      <c r="F103" s="290">
        <f>'[3]LDC - Results (Net)'!$J$19</f>
        <v>76.393000000000001</v>
      </c>
      <c r="G103" s="290">
        <f>'[3]LDC - Results (Net)'!$O19</f>
        <v>411292.58</v>
      </c>
      <c r="H103" s="499"/>
      <c r="I103" s="289">
        <v>0.33300000000000002</v>
      </c>
      <c r="J103" s="500"/>
      <c r="K103" s="500"/>
      <c r="L103" s="503"/>
      <c r="M103" s="503"/>
      <c r="N103" s="503"/>
      <c r="O103" s="288">
        <v>0.66700000000000004</v>
      </c>
      <c r="P103" s="246">
        <f>SUM(H103:O103)</f>
        <v>1</v>
      </c>
      <c r="Q103" s="66"/>
      <c r="T103" s="529">
        <f>E103*F103*O103</f>
        <v>611.44957199999999</v>
      </c>
    </row>
    <row r="104" spans="1:20" ht="15" outlineLevel="1" x14ac:dyDescent="0.25">
      <c r="A104" s="716"/>
      <c r="B104" s="147">
        <v>11</v>
      </c>
      <c r="C104" s="249" t="s">
        <v>24</v>
      </c>
      <c r="D104" s="247" t="s">
        <v>33</v>
      </c>
      <c r="E104" s="247">
        <v>12</v>
      </c>
      <c r="F104" s="290">
        <f>'[3]LDC - Results (Net)'!$J$20</f>
        <v>71.92</v>
      </c>
      <c r="G104" s="290">
        <f>'[3]LDC - Results (Net)'!$O20</f>
        <v>287393.27299999999</v>
      </c>
      <c r="H104" s="499"/>
      <c r="I104" s="289">
        <v>1</v>
      </c>
      <c r="J104" s="500"/>
      <c r="K104" s="500"/>
      <c r="L104" s="503"/>
      <c r="M104" s="503"/>
      <c r="N104" s="503"/>
      <c r="O104" s="503"/>
      <c r="P104" s="246">
        <f>SUM(H104:O104)</f>
        <v>1</v>
      </c>
      <c r="Q104" s="66"/>
      <c r="T104" s="529">
        <f>E104*F104*O104</f>
        <v>0</v>
      </c>
    </row>
    <row r="105" spans="1:20" ht="15" hidden="1" outlineLevel="1" x14ac:dyDescent="0.25">
      <c r="A105" s="716"/>
      <c r="B105" s="513">
        <v>12</v>
      </c>
      <c r="C105" s="511" t="s">
        <v>27</v>
      </c>
      <c r="D105" s="512" t="s">
        <v>33</v>
      </c>
      <c r="E105" s="512">
        <v>3</v>
      </c>
      <c r="F105" s="502">
        <f>'[3]LDC - Results (Net)'!$J$21</f>
        <v>0</v>
      </c>
      <c r="G105" s="502">
        <f>'[3]LDC - Results (Net)'!$O21</f>
        <v>0</v>
      </c>
      <c r="H105" s="499"/>
      <c r="I105" s="500"/>
      <c r="J105" s="500"/>
      <c r="K105" s="500"/>
      <c r="L105" s="503"/>
      <c r="M105" s="503"/>
      <c r="N105" s="503"/>
      <c r="O105" s="503"/>
      <c r="P105" s="501">
        <f t="shared" ref="P105:P111" si="6">SUM(H105:O105)</f>
        <v>0</v>
      </c>
      <c r="Q105" s="66"/>
      <c r="T105" s="529"/>
    </row>
    <row r="106" spans="1:20" ht="15" outlineLevel="1" x14ac:dyDescent="0.25">
      <c r="A106" s="716"/>
      <c r="B106" s="147">
        <v>13</v>
      </c>
      <c r="C106" s="249" t="s">
        <v>28</v>
      </c>
      <c r="D106" s="247" t="s">
        <v>33</v>
      </c>
      <c r="E106" s="247">
        <v>12</v>
      </c>
      <c r="F106" s="290">
        <f>'[3]LDC - Results (Net)'!$J$22</f>
        <v>3.5649999999999999</v>
      </c>
      <c r="G106" s="290">
        <f>'[3]LDC - Results (Net)'!$O22</f>
        <v>13122.69</v>
      </c>
      <c r="H106" s="499"/>
      <c r="I106" s="289">
        <v>1</v>
      </c>
      <c r="J106" s="500"/>
      <c r="K106" s="500"/>
      <c r="L106" s="503"/>
      <c r="M106" s="503"/>
      <c r="N106" s="503"/>
      <c r="O106" s="503"/>
      <c r="P106" s="246">
        <f t="shared" si="6"/>
        <v>1</v>
      </c>
      <c r="Q106" s="66"/>
      <c r="T106" s="529">
        <f>E106*F106*O106</f>
        <v>0</v>
      </c>
    </row>
    <row r="107" spans="1:20" ht="15" outlineLevel="1" x14ac:dyDescent="0.25">
      <c r="A107" s="716"/>
      <c r="B107" s="147">
        <v>14</v>
      </c>
      <c r="C107" s="249" t="s">
        <v>23</v>
      </c>
      <c r="D107" s="247" t="s">
        <v>33</v>
      </c>
      <c r="E107" s="247">
        <v>12</v>
      </c>
      <c r="F107" s="290">
        <f>'[3]LDC - Results (Net)'!$J$23</f>
        <v>5.1769999999999996</v>
      </c>
      <c r="G107" s="290">
        <f>'[3]LDC - Results (Net)'!$O23</f>
        <v>25176.254000000001</v>
      </c>
      <c r="H107" s="499"/>
      <c r="I107" s="289">
        <v>1</v>
      </c>
      <c r="J107" s="500"/>
      <c r="K107" s="500"/>
      <c r="L107" s="503"/>
      <c r="M107" s="503"/>
      <c r="N107" s="503"/>
      <c r="O107" s="503"/>
      <c r="P107" s="246">
        <f t="shared" si="6"/>
        <v>1</v>
      </c>
      <c r="Q107" s="66"/>
      <c r="T107" s="529">
        <f>E107*F107*O107</f>
        <v>0</v>
      </c>
    </row>
    <row r="108" spans="1:20" ht="28.5" hidden="1" outlineLevel="1" x14ac:dyDescent="0.25">
      <c r="A108" s="716"/>
      <c r="B108" s="510">
        <v>15</v>
      </c>
      <c r="C108" s="511" t="s">
        <v>29</v>
      </c>
      <c r="D108" s="512" t="s">
        <v>33</v>
      </c>
      <c r="E108" s="512">
        <v>0</v>
      </c>
      <c r="F108" s="502">
        <f>'[3]LDC - Results (Net)'!$J$24</f>
        <v>0</v>
      </c>
      <c r="G108" s="502">
        <f>'[3]LDC - Results (Net)'!$O24</f>
        <v>0</v>
      </c>
      <c r="H108" s="499"/>
      <c r="I108" s="500"/>
      <c r="J108" s="500"/>
      <c r="K108" s="500"/>
      <c r="L108" s="503"/>
      <c r="M108" s="503"/>
      <c r="N108" s="503"/>
      <c r="O108" s="503"/>
      <c r="P108" s="501">
        <f t="shared" si="6"/>
        <v>0</v>
      </c>
      <c r="Q108" s="66"/>
    </row>
    <row r="109" spans="1:20" ht="28.5" hidden="1" outlineLevel="1" x14ac:dyDescent="0.25">
      <c r="A109" s="716"/>
      <c r="B109" s="510">
        <v>16</v>
      </c>
      <c r="C109" s="511" t="s">
        <v>30</v>
      </c>
      <c r="D109" s="512" t="s">
        <v>33</v>
      </c>
      <c r="E109" s="512">
        <v>0</v>
      </c>
      <c r="F109" s="502">
        <f>'[3]LDC - Results (Net)'!$J$25</f>
        <v>0</v>
      </c>
      <c r="G109" s="502">
        <f>'[3]LDC - Results (Net)'!$O25</f>
        <v>0</v>
      </c>
      <c r="H109" s="499"/>
      <c r="I109" s="500"/>
      <c r="J109" s="500"/>
      <c r="K109" s="500"/>
      <c r="L109" s="503"/>
      <c r="M109" s="503"/>
      <c r="N109" s="503"/>
      <c r="O109" s="503"/>
      <c r="P109" s="501">
        <f t="shared" si="6"/>
        <v>0</v>
      </c>
      <c r="Q109" s="66"/>
    </row>
    <row r="110" spans="1:20" ht="15" hidden="1" outlineLevel="1" x14ac:dyDescent="0.25">
      <c r="A110" s="716"/>
      <c r="B110" s="510">
        <v>17</v>
      </c>
      <c r="C110" s="511" t="s">
        <v>10</v>
      </c>
      <c r="D110" s="512" t="s">
        <v>33</v>
      </c>
      <c r="E110" s="512">
        <v>0</v>
      </c>
      <c r="F110" s="502">
        <f>'[3]LDC - Results (Net)'!$J$26</f>
        <v>0</v>
      </c>
      <c r="G110" s="502">
        <f>'[3]LDC - Results (Net)'!$O26</f>
        <v>0</v>
      </c>
      <c r="H110" s="499"/>
      <c r="I110" s="500"/>
      <c r="J110" s="500"/>
      <c r="K110" s="500"/>
      <c r="L110" s="503"/>
      <c r="M110" s="503"/>
      <c r="N110" s="503"/>
      <c r="O110" s="503"/>
      <c r="P110" s="501">
        <f t="shared" si="6"/>
        <v>0</v>
      </c>
      <c r="Q110" s="66"/>
    </row>
    <row r="111" spans="1:20" ht="15" outlineLevel="1" x14ac:dyDescent="0.25">
      <c r="A111" s="716"/>
      <c r="B111" s="267"/>
      <c r="C111" s="250" t="s">
        <v>256</v>
      </c>
      <c r="D111" s="247" t="s">
        <v>254</v>
      </c>
      <c r="E111" s="247"/>
      <c r="F111" s="290">
        <f>'[3]LDC - Adjustments (Net)'!$J$27</f>
        <v>11.536000000000001</v>
      </c>
      <c r="G111" s="290">
        <f>'[3]LDC - Adjustments (Net)'!$O$27</f>
        <v>56165.661</v>
      </c>
      <c r="H111" s="499"/>
      <c r="I111" s="289">
        <v>0.4</v>
      </c>
      <c r="J111" s="500"/>
      <c r="K111" s="500"/>
      <c r="L111" s="503"/>
      <c r="M111" s="503"/>
      <c r="N111" s="503"/>
      <c r="O111" s="288">
        <v>0.6</v>
      </c>
      <c r="P111" s="246">
        <f t="shared" si="6"/>
        <v>1</v>
      </c>
      <c r="Q111" s="66"/>
    </row>
    <row r="112" spans="1:20" ht="15" hidden="1" outlineLevel="1" x14ac:dyDescent="0.25">
      <c r="A112" s="716"/>
      <c r="B112" s="510"/>
      <c r="C112" s="707"/>
      <c r="D112" s="707"/>
      <c r="E112" s="535"/>
      <c r="F112" s="502"/>
      <c r="G112" s="502"/>
      <c r="H112" s="499"/>
      <c r="I112" s="500"/>
      <c r="J112" s="500"/>
      <c r="K112" s="503"/>
      <c r="L112" s="503"/>
      <c r="M112" s="503"/>
      <c r="N112" s="503"/>
      <c r="O112" s="503"/>
      <c r="P112" s="501"/>
      <c r="Q112" s="66"/>
    </row>
    <row r="113" spans="1:17" ht="15" hidden="1" outlineLevel="1" x14ac:dyDescent="0.25">
      <c r="A113" s="716"/>
      <c r="B113" s="510"/>
      <c r="C113" s="707"/>
      <c r="D113" s="707"/>
      <c r="E113" s="535"/>
      <c r="F113" s="502"/>
      <c r="G113" s="502"/>
      <c r="H113" s="499"/>
      <c r="I113" s="500"/>
      <c r="J113" s="500"/>
      <c r="K113" s="503"/>
      <c r="L113" s="503"/>
      <c r="M113" s="503"/>
      <c r="N113" s="503"/>
      <c r="O113" s="503"/>
      <c r="P113" s="501"/>
      <c r="Q113" s="66"/>
    </row>
    <row r="114" spans="1:17" s="21" customFormat="1" ht="18" hidden="1" customHeight="1" outlineLevel="1" x14ac:dyDescent="0.25">
      <c r="A114" s="716"/>
      <c r="B114" s="242"/>
      <c r="C114" s="701" t="s">
        <v>11</v>
      </c>
      <c r="D114" s="701"/>
      <c r="E114" s="243"/>
      <c r="F114" s="244"/>
      <c r="G114" s="244"/>
      <c r="H114" s="244"/>
      <c r="I114" s="244"/>
      <c r="J114" s="508"/>
      <c r="K114" s="508"/>
      <c r="L114" s="508"/>
      <c r="M114" s="508"/>
      <c r="N114" s="508"/>
      <c r="O114" s="244"/>
      <c r="P114" s="245"/>
      <c r="Q114" s="138"/>
    </row>
    <row r="115" spans="1:17" ht="15" hidden="1" outlineLevel="1" x14ac:dyDescent="0.25">
      <c r="A115" s="716"/>
      <c r="B115" s="513">
        <v>18</v>
      </c>
      <c r="C115" s="511" t="s">
        <v>12</v>
      </c>
      <c r="D115" s="512" t="s">
        <v>33</v>
      </c>
      <c r="E115" s="512">
        <v>12</v>
      </c>
      <c r="F115" s="502">
        <f>'[3]LDC - Results (Net)'!$J$30</f>
        <v>0</v>
      </c>
      <c r="G115" s="502">
        <f>'[3]LDC - Results (Net)'!$O30</f>
        <v>0</v>
      </c>
      <c r="H115" s="499"/>
      <c r="I115" s="503"/>
      <c r="J115" s="500"/>
      <c r="K115" s="500"/>
      <c r="L115" s="503"/>
      <c r="M115" s="503"/>
      <c r="N115" s="503"/>
      <c r="O115" s="503"/>
      <c r="P115" s="501">
        <f t="shared" ref="P115:P120" si="7">SUM(H115:O115)</f>
        <v>0</v>
      </c>
      <c r="Q115" s="66"/>
    </row>
    <row r="116" spans="1:17" ht="15" hidden="1" outlineLevel="1" x14ac:dyDescent="0.25">
      <c r="A116" s="716"/>
      <c r="B116" s="513">
        <v>19</v>
      </c>
      <c r="C116" s="511" t="s">
        <v>13</v>
      </c>
      <c r="D116" s="512" t="s">
        <v>33</v>
      </c>
      <c r="E116" s="512">
        <v>12</v>
      </c>
      <c r="F116" s="502">
        <f>'[3]LDC - Results (Net)'!$J$31</f>
        <v>0</v>
      </c>
      <c r="G116" s="502">
        <f>'[3]LDC - Results (Net)'!$O31</f>
        <v>0</v>
      </c>
      <c r="H116" s="499"/>
      <c r="I116" s="503"/>
      <c r="J116" s="500"/>
      <c r="K116" s="500"/>
      <c r="L116" s="503"/>
      <c r="M116" s="503"/>
      <c r="N116" s="503"/>
      <c r="O116" s="503"/>
      <c r="P116" s="501">
        <f t="shared" si="7"/>
        <v>0</v>
      </c>
      <c r="Q116" s="66"/>
    </row>
    <row r="117" spans="1:17" ht="15" hidden="1" outlineLevel="1" x14ac:dyDescent="0.25">
      <c r="A117" s="716"/>
      <c r="B117" s="513">
        <v>20</v>
      </c>
      <c r="C117" s="511" t="s">
        <v>14</v>
      </c>
      <c r="D117" s="512" t="s">
        <v>33</v>
      </c>
      <c r="E117" s="512">
        <v>12</v>
      </c>
      <c r="F117" s="502">
        <f>'[3]LDC - Results (Net)'!$J$32</f>
        <v>0</v>
      </c>
      <c r="G117" s="502">
        <f>'[3]LDC - Results (Net)'!$O32</f>
        <v>0</v>
      </c>
      <c r="H117" s="499"/>
      <c r="I117" s="503"/>
      <c r="J117" s="500"/>
      <c r="K117" s="500"/>
      <c r="L117" s="503"/>
      <c r="M117" s="503"/>
      <c r="N117" s="503"/>
      <c r="O117" s="503"/>
      <c r="P117" s="501">
        <f t="shared" si="7"/>
        <v>0</v>
      </c>
      <c r="Q117" s="66"/>
    </row>
    <row r="118" spans="1:17" ht="15" hidden="1" outlineLevel="1" x14ac:dyDescent="0.25">
      <c r="A118" s="716"/>
      <c r="B118" s="513">
        <v>21</v>
      </c>
      <c r="C118" s="514" t="s">
        <v>26</v>
      </c>
      <c r="D118" s="512" t="s">
        <v>33</v>
      </c>
      <c r="E118" s="512">
        <v>12</v>
      </c>
      <c r="F118" s="502">
        <f>'[3]LDC - Results (Net)'!$J$33</f>
        <v>0</v>
      </c>
      <c r="G118" s="502">
        <f>'[3]LDC - Results (Net)'!$O33</f>
        <v>0</v>
      </c>
      <c r="H118" s="499"/>
      <c r="I118" s="503"/>
      <c r="J118" s="500"/>
      <c r="K118" s="500"/>
      <c r="L118" s="503"/>
      <c r="M118" s="503"/>
      <c r="N118" s="503"/>
      <c r="O118" s="503"/>
      <c r="P118" s="501">
        <f t="shared" si="7"/>
        <v>0</v>
      </c>
      <c r="Q118" s="66"/>
    </row>
    <row r="119" spans="1:17" ht="15" hidden="1" outlineLevel="1" x14ac:dyDescent="0.25">
      <c r="A119" s="716"/>
      <c r="B119" s="513">
        <v>22</v>
      </c>
      <c r="C119" s="511" t="s">
        <v>10</v>
      </c>
      <c r="D119" s="512" t="s">
        <v>33</v>
      </c>
      <c r="E119" s="512">
        <v>0</v>
      </c>
      <c r="F119" s="502">
        <f>'[3]LDC - Results (Net)'!$J$34</f>
        <v>0</v>
      </c>
      <c r="G119" s="502">
        <f>'[3]LDC - Results (Net)'!$O34</f>
        <v>0</v>
      </c>
      <c r="H119" s="499"/>
      <c r="I119" s="503"/>
      <c r="J119" s="500"/>
      <c r="K119" s="500"/>
      <c r="L119" s="503"/>
      <c r="M119" s="503"/>
      <c r="N119" s="503"/>
      <c r="O119" s="503"/>
      <c r="P119" s="501">
        <f t="shared" si="7"/>
        <v>0</v>
      </c>
      <c r="Q119" s="66"/>
    </row>
    <row r="120" spans="1:17" ht="15" hidden="1" outlineLevel="1" x14ac:dyDescent="0.25">
      <c r="A120" s="716"/>
      <c r="B120" s="513"/>
      <c r="C120" s="515" t="s">
        <v>256</v>
      </c>
      <c r="D120" s="512" t="s">
        <v>254</v>
      </c>
      <c r="E120" s="512"/>
      <c r="F120" s="502">
        <f>'[3]LDC - Adjustments (Net)'!$J$35</f>
        <v>0</v>
      </c>
      <c r="G120" s="502">
        <f>'[3]LDC - Adjustments (Net)'!$O$35</f>
        <v>0</v>
      </c>
      <c r="H120" s="499"/>
      <c r="I120" s="503"/>
      <c r="J120" s="503"/>
      <c r="K120" s="503"/>
      <c r="L120" s="503"/>
      <c r="M120" s="503"/>
      <c r="N120" s="503"/>
      <c r="O120" s="503"/>
      <c r="P120" s="501">
        <f t="shared" si="7"/>
        <v>0</v>
      </c>
      <c r="Q120" s="66"/>
    </row>
    <row r="121" spans="1:17" ht="15" hidden="1" outlineLevel="1" x14ac:dyDescent="0.25">
      <c r="A121" s="716"/>
      <c r="B121" s="513"/>
      <c r="C121" s="707"/>
      <c r="D121" s="707"/>
      <c r="E121" s="535"/>
      <c r="F121" s="502"/>
      <c r="G121" s="502"/>
      <c r="H121" s="499"/>
      <c r="I121" s="503"/>
      <c r="J121" s="503"/>
      <c r="K121" s="503"/>
      <c r="L121" s="503"/>
      <c r="M121" s="503"/>
      <c r="N121" s="503"/>
      <c r="O121" s="503"/>
      <c r="P121" s="501"/>
      <c r="Q121" s="66"/>
    </row>
    <row r="122" spans="1:17" ht="15" hidden="1" outlineLevel="1" x14ac:dyDescent="0.25">
      <c r="A122" s="716"/>
      <c r="B122" s="513"/>
      <c r="C122" s="707"/>
      <c r="D122" s="707"/>
      <c r="E122" s="535"/>
      <c r="F122" s="502"/>
      <c r="G122" s="502"/>
      <c r="H122" s="499"/>
      <c r="I122" s="503"/>
      <c r="J122" s="503"/>
      <c r="K122" s="503"/>
      <c r="L122" s="503"/>
      <c r="M122" s="503"/>
      <c r="N122" s="503"/>
      <c r="O122" s="503"/>
      <c r="P122" s="501"/>
      <c r="Q122" s="66"/>
    </row>
    <row r="123" spans="1:17" ht="15" hidden="1" outlineLevel="1" x14ac:dyDescent="0.25">
      <c r="A123" s="716"/>
      <c r="B123" s="513"/>
      <c r="C123" s="707"/>
      <c r="D123" s="707"/>
      <c r="E123" s="535"/>
      <c r="F123" s="502"/>
      <c r="G123" s="502"/>
      <c r="H123" s="499"/>
      <c r="I123" s="503"/>
      <c r="J123" s="503"/>
      <c r="K123" s="503"/>
      <c r="L123" s="503"/>
      <c r="M123" s="503"/>
      <c r="N123" s="503"/>
      <c r="O123" s="503"/>
      <c r="P123" s="501"/>
      <c r="Q123" s="66"/>
    </row>
    <row r="124" spans="1:17" s="42" customFormat="1" ht="15" outlineLevel="1" x14ac:dyDescent="0.25">
      <c r="A124" s="716"/>
      <c r="B124" s="242"/>
      <c r="C124" s="701" t="s">
        <v>15</v>
      </c>
      <c r="D124" s="701"/>
      <c r="E124" s="243"/>
      <c r="F124" s="244"/>
      <c r="G124" s="244"/>
      <c r="H124" s="244"/>
      <c r="I124" s="244"/>
      <c r="J124" s="508"/>
      <c r="K124" s="508"/>
      <c r="L124" s="508"/>
      <c r="M124" s="508"/>
      <c r="N124" s="508"/>
      <c r="O124" s="244"/>
      <c r="P124" s="245"/>
      <c r="Q124" s="146"/>
    </row>
    <row r="125" spans="1:17" ht="15" outlineLevel="1" x14ac:dyDescent="0.25">
      <c r="A125" s="716"/>
      <c r="B125" s="267">
        <v>23</v>
      </c>
      <c r="C125" s="249" t="s">
        <v>15</v>
      </c>
      <c r="D125" s="247" t="s">
        <v>33</v>
      </c>
      <c r="E125" s="247"/>
      <c r="F125" s="290">
        <f>'[3]LDC - Results (Net)'!$J$38</f>
        <v>7.6999999999999999E-2</v>
      </c>
      <c r="G125" s="290">
        <f>'[3]LDC - Results (Net)'!$O$38</f>
        <v>1484.164</v>
      </c>
      <c r="H125" s="289">
        <v>1</v>
      </c>
      <c r="I125" s="288"/>
      <c r="J125" s="503"/>
      <c r="K125" s="503"/>
      <c r="L125" s="503"/>
      <c r="M125" s="503"/>
      <c r="N125" s="503"/>
      <c r="O125" s="288"/>
      <c r="P125" s="246">
        <f t="shared" ref="P125:P126" si="8">SUM(H125:O125)</f>
        <v>1</v>
      </c>
      <c r="Q125" s="66"/>
    </row>
    <row r="126" spans="1:17" ht="15" hidden="1" outlineLevel="1" x14ac:dyDescent="0.25">
      <c r="A126" s="716"/>
      <c r="B126" s="510"/>
      <c r="C126" s="515" t="s">
        <v>256</v>
      </c>
      <c r="D126" s="512" t="s">
        <v>254</v>
      </c>
      <c r="E126" s="512"/>
      <c r="F126" s="502">
        <f>'[3]LDC - Adjustments (Net)'!$J$39</f>
        <v>0</v>
      </c>
      <c r="G126" s="502">
        <f>'[3]LDC - Adjustments (Net)'!$O$39</f>
        <v>0</v>
      </c>
      <c r="H126" s="499"/>
      <c r="I126" s="503"/>
      <c r="J126" s="503"/>
      <c r="K126" s="503"/>
      <c r="L126" s="503"/>
      <c r="M126" s="503"/>
      <c r="N126" s="503"/>
      <c r="O126" s="503"/>
      <c r="P126" s="501">
        <f t="shared" si="8"/>
        <v>0</v>
      </c>
      <c r="Q126" s="66"/>
    </row>
    <row r="127" spans="1:17" ht="15" hidden="1" outlineLevel="1" x14ac:dyDescent="0.25">
      <c r="A127" s="716"/>
      <c r="B127" s="510"/>
      <c r="C127" s="707"/>
      <c r="D127" s="707"/>
      <c r="E127" s="535"/>
      <c r="F127" s="502"/>
      <c r="G127" s="502"/>
      <c r="H127" s="499"/>
      <c r="I127" s="503"/>
      <c r="J127" s="503"/>
      <c r="K127" s="503"/>
      <c r="L127" s="503"/>
      <c r="M127" s="503"/>
      <c r="N127" s="503"/>
      <c r="O127" s="503"/>
      <c r="P127" s="501"/>
      <c r="Q127" s="66"/>
    </row>
    <row r="128" spans="1:17" ht="15" hidden="1" outlineLevel="1" x14ac:dyDescent="0.25">
      <c r="A128" s="716"/>
      <c r="B128" s="510"/>
      <c r="C128" s="707"/>
      <c r="D128" s="707"/>
      <c r="E128" s="535"/>
      <c r="F128" s="502"/>
      <c r="G128" s="502"/>
      <c r="H128" s="499"/>
      <c r="I128" s="503"/>
      <c r="J128" s="503"/>
      <c r="K128" s="503"/>
      <c r="L128" s="503"/>
      <c r="M128" s="503"/>
      <c r="N128" s="503"/>
      <c r="O128" s="503"/>
      <c r="P128" s="501"/>
      <c r="Q128" s="66"/>
    </row>
    <row r="129" spans="1:17" s="42" customFormat="1" ht="15" outlineLevel="1" x14ac:dyDescent="0.25">
      <c r="A129" s="716"/>
      <c r="B129" s="242"/>
      <c r="C129" s="701" t="s">
        <v>16</v>
      </c>
      <c r="D129" s="701"/>
      <c r="E129" s="243"/>
      <c r="F129" s="244"/>
      <c r="G129" s="244"/>
      <c r="H129" s="244"/>
      <c r="I129" s="244"/>
      <c r="J129" s="508"/>
      <c r="K129" s="508"/>
      <c r="L129" s="508"/>
      <c r="M129" s="508"/>
      <c r="N129" s="508"/>
      <c r="O129" s="244"/>
      <c r="P129" s="245"/>
      <c r="Q129" s="146"/>
    </row>
    <row r="130" spans="1:17" ht="15" hidden="1" outlineLevel="1" x14ac:dyDescent="0.25">
      <c r="A130" s="716"/>
      <c r="B130" s="510">
        <v>24</v>
      </c>
      <c r="C130" s="511" t="s">
        <v>17</v>
      </c>
      <c r="D130" s="512" t="s">
        <v>33</v>
      </c>
      <c r="E130" s="512"/>
      <c r="F130" s="502">
        <f>'[3]LDC - Results (Net)'!$J$47</f>
        <v>0</v>
      </c>
      <c r="G130" s="502">
        <f>'[3]LDC - Results (Net)'!$O47</f>
        <v>0</v>
      </c>
      <c r="H130" s="499"/>
      <c r="I130" s="503"/>
      <c r="J130" s="500"/>
      <c r="K130" s="500"/>
      <c r="L130" s="503"/>
      <c r="M130" s="503"/>
      <c r="N130" s="503"/>
      <c r="O130" s="503"/>
      <c r="P130" s="501">
        <f t="shared" ref="P130:P135" si="9">SUM(H130:O130)</f>
        <v>0</v>
      </c>
      <c r="Q130" s="66"/>
    </row>
    <row r="131" spans="1:17" ht="15" outlineLevel="1" x14ac:dyDescent="0.25">
      <c r="A131" s="716"/>
      <c r="B131" s="267">
        <v>25</v>
      </c>
      <c r="C131" s="249" t="s">
        <v>18</v>
      </c>
      <c r="D131" s="247" t="s">
        <v>33</v>
      </c>
      <c r="E131" s="247"/>
      <c r="F131" s="290">
        <f>'[3]LDC - Results (Net)'!$J$48</f>
        <v>0.17899999999999999</v>
      </c>
      <c r="G131" s="290">
        <f>'[3]LDC - Results (Net)'!$O48</f>
        <v>173.60900000000001</v>
      </c>
      <c r="H131" s="287"/>
      <c r="I131" s="288"/>
      <c r="J131" s="500"/>
      <c r="K131" s="500"/>
      <c r="L131" s="503"/>
      <c r="M131" s="503"/>
      <c r="N131" s="503"/>
      <c r="O131" s="288">
        <v>1</v>
      </c>
      <c r="P131" s="246">
        <f t="shared" si="9"/>
        <v>1</v>
      </c>
      <c r="Q131" s="66"/>
    </row>
    <row r="132" spans="1:17" ht="15" hidden="1" outlineLevel="1" x14ac:dyDescent="0.25">
      <c r="A132" s="716"/>
      <c r="B132" s="510">
        <v>26</v>
      </c>
      <c r="C132" s="511" t="s">
        <v>19</v>
      </c>
      <c r="D132" s="512" t="s">
        <v>33</v>
      </c>
      <c r="E132" s="512"/>
      <c r="F132" s="502">
        <f>'[3]LDC - Results (Net)'!$J$49</f>
        <v>0</v>
      </c>
      <c r="G132" s="502">
        <f>'[3]LDC - Results (Net)'!$O49</f>
        <v>0</v>
      </c>
      <c r="H132" s="499"/>
      <c r="I132" s="503"/>
      <c r="J132" s="500"/>
      <c r="K132" s="500"/>
      <c r="L132" s="503"/>
      <c r="M132" s="503"/>
      <c r="N132" s="503"/>
      <c r="O132" s="503"/>
      <c r="P132" s="501">
        <f t="shared" si="9"/>
        <v>0</v>
      </c>
      <c r="Q132" s="66"/>
    </row>
    <row r="133" spans="1:17" ht="15" hidden="1" outlineLevel="1" x14ac:dyDescent="0.25">
      <c r="A133" s="716"/>
      <c r="B133" s="510">
        <v>27</v>
      </c>
      <c r="C133" s="511" t="s">
        <v>20</v>
      </c>
      <c r="D133" s="512" t="s">
        <v>33</v>
      </c>
      <c r="E133" s="512"/>
      <c r="F133" s="502">
        <f>'[3]LDC - Results (Net)'!$J$50</f>
        <v>0</v>
      </c>
      <c r="G133" s="502">
        <f>'[3]LDC - Results (Net)'!$O50</f>
        <v>0</v>
      </c>
      <c r="H133" s="499"/>
      <c r="I133" s="503"/>
      <c r="J133" s="500"/>
      <c r="K133" s="500"/>
      <c r="L133" s="503"/>
      <c r="M133" s="503"/>
      <c r="N133" s="503"/>
      <c r="O133" s="503"/>
      <c r="P133" s="501">
        <f t="shared" si="9"/>
        <v>0</v>
      </c>
      <c r="Q133" s="66"/>
    </row>
    <row r="134" spans="1:17" ht="15" hidden="1" outlineLevel="1" x14ac:dyDescent="0.25">
      <c r="A134" s="716"/>
      <c r="B134" s="510">
        <v>28</v>
      </c>
      <c r="C134" s="511" t="s">
        <v>103</v>
      </c>
      <c r="D134" s="512" t="s">
        <v>33</v>
      </c>
      <c r="E134" s="512"/>
      <c r="F134" s="502">
        <f>'[3]LDC - Results (Net)'!$J$51</f>
        <v>0</v>
      </c>
      <c r="G134" s="502">
        <f>'[3]LDC - Results (Net)'!$O51</f>
        <v>0</v>
      </c>
      <c r="H134" s="499"/>
      <c r="I134" s="503"/>
      <c r="J134" s="500"/>
      <c r="K134" s="500"/>
      <c r="L134" s="503"/>
      <c r="M134" s="503"/>
      <c r="N134" s="503"/>
      <c r="O134" s="503"/>
      <c r="P134" s="501">
        <f t="shared" si="9"/>
        <v>0</v>
      </c>
      <c r="Q134" s="66"/>
    </row>
    <row r="135" spans="1:17" ht="15" hidden="1" outlineLevel="1" x14ac:dyDescent="0.25">
      <c r="A135" s="716"/>
      <c r="B135" s="510"/>
      <c r="C135" s="515" t="s">
        <v>256</v>
      </c>
      <c r="D135" s="512" t="s">
        <v>254</v>
      </c>
      <c r="E135" s="512"/>
      <c r="F135" s="502">
        <f>'[3]LDC - Adjustments (Net)'!$J$52</f>
        <v>0</v>
      </c>
      <c r="G135" s="502">
        <f>'[3]LDC - Adjustments (Net)'!$O$52</f>
        <v>0</v>
      </c>
      <c r="H135" s="499"/>
      <c r="I135" s="503"/>
      <c r="J135" s="500"/>
      <c r="K135" s="503"/>
      <c r="L135" s="503"/>
      <c r="M135" s="503"/>
      <c r="N135" s="503"/>
      <c r="O135" s="503"/>
      <c r="P135" s="501">
        <f t="shared" si="9"/>
        <v>0</v>
      </c>
      <c r="Q135" s="66"/>
    </row>
    <row r="136" spans="1:17" ht="15" hidden="1" outlineLevel="1" x14ac:dyDescent="0.25">
      <c r="A136" s="716"/>
      <c r="B136" s="510"/>
      <c r="C136" s="707"/>
      <c r="D136" s="707"/>
      <c r="E136" s="535"/>
      <c r="F136" s="502"/>
      <c r="G136" s="502"/>
      <c r="H136" s="499"/>
      <c r="I136" s="503"/>
      <c r="J136" s="500"/>
      <c r="K136" s="503"/>
      <c r="L136" s="503"/>
      <c r="M136" s="503"/>
      <c r="N136" s="503"/>
      <c r="O136" s="503"/>
      <c r="P136" s="501"/>
      <c r="Q136" s="66"/>
    </row>
    <row r="137" spans="1:17" ht="15" hidden="1" outlineLevel="1" x14ac:dyDescent="0.25">
      <c r="A137" s="716"/>
      <c r="B137" s="510"/>
      <c r="C137" s="707"/>
      <c r="D137" s="707"/>
      <c r="E137" s="535"/>
      <c r="F137" s="502"/>
      <c r="G137" s="502"/>
      <c r="H137" s="499"/>
      <c r="I137" s="503"/>
      <c r="J137" s="500"/>
      <c r="K137" s="503"/>
      <c r="L137" s="503"/>
      <c r="M137" s="503"/>
      <c r="N137" s="503"/>
      <c r="O137" s="503"/>
      <c r="P137" s="501"/>
      <c r="Q137" s="66"/>
    </row>
    <row r="138" spans="1:17" ht="15" hidden="1" outlineLevel="1" x14ac:dyDescent="0.25">
      <c r="A138" s="716"/>
      <c r="B138" s="510"/>
      <c r="C138" s="707"/>
      <c r="D138" s="707"/>
      <c r="E138" s="535"/>
      <c r="F138" s="502"/>
      <c r="G138" s="502"/>
      <c r="H138" s="499"/>
      <c r="I138" s="503"/>
      <c r="J138" s="500"/>
      <c r="K138" s="503"/>
      <c r="L138" s="503"/>
      <c r="M138" s="503"/>
      <c r="N138" s="503"/>
      <c r="O138" s="503"/>
      <c r="P138" s="501"/>
      <c r="Q138" s="66"/>
    </row>
    <row r="139" spans="1:17" s="42" customFormat="1" ht="15" hidden="1" outlineLevel="1" x14ac:dyDescent="0.25">
      <c r="A139" s="716"/>
      <c r="B139" s="242"/>
      <c r="C139" s="701" t="s">
        <v>104</v>
      </c>
      <c r="D139" s="701"/>
      <c r="E139" s="243"/>
      <c r="F139" s="244"/>
      <c r="G139" s="244"/>
      <c r="H139" s="244"/>
      <c r="I139" s="244"/>
      <c r="J139" s="508"/>
      <c r="K139" s="508"/>
      <c r="L139" s="508"/>
      <c r="M139" s="508"/>
      <c r="N139" s="508"/>
      <c r="O139" s="244"/>
      <c r="P139" s="245"/>
      <c r="Q139" s="146"/>
    </row>
    <row r="140" spans="1:17" ht="15" hidden="1" outlineLevel="1" x14ac:dyDescent="0.25">
      <c r="A140" s="716"/>
      <c r="B140" s="513">
        <v>29</v>
      </c>
      <c r="C140" s="511" t="s">
        <v>106</v>
      </c>
      <c r="D140" s="512" t="s">
        <v>33</v>
      </c>
      <c r="E140" s="512"/>
      <c r="F140" s="502">
        <f>'[3]LDC - Results (Net)'!$J$55</f>
        <v>0</v>
      </c>
      <c r="G140" s="502">
        <f>'[3]LDC - Results (Net)'!$O55</f>
        <v>0</v>
      </c>
      <c r="H140" s="499"/>
      <c r="I140" s="503"/>
      <c r="J140" s="503"/>
      <c r="K140" s="503"/>
      <c r="L140" s="503"/>
      <c r="M140" s="503"/>
      <c r="N140" s="503"/>
      <c r="O140" s="503"/>
      <c r="P140" s="501">
        <f t="shared" ref="P140:P142" si="10">SUM(H140:O140)</f>
        <v>0</v>
      </c>
      <c r="Q140" s="66"/>
    </row>
    <row r="141" spans="1:17" ht="15" hidden="1" outlineLevel="1" x14ac:dyDescent="0.25">
      <c r="A141" s="716"/>
      <c r="B141" s="513">
        <v>30</v>
      </c>
      <c r="C141" s="511" t="s">
        <v>105</v>
      </c>
      <c r="D141" s="512" t="s">
        <v>33</v>
      </c>
      <c r="E141" s="512"/>
      <c r="F141" s="502">
        <f>'[3]LDC - Results (Net)'!$J$56</f>
        <v>0</v>
      </c>
      <c r="G141" s="502">
        <f>'[3]LDC - Results (Net)'!$O56</f>
        <v>0</v>
      </c>
      <c r="H141" s="499"/>
      <c r="I141" s="503"/>
      <c r="J141" s="503"/>
      <c r="K141" s="503"/>
      <c r="L141" s="503"/>
      <c r="M141" s="503"/>
      <c r="N141" s="503"/>
      <c r="O141" s="503"/>
      <c r="P141" s="501">
        <f t="shared" si="10"/>
        <v>0</v>
      </c>
      <c r="Q141" s="66"/>
    </row>
    <row r="142" spans="1:17" ht="15" outlineLevel="1" x14ac:dyDescent="0.25">
      <c r="A142" s="716"/>
      <c r="B142" s="147"/>
      <c r="C142" s="250" t="s">
        <v>256</v>
      </c>
      <c r="D142" s="247" t="s">
        <v>254</v>
      </c>
      <c r="E142" s="247"/>
      <c r="F142" s="290">
        <f>'[3]LDC - Adjustments (Net)'!$J$58</f>
        <v>59.597999999999999</v>
      </c>
      <c r="G142" s="290">
        <f>'[3]LDC - Adjustments (Net)'!$O$58</f>
        <v>32506.14</v>
      </c>
      <c r="H142" s="287"/>
      <c r="I142" s="289">
        <v>0.6</v>
      </c>
      <c r="J142" s="500"/>
      <c r="K142" s="500"/>
      <c r="L142" s="503"/>
      <c r="M142" s="503"/>
      <c r="N142" s="503"/>
      <c r="O142" s="288">
        <v>0.4</v>
      </c>
      <c r="P142" s="246">
        <f t="shared" si="10"/>
        <v>1</v>
      </c>
      <c r="Q142" s="66"/>
    </row>
    <row r="143" spans="1:17" ht="15" outlineLevel="1" x14ac:dyDescent="0.25">
      <c r="A143" s="716"/>
      <c r="B143" s="513"/>
      <c r="C143" s="707"/>
      <c r="D143" s="707"/>
      <c r="E143" s="535"/>
      <c r="F143" s="502"/>
      <c r="G143" s="502"/>
      <c r="H143" s="499"/>
      <c r="I143" s="503"/>
      <c r="J143" s="503"/>
      <c r="K143" s="503"/>
      <c r="L143" s="503"/>
      <c r="M143" s="503"/>
      <c r="N143" s="503"/>
      <c r="O143" s="503"/>
      <c r="P143" s="501"/>
      <c r="Q143" s="66"/>
    </row>
    <row r="144" spans="1:17" ht="15" outlineLevel="1" x14ac:dyDescent="0.25">
      <c r="A144" s="716"/>
      <c r="B144" s="513"/>
      <c r="C144" s="712"/>
      <c r="D144" s="712"/>
      <c r="E144" s="539"/>
      <c r="F144" s="543"/>
      <c r="G144" s="543"/>
      <c r="H144" s="499"/>
      <c r="I144" s="503"/>
      <c r="J144" s="503"/>
      <c r="K144" s="503"/>
      <c r="L144" s="503"/>
      <c r="M144" s="503"/>
      <c r="N144" s="503"/>
      <c r="O144" s="503"/>
      <c r="P144" s="501"/>
      <c r="Q144" s="66"/>
    </row>
    <row r="145" spans="1:20" ht="15" x14ac:dyDescent="0.25">
      <c r="A145" s="716"/>
      <c r="B145" s="338"/>
      <c r="C145" s="697" t="s">
        <v>222</v>
      </c>
      <c r="D145" s="697"/>
      <c r="E145" s="339"/>
      <c r="F145" s="520"/>
      <c r="G145" s="340">
        <f>SUM(G90:G144)</f>
        <v>954759.36800000002</v>
      </c>
      <c r="H145" s="341">
        <f>SUMPRODUCT(G90:G144,H90:H144)</f>
        <v>128929.16100000001</v>
      </c>
      <c r="I145" s="341">
        <f>SUMPRODUCT(G90:G144,I90:I144)</f>
        <v>504622.59454000002</v>
      </c>
      <c r="J145" s="517"/>
      <c r="K145" s="517"/>
      <c r="L145" s="517"/>
      <c r="M145" s="517"/>
      <c r="N145" s="517"/>
      <c r="O145" s="341">
        <f>SUMPRODUCT(G90:G144,O90:O144)</f>
        <v>321207.61246000003</v>
      </c>
      <c r="P145" s="343">
        <f>SUM(H145:O145)</f>
        <v>954759.36800000002</v>
      </c>
      <c r="Q145" s="66"/>
      <c r="R145" s="528" t="s">
        <v>518</v>
      </c>
    </row>
    <row r="146" spans="1:20" ht="15" x14ac:dyDescent="0.25">
      <c r="A146" s="716"/>
      <c r="B146" s="461"/>
      <c r="C146" s="462" t="s">
        <v>502</v>
      </c>
      <c r="D146" s="462"/>
      <c r="E146" s="463"/>
      <c r="F146" s="521"/>
      <c r="G146" s="464">
        <f>G145-G96-G97-G108-G109-G110-G119</f>
        <v>954759.36800000002</v>
      </c>
      <c r="H146" s="465">
        <f>H145-SUM(G96*H96,G97*H97)</f>
        <v>128929.16100000001</v>
      </c>
      <c r="I146" s="465">
        <f>I145-SUM(G108*I108,G109*I109,G110*I110)</f>
        <v>504622.59454000002</v>
      </c>
      <c r="J146" s="518"/>
      <c r="K146" s="518"/>
      <c r="L146" s="518"/>
      <c r="M146" s="518"/>
      <c r="N146" s="518"/>
      <c r="O146" s="465">
        <f>O145-G119*O119</f>
        <v>321207.61246000003</v>
      </c>
      <c r="P146" s="343">
        <f t="shared" ref="P146:P148" si="11">SUM(H146:O146)</f>
        <v>954759.36800000002</v>
      </c>
      <c r="Q146" s="66"/>
      <c r="R146" s="544">
        <f>P145-P146-G96-G97-G110-G109-G108-G119</f>
        <v>0</v>
      </c>
    </row>
    <row r="147" spans="1:20" ht="15" x14ac:dyDescent="0.25">
      <c r="A147" s="716"/>
      <c r="B147" s="268"/>
      <c r="C147" s="698" t="s">
        <v>318</v>
      </c>
      <c r="D147" s="698"/>
      <c r="E147" s="262"/>
      <c r="F147" s="519"/>
      <c r="G147" s="519"/>
      <c r="H147" s="516"/>
      <c r="I147" s="516"/>
      <c r="J147" s="516">
        <f>SUM($F$103*J103*$E$103,$E$104*$F$104*J104,$E$105*$F$105*J105,$E$106*$F$106*J106,$E$107*$F$107*J107,$F$130*J130,$F$131*J131,$E$115*$F$115*J115,$E$116*$F$116*J116,$E$117*$F$117*J117,$E$118*$F$118*J118,$F$132*J132,$F$133*J133,$F$134*J134)</f>
        <v>0</v>
      </c>
      <c r="K147" s="516">
        <f>SUM($F$103*K103*$E$103,$E$104*$F$104*K104,$E$105*$F$105*K105,$E$106*$F$106*K106,$E$107*$F$107*K107,$F$130*K130,$F$131*K131,$E$115*$F$115*K115,$E$116*$F$116*K116,$E$117*$F$117*K117,$E$118*$F$118*K118,$F$132*K132,$F$133*K133,$F$134*K134)</f>
        <v>0</v>
      </c>
      <c r="L147" s="516"/>
      <c r="M147" s="516"/>
      <c r="N147" s="516"/>
      <c r="O147" s="262">
        <f>SUMPRODUCT(E90:E144,F90:F144,O90:O144)</f>
        <v>611.44957199999999</v>
      </c>
      <c r="P147" s="269">
        <f t="shared" si="11"/>
        <v>611.44957199999999</v>
      </c>
      <c r="Q147" s="66"/>
      <c r="T147" s="544">
        <f>P147-SUM(T103:T107)</f>
        <v>0</v>
      </c>
    </row>
    <row r="148" spans="1:20" ht="15" x14ac:dyDescent="0.25">
      <c r="A148" s="716"/>
      <c r="B148" s="268"/>
      <c r="C148" s="698" t="s">
        <v>498</v>
      </c>
      <c r="D148" s="698"/>
      <c r="E148" s="262"/>
      <c r="F148" s="519"/>
      <c r="G148" s="519"/>
      <c r="H148" s="516"/>
      <c r="I148" s="516"/>
      <c r="J148" s="516">
        <f>J147-($E$105*$F$105*J105)</f>
        <v>0</v>
      </c>
      <c r="K148" s="516">
        <f>K147-($E$105*$F$105*K105)</f>
        <v>0</v>
      </c>
      <c r="L148" s="516"/>
      <c r="M148" s="516"/>
      <c r="N148" s="516"/>
      <c r="O148" s="262">
        <f>O147</f>
        <v>611.44957199999999</v>
      </c>
      <c r="P148" s="269">
        <f t="shared" si="11"/>
        <v>611.44957199999999</v>
      </c>
      <c r="Q148" s="66"/>
    </row>
    <row r="149" spans="1:20" ht="15" x14ac:dyDescent="0.25">
      <c r="A149" s="716"/>
      <c r="B149" s="270"/>
      <c r="C149" s="699"/>
      <c r="D149" s="699"/>
      <c r="E149" s="255"/>
      <c r="F149" s="253"/>
      <c r="G149" s="253"/>
      <c r="H149" s="545" t="s">
        <v>35</v>
      </c>
      <c r="I149" s="545" t="s">
        <v>35</v>
      </c>
      <c r="J149" s="253"/>
      <c r="K149" s="255"/>
      <c r="L149" s="255"/>
      <c r="M149" s="255"/>
      <c r="N149" s="255"/>
      <c r="O149" s="545" t="s">
        <v>36</v>
      </c>
      <c r="P149" s="271"/>
      <c r="Q149" s="66"/>
    </row>
    <row r="150" spans="1:20" ht="15" x14ac:dyDescent="0.25">
      <c r="A150" s="716"/>
      <c r="B150" s="366"/>
      <c r="C150" s="700" t="s">
        <v>321</v>
      </c>
      <c r="D150" s="700"/>
      <c r="E150" s="247"/>
      <c r="F150" s="257"/>
      <c r="G150" s="247"/>
      <c r="H150" s="258">
        <f>'3.  Distribution Rates'!F33</f>
        <v>1.2766666666666667E-2</v>
      </c>
      <c r="I150" s="258">
        <f>'3.  Distribution Rates'!F34</f>
        <v>1.3666666666666667E-2</v>
      </c>
      <c r="J150" s="522">
        <f>'3.  Distribution Rates'!F35</f>
        <v>0</v>
      </c>
      <c r="K150" s="522">
        <f>'3.  Distribution Rates'!F36</f>
        <v>0</v>
      </c>
      <c r="L150" s="522">
        <f>'3.  Distribution Rates'!F37</f>
        <v>0</v>
      </c>
      <c r="M150" s="522">
        <f>'3.  Distribution Rates'!F38</f>
        <v>19.330033333333333</v>
      </c>
      <c r="N150" s="522">
        <f>'3.  Distribution Rates'!F39</f>
        <v>1.6166666666666666E-2</v>
      </c>
      <c r="O150" s="258">
        <f>'3.  Distribution Rates'!F40</f>
        <v>2.5466666666666669</v>
      </c>
      <c r="P150" s="367"/>
      <c r="Q150" s="66"/>
    </row>
    <row r="151" spans="1:20" ht="15" x14ac:dyDescent="0.25">
      <c r="A151" s="716"/>
      <c r="B151" s="366"/>
      <c r="C151" s="700" t="s">
        <v>234</v>
      </c>
      <c r="D151" s="700"/>
      <c r="E151" s="255"/>
      <c r="F151" s="257"/>
      <c r="G151" s="257"/>
      <c r="H151" s="363">
        <f>'4.  2011-14 LRAM'!H74*H150</f>
        <v>2624.2362083333333</v>
      </c>
      <c r="I151" s="363">
        <f>'4.  2011-14 LRAM'!I74*I150</f>
        <v>6813.6987558666669</v>
      </c>
      <c r="J151" s="531">
        <f>'4.  2011-14 LRAM'!J74*J150</f>
        <v>0</v>
      </c>
      <c r="K151" s="531">
        <f>'4.  2011-14 LRAM'!K74*K150</f>
        <v>0</v>
      </c>
      <c r="L151" s="531">
        <f>'4.  2011-14 LRAM'!L74*L150</f>
        <v>0</v>
      </c>
      <c r="M151" s="531">
        <f>'4.  2011-14 LRAM'!M74*M150</f>
        <v>0</v>
      </c>
      <c r="N151" s="531">
        <f>'4.  2011-14 LRAM'!N74*N150</f>
        <v>0</v>
      </c>
      <c r="O151" s="363">
        <f>$O$69*S151*O150</f>
        <v>328.59945600000003</v>
      </c>
      <c r="P151" s="272">
        <f>SUM(H151:O151)</f>
        <v>9766.5344201999997</v>
      </c>
      <c r="Q151" s="66"/>
      <c r="R151" s="529" t="s">
        <v>517</v>
      </c>
      <c r="S151" s="530">
        <f>'6.  Persistence Rates'!Q25</f>
        <v>1</v>
      </c>
    </row>
    <row r="152" spans="1:20" ht="15" x14ac:dyDescent="0.25">
      <c r="A152" s="716"/>
      <c r="B152" s="366"/>
      <c r="C152" s="700" t="s">
        <v>235</v>
      </c>
      <c r="D152" s="700"/>
      <c r="E152" s="255"/>
      <c r="F152" s="257"/>
      <c r="G152" s="257"/>
      <c r="H152" s="363">
        <f>H145*H150</f>
        <v>1645.9956221000002</v>
      </c>
      <c r="I152" s="363">
        <f>I145*I150</f>
        <v>6896.5087920466676</v>
      </c>
      <c r="J152" s="531">
        <f>J147*J150</f>
        <v>0</v>
      </c>
      <c r="K152" s="531">
        <f>K147*K150</f>
        <v>0</v>
      </c>
      <c r="L152" s="531">
        <f>L147*L150</f>
        <v>0</v>
      </c>
      <c r="M152" s="531">
        <f>M147*M150</f>
        <v>0</v>
      </c>
      <c r="N152" s="531">
        <f>N145*N150</f>
        <v>0</v>
      </c>
      <c r="O152" s="363">
        <f>O147*O150</f>
        <v>1557.1582433600001</v>
      </c>
      <c r="P152" s="272">
        <f>SUM(H152:O152)</f>
        <v>10099.662657506668</v>
      </c>
      <c r="Q152" s="66"/>
    </row>
    <row r="153" spans="1:20" ht="15" x14ac:dyDescent="0.25">
      <c r="A153" s="716"/>
      <c r="B153" s="270"/>
      <c r="C153" s="364" t="s">
        <v>96</v>
      </c>
      <c r="D153" s="255"/>
      <c r="E153" s="255"/>
      <c r="F153" s="253"/>
      <c r="G153" s="253"/>
      <c r="H153" s="259">
        <f>SUM(H151:H152)</f>
        <v>4270.231830433333</v>
      </c>
      <c r="I153" s="259">
        <f>SUM(I151:I152)</f>
        <v>13710.207547913335</v>
      </c>
      <c r="J153" s="523">
        <f>SUM(J151:J152)</f>
        <v>0</v>
      </c>
      <c r="K153" s="523">
        <f t="shared" ref="K153:M153" si="12">SUM(K151:K152)</f>
        <v>0</v>
      </c>
      <c r="L153" s="523">
        <f t="shared" si="12"/>
        <v>0</v>
      </c>
      <c r="M153" s="523">
        <f t="shared" si="12"/>
        <v>0</v>
      </c>
      <c r="N153" s="523">
        <f>SUM(N151:N152)</f>
        <v>0</v>
      </c>
      <c r="O153" s="259">
        <f>SUM(O151:O152)</f>
        <v>1885.7576993600001</v>
      </c>
      <c r="P153" s="273">
        <f t="shared" ref="P153" si="13">SUM(H153:O153)</f>
        <v>19866.197077706667</v>
      </c>
      <c r="Q153" s="66"/>
    </row>
    <row r="154" spans="1:20" s="23" customFormat="1" ht="15" x14ac:dyDescent="0.25">
      <c r="A154" s="716"/>
      <c r="B154" s="366"/>
      <c r="C154" s="700" t="s">
        <v>94</v>
      </c>
      <c r="D154" s="700"/>
      <c r="E154" s="247"/>
      <c r="F154" s="257"/>
      <c r="G154" s="257"/>
      <c r="H154" s="247">
        <f>H146*'6.  Persistence Rates'!$F$26</f>
        <v>128929.16100000001</v>
      </c>
      <c r="I154" s="247">
        <f>I146*'6.  Persistence Rates'!$F$26</f>
        <v>504622.59454000002</v>
      </c>
      <c r="J154" s="512">
        <f>J148*'6.  Persistence Rates'!$R$26</f>
        <v>0</v>
      </c>
      <c r="K154" s="512">
        <f>K148*'6.  Persistence Rates'!$R$26</f>
        <v>0</v>
      </c>
      <c r="L154" s="512">
        <f>L147*'6.  Persistence Rates'!$R$26</f>
        <v>0</v>
      </c>
      <c r="M154" s="512">
        <f>M147*'6.  Persistence Rates'!$R$26</f>
        <v>0</v>
      </c>
      <c r="N154" s="512">
        <f>N145*'6.  Persistence Rates'!F26</f>
        <v>0</v>
      </c>
      <c r="O154" s="247">
        <f>O148*'6.  Persistence Rates'!$R$26</f>
        <v>611.44957199999999</v>
      </c>
      <c r="P154" s="367"/>
      <c r="Q154" s="66"/>
    </row>
    <row r="155" spans="1:20" s="23" customFormat="1" ht="15" x14ac:dyDescent="0.25">
      <c r="A155" s="716"/>
      <c r="B155" s="366"/>
      <c r="C155" s="700" t="s">
        <v>95</v>
      </c>
      <c r="D155" s="700"/>
      <c r="E155" s="247"/>
      <c r="F155" s="257"/>
      <c r="G155" s="257"/>
      <c r="H155" s="247">
        <f>$H$146*'6.  Persistence Rates'!$G$26</f>
        <v>127609.06720136519</v>
      </c>
      <c r="I155" s="247">
        <f>$I$146*'6.  Persistence Rates'!$G$26</f>
        <v>499455.81029556313</v>
      </c>
      <c r="J155" s="512">
        <f>$J$148*'6.  Persistence Rates'!$S$26</f>
        <v>0</v>
      </c>
      <c r="K155" s="512">
        <f>$K$148*'6.  Persistence Rates'!$S$26</f>
        <v>0</v>
      </c>
      <c r="L155" s="512">
        <f>$L$147*'6.  Persistence Rates'!$S$26</f>
        <v>0</v>
      </c>
      <c r="M155" s="512">
        <f>$M$147*'6.  Persistence Rates'!$S$26</f>
        <v>0</v>
      </c>
      <c r="N155" s="512">
        <f>$N$145*'6.  Persistence Rates'!$G$26</f>
        <v>0</v>
      </c>
      <c r="O155" s="247">
        <f>$O$148*'6.  Persistence Rates'!$S$26</f>
        <v>605.1459681649485</v>
      </c>
      <c r="P155" s="367"/>
      <c r="Q155" s="66"/>
    </row>
    <row r="156" spans="1:20" s="23" customFormat="1" ht="15" customHeight="1" x14ac:dyDescent="0.25">
      <c r="A156" s="716"/>
      <c r="B156" s="366"/>
      <c r="C156" s="700" t="s">
        <v>423</v>
      </c>
      <c r="D156" s="700"/>
      <c r="E156" s="247"/>
      <c r="F156" s="257"/>
      <c r="G156" s="257"/>
      <c r="H156" s="247">
        <f>$H$146*'6.  Persistence Rates'!$H$26</f>
        <v>111411.23598264655</v>
      </c>
      <c r="I156" s="247">
        <f>$I$146*'6.  Persistence Rates'!$H$26</f>
        <v>436058.27049841202</v>
      </c>
      <c r="J156" s="512">
        <f>$J$148*'6.  Persistence Rates'!$S$26</f>
        <v>0</v>
      </c>
      <c r="K156" s="512">
        <f>$K$148*'6.  Persistence Rates'!$S$26</f>
        <v>0</v>
      </c>
      <c r="L156" s="512">
        <f>$L$147*'6.  Persistence Rates'!$S$26</f>
        <v>0</v>
      </c>
      <c r="M156" s="512">
        <f>$M$147*'6.  Persistence Rates'!$S$26</f>
        <v>0</v>
      </c>
      <c r="N156" s="512">
        <f>$N$145*'6.  Persistence Rates'!$G$26</f>
        <v>0</v>
      </c>
      <c r="O156" s="247">
        <f>$O$148*'6.  Persistence Rates'!$T$26</f>
        <v>526.75227385620838</v>
      </c>
      <c r="P156" s="367"/>
      <c r="Q156" s="66"/>
    </row>
    <row r="157" spans="1:20" s="23" customFormat="1" ht="15" hidden="1" x14ac:dyDescent="0.25">
      <c r="A157" s="716"/>
      <c r="B157" s="366"/>
      <c r="C157" s="713" t="s">
        <v>424</v>
      </c>
      <c r="D157" s="713"/>
      <c r="E157" s="512"/>
      <c r="F157" s="579"/>
      <c r="G157" s="579"/>
      <c r="H157" s="512">
        <v>0</v>
      </c>
      <c r="I157" s="512">
        <v>0</v>
      </c>
      <c r="J157" s="512">
        <v>0</v>
      </c>
      <c r="K157" s="512">
        <v>0</v>
      </c>
      <c r="L157" s="512">
        <v>0</v>
      </c>
      <c r="M157" s="512">
        <v>0</v>
      </c>
      <c r="N157" s="512">
        <v>0</v>
      </c>
      <c r="O157" s="512">
        <v>0</v>
      </c>
      <c r="P157" s="573"/>
      <c r="Q157" s="66"/>
    </row>
    <row r="158" spans="1:20" s="23" customFormat="1" ht="15" hidden="1" x14ac:dyDescent="0.25">
      <c r="A158" s="716"/>
      <c r="B158" s="366"/>
      <c r="C158" s="713" t="s">
        <v>425</v>
      </c>
      <c r="D158" s="713"/>
      <c r="E158" s="512"/>
      <c r="F158" s="579"/>
      <c r="G158" s="579"/>
      <c r="H158" s="512">
        <v>0</v>
      </c>
      <c r="I158" s="512">
        <v>0</v>
      </c>
      <c r="J158" s="512">
        <v>0</v>
      </c>
      <c r="K158" s="512">
        <v>0</v>
      </c>
      <c r="L158" s="512">
        <v>0</v>
      </c>
      <c r="M158" s="512">
        <v>0</v>
      </c>
      <c r="N158" s="512">
        <v>0</v>
      </c>
      <c r="O158" s="512">
        <v>0</v>
      </c>
      <c r="P158" s="573"/>
      <c r="Q158" s="66"/>
    </row>
    <row r="159" spans="1:20" s="23" customFormat="1" ht="15" hidden="1" x14ac:dyDescent="0.25">
      <c r="A159" s="716"/>
      <c r="B159" s="366"/>
      <c r="C159" s="713" t="s">
        <v>426</v>
      </c>
      <c r="D159" s="713"/>
      <c r="E159" s="512"/>
      <c r="F159" s="579"/>
      <c r="G159" s="579"/>
      <c r="H159" s="512">
        <v>0</v>
      </c>
      <c r="I159" s="512">
        <v>0</v>
      </c>
      <c r="J159" s="512">
        <v>0</v>
      </c>
      <c r="K159" s="512">
        <v>0</v>
      </c>
      <c r="L159" s="512">
        <v>0</v>
      </c>
      <c r="M159" s="512">
        <v>0</v>
      </c>
      <c r="N159" s="512">
        <v>0</v>
      </c>
      <c r="O159" s="512">
        <v>0</v>
      </c>
      <c r="P159" s="573"/>
      <c r="Q159" s="66"/>
    </row>
    <row r="160" spans="1:20" s="23" customFormat="1" ht="15" hidden="1" x14ac:dyDescent="0.25">
      <c r="A160" s="716"/>
      <c r="B160" s="366"/>
      <c r="C160" s="713" t="s">
        <v>427</v>
      </c>
      <c r="D160" s="713"/>
      <c r="E160" s="512"/>
      <c r="F160" s="579"/>
      <c r="G160" s="579"/>
      <c r="H160" s="512">
        <v>0</v>
      </c>
      <c r="I160" s="512">
        <v>0</v>
      </c>
      <c r="J160" s="512">
        <v>0</v>
      </c>
      <c r="K160" s="512">
        <v>0</v>
      </c>
      <c r="L160" s="512">
        <v>0</v>
      </c>
      <c r="M160" s="512">
        <v>0</v>
      </c>
      <c r="N160" s="512">
        <v>0</v>
      </c>
      <c r="O160" s="512">
        <v>0</v>
      </c>
      <c r="P160" s="573"/>
      <c r="Q160" s="66"/>
    </row>
    <row r="161" spans="1:17" ht="15.75" hidden="1" customHeight="1" x14ac:dyDescent="0.25">
      <c r="A161" s="716"/>
      <c r="B161" s="381"/>
      <c r="C161" s="714" t="s">
        <v>428</v>
      </c>
      <c r="D161" s="714"/>
      <c r="E161" s="525"/>
      <c r="F161" s="623"/>
      <c r="G161" s="623"/>
      <c r="H161" s="525">
        <v>0</v>
      </c>
      <c r="I161" s="525">
        <v>0</v>
      </c>
      <c r="J161" s="525">
        <v>0</v>
      </c>
      <c r="K161" s="525">
        <v>0</v>
      </c>
      <c r="L161" s="525">
        <v>0</v>
      </c>
      <c r="M161" s="525">
        <v>0</v>
      </c>
      <c r="N161" s="525">
        <v>0</v>
      </c>
      <c r="O161" s="525">
        <v>0</v>
      </c>
      <c r="P161" s="578"/>
      <c r="Q161" s="66"/>
    </row>
    <row r="162" spans="1:17" x14ac:dyDescent="0.25">
      <c r="B162" s="69"/>
      <c r="C162" s="140"/>
      <c r="D162" s="69"/>
      <c r="E162" s="69"/>
      <c r="F162" s="66"/>
      <c r="G162" s="66"/>
      <c r="H162" s="66"/>
      <c r="I162" s="66"/>
      <c r="J162" s="66"/>
      <c r="K162" s="66"/>
      <c r="L162" s="66"/>
      <c r="M162" s="66"/>
      <c r="N162" s="66"/>
      <c r="O162" s="66"/>
      <c r="P162" s="66"/>
      <c r="Q162" s="66"/>
    </row>
    <row r="163" spans="1:17" x14ac:dyDescent="0.25">
      <c r="B163" s="69"/>
      <c r="C163" s="140"/>
      <c r="D163" s="69"/>
      <c r="E163" s="69"/>
      <c r="F163" s="66"/>
      <c r="G163" s="66"/>
      <c r="H163" s="66"/>
      <c r="I163" s="66"/>
      <c r="J163" s="66"/>
      <c r="K163" s="66"/>
      <c r="L163" s="66"/>
      <c r="M163" s="66"/>
      <c r="N163" s="66"/>
      <c r="O163" s="66"/>
      <c r="P163" s="66"/>
      <c r="Q163" s="66"/>
    </row>
    <row r="164" spans="1:17" x14ac:dyDescent="0.25">
      <c r="B164" s="706" t="s">
        <v>354</v>
      </c>
      <c r="C164" s="706"/>
      <c r="D164" s="706"/>
      <c r="E164" s="706"/>
      <c r="F164" s="706"/>
      <c r="G164" s="706"/>
      <c r="H164" s="706"/>
      <c r="I164" s="706"/>
      <c r="J164" s="706"/>
      <c r="K164" s="706"/>
      <c r="L164" s="706"/>
      <c r="M164" s="706"/>
      <c r="N164" s="706"/>
      <c r="O164" s="706"/>
      <c r="P164" s="706"/>
      <c r="Q164" s="66"/>
    </row>
    <row r="165" spans="1:17" x14ac:dyDescent="0.25">
      <c r="B165" s="69"/>
      <c r="C165" s="140"/>
      <c r="D165" s="69"/>
      <c r="E165" s="69"/>
      <c r="F165" s="66"/>
      <c r="G165" s="66"/>
      <c r="H165" s="66"/>
      <c r="I165" s="66"/>
      <c r="J165" s="66"/>
      <c r="K165" s="66"/>
      <c r="L165" s="66"/>
      <c r="M165" s="66"/>
      <c r="N165" s="66"/>
      <c r="O165" s="66"/>
      <c r="P165" s="66"/>
      <c r="Q165" s="66"/>
    </row>
    <row r="166" spans="1:17" ht="45" x14ac:dyDescent="0.25">
      <c r="B166" s="693" t="s">
        <v>58</v>
      </c>
      <c r="C166" s="695" t="s">
        <v>0</v>
      </c>
      <c r="D166" s="695" t="s">
        <v>44</v>
      </c>
      <c r="E166" s="695" t="s">
        <v>206</v>
      </c>
      <c r="F166" s="265" t="s">
        <v>45</v>
      </c>
      <c r="G166" s="265" t="s">
        <v>203</v>
      </c>
      <c r="H166" s="703" t="s">
        <v>59</v>
      </c>
      <c r="I166" s="704"/>
      <c r="J166" s="704"/>
      <c r="K166" s="704"/>
      <c r="L166" s="704"/>
      <c r="M166" s="704"/>
      <c r="N166" s="704"/>
      <c r="O166" s="704"/>
      <c r="P166" s="705"/>
      <c r="Q166" s="66"/>
    </row>
    <row r="167" spans="1:17" ht="45" x14ac:dyDescent="0.25">
      <c r="B167" s="710"/>
      <c r="C167" s="696"/>
      <c r="D167" s="696"/>
      <c r="E167" s="696"/>
      <c r="F167" s="136" t="s">
        <v>98</v>
      </c>
      <c r="G167" s="136" t="s">
        <v>99</v>
      </c>
      <c r="H167" s="136" t="s">
        <v>37</v>
      </c>
      <c r="I167" s="136" t="s">
        <v>39</v>
      </c>
      <c r="J167" s="526" t="s">
        <v>107</v>
      </c>
      <c r="K167" s="526" t="s">
        <v>108</v>
      </c>
      <c r="L167" s="526" t="s">
        <v>40</v>
      </c>
      <c r="M167" s="526" t="s">
        <v>41</v>
      </c>
      <c r="N167" s="526" t="s">
        <v>42</v>
      </c>
      <c r="O167" s="136" t="s">
        <v>505</v>
      </c>
      <c r="P167" s="365" t="s">
        <v>34</v>
      </c>
      <c r="Q167" s="66"/>
    </row>
    <row r="168" spans="1:17" s="42" customFormat="1" ht="15" customHeight="1" outlineLevel="1" x14ac:dyDescent="0.25">
      <c r="A168" s="632">
        <v>2013</v>
      </c>
      <c r="B168" s="359"/>
      <c r="C168" s="708" t="s">
        <v>1</v>
      </c>
      <c r="D168" s="708"/>
      <c r="E168" s="360"/>
      <c r="F168" s="361"/>
      <c r="G168" s="361"/>
      <c r="H168" s="361"/>
      <c r="I168" s="527"/>
      <c r="J168" s="527"/>
      <c r="K168" s="527"/>
      <c r="L168" s="527"/>
      <c r="M168" s="527"/>
      <c r="N168" s="527"/>
      <c r="O168" s="527"/>
      <c r="P168" s="362"/>
      <c r="Q168" s="146"/>
    </row>
    <row r="169" spans="1:17" ht="15" outlineLevel="1" x14ac:dyDescent="0.25">
      <c r="A169" s="632"/>
      <c r="B169" s="267">
        <v>1</v>
      </c>
      <c r="C169" s="249" t="s">
        <v>2</v>
      </c>
      <c r="D169" s="247" t="s">
        <v>33</v>
      </c>
      <c r="E169" s="247"/>
      <c r="F169" s="290">
        <f>'[3]LDC - Results (Net)'!$K$7</f>
        <v>1.8140000000000001</v>
      </c>
      <c r="G169" s="290">
        <f>'[3]LDC - Results (Net)'!$P7</f>
        <v>12709.263999999999</v>
      </c>
      <c r="H169" s="289">
        <v>1</v>
      </c>
      <c r="I169" s="503"/>
      <c r="J169" s="503"/>
      <c r="K169" s="503"/>
      <c r="L169" s="503"/>
      <c r="M169" s="503"/>
      <c r="N169" s="503"/>
      <c r="O169" s="503"/>
      <c r="P169" s="246">
        <f>SUM(H169:O169)</f>
        <v>1</v>
      </c>
      <c r="Q169" s="66"/>
    </row>
    <row r="170" spans="1:17" ht="15" outlineLevel="1" x14ac:dyDescent="0.25">
      <c r="A170" s="632"/>
      <c r="B170" s="267">
        <v>2</v>
      </c>
      <c r="C170" s="249" t="s">
        <v>3</v>
      </c>
      <c r="D170" s="247" t="s">
        <v>33</v>
      </c>
      <c r="E170" s="247"/>
      <c r="F170" s="290">
        <f>'[3]LDC - Results (Net)'!$K$8</f>
        <v>1.2430000000000001</v>
      </c>
      <c r="G170" s="290">
        <f>'[3]LDC - Results (Net)'!$P8</f>
        <v>2216.6390000000001</v>
      </c>
      <c r="H170" s="289">
        <v>1</v>
      </c>
      <c r="I170" s="503"/>
      <c r="J170" s="503"/>
      <c r="K170" s="503"/>
      <c r="L170" s="503"/>
      <c r="M170" s="503"/>
      <c r="N170" s="503"/>
      <c r="O170" s="503"/>
      <c r="P170" s="246">
        <f t="shared" ref="P170:P178" si="14">SUM(H170:O170)</f>
        <v>1</v>
      </c>
      <c r="Q170" s="66"/>
    </row>
    <row r="171" spans="1:17" ht="15" outlineLevel="1" x14ac:dyDescent="0.25">
      <c r="A171" s="632"/>
      <c r="B171" s="267">
        <v>3</v>
      </c>
      <c r="C171" s="249" t="s">
        <v>4</v>
      </c>
      <c r="D171" s="247" t="s">
        <v>33</v>
      </c>
      <c r="E171" s="247"/>
      <c r="F171" s="290">
        <f>'[3]LDC - Results (Net)'!$K$9</f>
        <v>30.553999999999998</v>
      </c>
      <c r="G171" s="290">
        <f>'[3]LDC - Results (Net)'!$P9</f>
        <v>51559.853999999999</v>
      </c>
      <c r="H171" s="289">
        <v>1</v>
      </c>
      <c r="I171" s="503"/>
      <c r="J171" s="503"/>
      <c r="K171" s="503"/>
      <c r="L171" s="503"/>
      <c r="M171" s="503"/>
      <c r="N171" s="503"/>
      <c r="O171" s="503"/>
      <c r="P171" s="246">
        <f t="shared" si="14"/>
        <v>1</v>
      </c>
      <c r="Q171" s="66"/>
    </row>
    <row r="172" spans="1:17" ht="15" outlineLevel="1" x14ac:dyDescent="0.25">
      <c r="A172" s="632"/>
      <c r="B172" s="267">
        <v>4</v>
      </c>
      <c r="C172" s="249" t="s">
        <v>5</v>
      </c>
      <c r="D172" s="247" t="s">
        <v>33</v>
      </c>
      <c r="E172" s="247"/>
      <c r="F172" s="290">
        <f>'[3]LDC - Results (Net)'!$K$10</f>
        <v>0.81899999999999995</v>
      </c>
      <c r="G172" s="290">
        <f>'[3]LDC - Results (Net)'!$P10</f>
        <v>12222.512000000001</v>
      </c>
      <c r="H172" s="289">
        <v>1</v>
      </c>
      <c r="I172" s="503"/>
      <c r="J172" s="503"/>
      <c r="K172" s="503"/>
      <c r="L172" s="503"/>
      <c r="M172" s="503"/>
      <c r="N172" s="503"/>
      <c r="O172" s="503"/>
      <c r="P172" s="246">
        <f t="shared" si="14"/>
        <v>1</v>
      </c>
      <c r="Q172" s="66"/>
    </row>
    <row r="173" spans="1:17" ht="15" outlineLevel="1" x14ac:dyDescent="0.25">
      <c r="A173" s="632"/>
      <c r="B173" s="267">
        <v>5</v>
      </c>
      <c r="C173" s="249" t="s">
        <v>6</v>
      </c>
      <c r="D173" s="247" t="s">
        <v>33</v>
      </c>
      <c r="E173" s="247"/>
      <c r="F173" s="290">
        <f>'[3]LDC - Results (Net)'!$K$11</f>
        <v>1.877</v>
      </c>
      <c r="G173" s="290">
        <f>'[3]LDC - Results (Net)'!$P11</f>
        <v>27243.441999999999</v>
      </c>
      <c r="H173" s="289">
        <v>1</v>
      </c>
      <c r="I173" s="503"/>
      <c r="J173" s="503"/>
      <c r="K173" s="503"/>
      <c r="L173" s="503"/>
      <c r="M173" s="503"/>
      <c r="N173" s="503"/>
      <c r="O173" s="503"/>
      <c r="P173" s="246">
        <f t="shared" si="14"/>
        <v>1</v>
      </c>
      <c r="Q173" s="66"/>
    </row>
    <row r="174" spans="1:17" ht="15" hidden="1" customHeight="1" outlineLevel="1" x14ac:dyDescent="0.25">
      <c r="A174" s="632"/>
      <c r="B174" s="510">
        <v>6</v>
      </c>
      <c r="C174" s="511" t="s">
        <v>7</v>
      </c>
      <c r="D174" s="512" t="s">
        <v>33</v>
      </c>
      <c r="E174" s="512"/>
      <c r="F174" s="502">
        <f>'[3]LDC - Results (Net)'!$K$12</f>
        <v>0</v>
      </c>
      <c r="G174" s="502">
        <f>'[3]LDC - Results (Net)'!$P12</f>
        <v>0</v>
      </c>
      <c r="H174" s="500"/>
      <c r="I174" s="503"/>
      <c r="J174" s="503"/>
      <c r="K174" s="503"/>
      <c r="L174" s="503"/>
      <c r="M174" s="503"/>
      <c r="N174" s="503"/>
      <c r="O174" s="503"/>
      <c r="P174" s="501">
        <f t="shared" si="14"/>
        <v>0</v>
      </c>
      <c r="Q174" s="66"/>
    </row>
    <row r="175" spans="1:17" ht="28.5" outlineLevel="1" x14ac:dyDescent="0.25">
      <c r="A175" s="632"/>
      <c r="B175" s="267">
        <v>7</v>
      </c>
      <c r="C175" s="537" t="s">
        <v>32</v>
      </c>
      <c r="D175" s="247" t="s">
        <v>33</v>
      </c>
      <c r="E175" s="247"/>
      <c r="F175" s="290">
        <f>'[3]LDC - Results (Net)'!$K$13</f>
        <v>9.6850000000000005</v>
      </c>
      <c r="G175" s="290">
        <f>'[3]LDC - Results (Net)'!$P13</f>
        <v>0</v>
      </c>
      <c r="H175" s="287">
        <v>1</v>
      </c>
      <c r="I175" s="532"/>
      <c r="J175" s="532"/>
      <c r="K175" s="532"/>
      <c r="L175" s="532"/>
      <c r="M175" s="532"/>
      <c r="N175" s="532"/>
      <c r="O175" s="532"/>
      <c r="P175" s="504">
        <f t="shared" si="14"/>
        <v>1</v>
      </c>
      <c r="Q175" s="66"/>
    </row>
    <row r="176" spans="1:17" ht="15" hidden="1" customHeight="1" outlineLevel="1" x14ac:dyDescent="0.25">
      <c r="A176" s="632"/>
      <c r="B176" s="510">
        <v>8</v>
      </c>
      <c r="C176" s="511" t="s">
        <v>25</v>
      </c>
      <c r="D176" s="512" t="s">
        <v>33</v>
      </c>
      <c r="E176" s="512"/>
      <c r="F176" s="502">
        <f>'[3]LDC - Results (Net)'!$K$14</f>
        <v>0</v>
      </c>
      <c r="G176" s="502">
        <f>'[3]LDC - Results (Net)'!$P14</f>
        <v>0</v>
      </c>
      <c r="H176" s="500"/>
      <c r="I176" s="503"/>
      <c r="J176" s="503"/>
      <c r="K176" s="503"/>
      <c r="L176" s="503"/>
      <c r="M176" s="503"/>
      <c r="N176" s="503"/>
      <c r="O176" s="503"/>
      <c r="P176" s="501">
        <f t="shared" si="14"/>
        <v>0</v>
      </c>
      <c r="Q176" s="66"/>
    </row>
    <row r="177" spans="1:20" ht="15" hidden="1" customHeight="1" outlineLevel="1" x14ac:dyDescent="0.25">
      <c r="A177" s="632"/>
      <c r="B177" s="510">
        <v>9</v>
      </c>
      <c r="C177" s="511" t="s">
        <v>8</v>
      </c>
      <c r="D177" s="512" t="s">
        <v>33</v>
      </c>
      <c r="E177" s="512"/>
      <c r="F177" s="502">
        <f>'[3]LDC - Results (Net)'!$K$15</f>
        <v>0</v>
      </c>
      <c r="G177" s="502">
        <f>'[3]LDC - Results (Net)'!$P15</f>
        <v>0</v>
      </c>
      <c r="H177" s="500"/>
      <c r="I177" s="503"/>
      <c r="J177" s="503"/>
      <c r="K177" s="503"/>
      <c r="L177" s="503"/>
      <c r="M177" s="503"/>
      <c r="N177" s="503"/>
      <c r="O177" s="503"/>
      <c r="P177" s="501">
        <f t="shared" si="14"/>
        <v>0</v>
      </c>
      <c r="Q177" s="66"/>
    </row>
    <row r="178" spans="1:20" ht="15" outlineLevel="1" x14ac:dyDescent="0.25">
      <c r="A178" s="632"/>
      <c r="B178" s="267"/>
      <c r="C178" s="250" t="s">
        <v>257</v>
      </c>
      <c r="D178" s="247" t="s">
        <v>254</v>
      </c>
      <c r="E178" s="247"/>
      <c r="F178" s="290">
        <f>'[3]LDC - Adjustments (Net)'!$K$16</f>
        <v>0.66100000000000003</v>
      </c>
      <c r="G178" s="290">
        <f>'[3]LDC - Adjustments (Net)'!$P$16</f>
        <v>1176.4518084000001</v>
      </c>
      <c r="H178" s="289">
        <v>1</v>
      </c>
      <c r="I178" s="503"/>
      <c r="J178" s="503"/>
      <c r="K178" s="503"/>
      <c r="L178" s="503"/>
      <c r="M178" s="503"/>
      <c r="N178" s="503"/>
      <c r="O178" s="503"/>
      <c r="P178" s="246">
        <f t="shared" si="14"/>
        <v>1</v>
      </c>
      <c r="Q178" s="66"/>
    </row>
    <row r="179" spans="1:20" ht="15" hidden="1" customHeight="1" outlineLevel="1" x14ac:dyDescent="0.25">
      <c r="A179" s="632"/>
      <c r="B179" s="510"/>
      <c r="C179" s="707"/>
      <c r="D179" s="707"/>
      <c r="E179" s="535"/>
      <c r="F179" s="502"/>
      <c r="G179" s="502"/>
      <c r="H179" s="499"/>
      <c r="I179" s="503"/>
      <c r="J179" s="503"/>
      <c r="K179" s="503"/>
      <c r="L179" s="503"/>
      <c r="M179" s="503"/>
      <c r="N179" s="503"/>
      <c r="O179" s="503"/>
      <c r="P179" s="501"/>
      <c r="Q179" s="66"/>
    </row>
    <row r="180" spans="1:20" ht="15" hidden="1" customHeight="1" outlineLevel="1" x14ac:dyDescent="0.25">
      <c r="A180" s="632"/>
      <c r="B180" s="510"/>
      <c r="C180" s="707"/>
      <c r="D180" s="707"/>
      <c r="E180" s="535"/>
      <c r="F180" s="502"/>
      <c r="G180" s="502"/>
      <c r="H180" s="499"/>
      <c r="I180" s="503"/>
      <c r="J180" s="503"/>
      <c r="K180" s="503"/>
      <c r="L180" s="503"/>
      <c r="M180" s="503"/>
      <c r="N180" s="503"/>
      <c r="O180" s="503"/>
      <c r="P180" s="501"/>
      <c r="Q180" s="66"/>
    </row>
    <row r="181" spans="1:20" ht="15" hidden="1" customHeight="1" outlineLevel="1" x14ac:dyDescent="0.25">
      <c r="A181" s="632"/>
      <c r="B181" s="510"/>
      <c r="C181" s="707"/>
      <c r="D181" s="707"/>
      <c r="E181" s="535"/>
      <c r="F181" s="502"/>
      <c r="G181" s="502"/>
      <c r="H181" s="499"/>
      <c r="I181" s="503"/>
      <c r="J181" s="503"/>
      <c r="K181" s="503"/>
      <c r="L181" s="503"/>
      <c r="M181" s="503"/>
      <c r="N181" s="503"/>
      <c r="O181" s="503"/>
      <c r="P181" s="501"/>
      <c r="Q181" s="66"/>
    </row>
    <row r="182" spans="1:20" s="42" customFormat="1" ht="15" outlineLevel="1" x14ac:dyDescent="0.25">
      <c r="A182" s="632"/>
      <c r="B182" s="368"/>
      <c r="C182" s="711" t="s">
        <v>9</v>
      </c>
      <c r="D182" s="711"/>
      <c r="E182" s="369"/>
      <c r="F182" s="370"/>
      <c r="G182" s="370"/>
      <c r="H182" s="370"/>
      <c r="I182" s="370"/>
      <c r="J182" s="533"/>
      <c r="K182" s="533"/>
      <c r="L182" s="533"/>
      <c r="M182" s="533"/>
      <c r="N182" s="533"/>
      <c r="O182" s="370"/>
      <c r="P182" s="371"/>
      <c r="Q182" s="146"/>
    </row>
    <row r="183" spans="1:20" ht="15" outlineLevel="1" x14ac:dyDescent="0.25">
      <c r="A183" s="632"/>
      <c r="B183" s="147">
        <v>10</v>
      </c>
      <c r="C183" s="251" t="s">
        <v>26</v>
      </c>
      <c r="D183" s="247" t="s">
        <v>33</v>
      </c>
      <c r="E183" s="247">
        <v>12</v>
      </c>
      <c r="F183" s="290">
        <f>'[3]LDC - Results (Net)'!$K$19</f>
        <v>98.622</v>
      </c>
      <c r="G183" s="290">
        <f>'[3]LDC - Results (Net)'!$P19</f>
        <v>499514.505</v>
      </c>
      <c r="H183" s="287"/>
      <c r="I183" s="289">
        <v>0.25</v>
      </c>
      <c r="J183" s="500"/>
      <c r="K183" s="500"/>
      <c r="L183" s="503"/>
      <c r="M183" s="503"/>
      <c r="N183" s="503"/>
      <c r="O183" s="288">
        <v>0.75</v>
      </c>
      <c r="P183" s="246">
        <f t="shared" ref="P183:P191" si="15">SUM(H183:O183)</f>
        <v>1</v>
      </c>
      <c r="Q183" s="66"/>
      <c r="T183" s="544">
        <f>E183*F183*O183</f>
        <v>887.59799999999996</v>
      </c>
    </row>
    <row r="184" spans="1:20" ht="15" outlineLevel="1" x14ac:dyDescent="0.25">
      <c r="A184" s="632"/>
      <c r="B184" s="147">
        <v>11</v>
      </c>
      <c r="C184" s="249" t="s">
        <v>24</v>
      </c>
      <c r="D184" s="247" t="s">
        <v>33</v>
      </c>
      <c r="E184" s="247">
        <v>12</v>
      </c>
      <c r="F184" s="290">
        <f>'[3]LDC - Results (Net)'!$K$20</f>
        <v>35.722000000000001</v>
      </c>
      <c r="G184" s="290">
        <f>'[3]LDC - Results (Net)'!$P20</f>
        <v>131977.73300000001</v>
      </c>
      <c r="H184" s="287"/>
      <c r="I184" s="289">
        <v>1</v>
      </c>
      <c r="J184" s="500"/>
      <c r="K184" s="500"/>
      <c r="L184" s="503"/>
      <c r="M184" s="503"/>
      <c r="N184" s="503"/>
      <c r="O184" s="503"/>
      <c r="P184" s="246">
        <f t="shared" si="15"/>
        <v>1</v>
      </c>
      <c r="Q184" s="66"/>
      <c r="T184" s="544">
        <f>E184*F184*O184</f>
        <v>0</v>
      </c>
    </row>
    <row r="185" spans="1:20" ht="15" hidden="1" customHeight="1" outlineLevel="1" x14ac:dyDescent="0.25">
      <c r="A185" s="632"/>
      <c r="B185" s="513">
        <v>12</v>
      </c>
      <c r="C185" s="511" t="s">
        <v>27</v>
      </c>
      <c r="D185" s="512" t="s">
        <v>33</v>
      </c>
      <c r="E185" s="512">
        <v>3</v>
      </c>
      <c r="F185" s="502">
        <f>'[3]LDC - Results (Net)'!$K$2</f>
        <v>0</v>
      </c>
      <c r="G185" s="502">
        <f>'[3]LDC - Results (Net)'!$P21</f>
        <v>0</v>
      </c>
      <c r="H185" s="499"/>
      <c r="I185" s="500"/>
      <c r="J185" s="500"/>
      <c r="K185" s="500"/>
      <c r="L185" s="503"/>
      <c r="M185" s="503"/>
      <c r="N185" s="503"/>
      <c r="O185" s="503"/>
      <c r="P185" s="501">
        <f t="shared" si="15"/>
        <v>0</v>
      </c>
      <c r="Q185" s="66"/>
    </row>
    <row r="186" spans="1:20" ht="15" outlineLevel="1" x14ac:dyDescent="0.25">
      <c r="A186" s="632"/>
      <c r="B186" s="147">
        <v>13</v>
      </c>
      <c r="C186" s="249" t="s">
        <v>28</v>
      </c>
      <c r="D186" s="247" t="s">
        <v>33</v>
      </c>
      <c r="E186" s="247">
        <v>12</v>
      </c>
      <c r="F186" s="290">
        <f>'[3]LDC - Results (Net)'!$K$22</f>
        <v>22.206</v>
      </c>
      <c r="G186" s="290">
        <f>'[3]LDC - Results (Net)'!$P22</f>
        <v>194104.71900000001</v>
      </c>
      <c r="H186" s="287"/>
      <c r="I186" s="289">
        <v>0.33300000000000002</v>
      </c>
      <c r="J186" s="500"/>
      <c r="K186" s="500"/>
      <c r="L186" s="503"/>
      <c r="M186" s="503"/>
      <c r="N186" s="503"/>
      <c r="O186" s="288">
        <v>0.66700000000000004</v>
      </c>
      <c r="P186" s="246">
        <f t="shared" si="15"/>
        <v>1</v>
      </c>
      <c r="Q186" s="66"/>
      <c r="T186" s="544">
        <f>E186*F186*O186</f>
        <v>177.73682399999998</v>
      </c>
    </row>
    <row r="187" spans="1:20" ht="15" hidden="1" customHeight="1" outlineLevel="1" x14ac:dyDescent="0.25">
      <c r="A187" s="632"/>
      <c r="B187" s="513">
        <v>14</v>
      </c>
      <c r="C187" s="511" t="s">
        <v>23</v>
      </c>
      <c r="D187" s="512" t="s">
        <v>33</v>
      </c>
      <c r="E187" s="512">
        <v>12</v>
      </c>
      <c r="F187" s="502">
        <f>'[3]LDC - Results (Net)'!$K$123</f>
        <v>0</v>
      </c>
      <c r="G187" s="502">
        <f>'[3]LDC - Results (Net)'!$P23</f>
        <v>0</v>
      </c>
      <c r="H187" s="499"/>
      <c r="I187" s="500"/>
      <c r="J187" s="500"/>
      <c r="K187" s="500"/>
      <c r="L187" s="503"/>
      <c r="M187" s="503"/>
      <c r="N187" s="503"/>
      <c r="O187" s="503"/>
      <c r="P187" s="501">
        <f t="shared" si="15"/>
        <v>0</v>
      </c>
      <c r="Q187" s="66"/>
    </row>
    <row r="188" spans="1:20" ht="28.5" hidden="1" customHeight="1" outlineLevel="1" x14ac:dyDescent="0.25">
      <c r="A188" s="632"/>
      <c r="B188" s="510">
        <v>15</v>
      </c>
      <c r="C188" s="511" t="s">
        <v>29</v>
      </c>
      <c r="D188" s="512" t="s">
        <v>33</v>
      </c>
      <c r="E188" s="512">
        <v>0</v>
      </c>
      <c r="F188" s="502">
        <f>'[3]LDC - Results (Net)'!$K$24</f>
        <v>0</v>
      </c>
      <c r="G188" s="502">
        <f>'[3]LDC - Results (Net)'!$P24</f>
        <v>0</v>
      </c>
      <c r="H188" s="499"/>
      <c r="I188" s="500"/>
      <c r="J188" s="500"/>
      <c r="K188" s="500"/>
      <c r="L188" s="503"/>
      <c r="M188" s="503"/>
      <c r="N188" s="503"/>
      <c r="O188" s="503"/>
      <c r="P188" s="501">
        <f t="shared" si="15"/>
        <v>0</v>
      </c>
      <c r="Q188" s="66"/>
    </row>
    <row r="189" spans="1:20" ht="28.5" hidden="1" customHeight="1" outlineLevel="1" x14ac:dyDescent="0.25">
      <c r="A189" s="632"/>
      <c r="B189" s="510">
        <v>16</v>
      </c>
      <c r="C189" s="511" t="s">
        <v>30</v>
      </c>
      <c r="D189" s="512" t="s">
        <v>33</v>
      </c>
      <c r="E189" s="512">
        <v>0</v>
      </c>
      <c r="F189" s="502">
        <f>'[3]LDC - Results (Net)'!$K$25</f>
        <v>0</v>
      </c>
      <c r="G189" s="502">
        <f>'[3]LDC - Results (Net)'!$P25</f>
        <v>0</v>
      </c>
      <c r="H189" s="499"/>
      <c r="I189" s="500"/>
      <c r="J189" s="500"/>
      <c r="K189" s="500"/>
      <c r="L189" s="503"/>
      <c r="M189" s="503"/>
      <c r="N189" s="503"/>
      <c r="O189" s="503"/>
      <c r="P189" s="501">
        <f t="shared" si="15"/>
        <v>0</v>
      </c>
      <c r="Q189" s="66"/>
    </row>
    <row r="190" spans="1:20" ht="15" outlineLevel="1" x14ac:dyDescent="0.25">
      <c r="A190" s="632"/>
      <c r="B190" s="267">
        <v>17</v>
      </c>
      <c r="C190" s="537" t="s">
        <v>10</v>
      </c>
      <c r="D190" s="247" t="s">
        <v>33</v>
      </c>
      <c r="E190" s="247">
        <v>0</v>
      </c>
      <c r="F190" s="290">
        <f>'[3]LDC - Results (Net)'!$K$26</f>
        <v>91.269000000000005</v>
      </c>
      <c r="G190" s="290">
        <f>'[3]LDC - Results (Net)'!$P26</f>
        <v>1555.588</v>
      </c>
      <c r="H190" s="499"/>
      <c r="I190" s="500"/>
      <c r="J190" s="500"/>
      <c r="K190" s="500"/>
      <c r="L190" s="503"/>
      <c r="M190" s="503"/>
      <c r="N190" s="503"/>
      <c r="O190" s="288">
        <v>1</v>
      </c>
      <c r="P190" s="246">
        <f t="shared" si="15"/>
        <v>1</v>
      </c>
      <c r="Q190" s="66"/>
    </row>
    <row r="191" spans="1:20" ht="15" hidden="1" outlineLevel="1" x14ac:dyDescent="0.25">
      <c r="A191" s="632"/>
      <c r="B191" s="510"/>
      <c r="C191" s="515" t="s">
        <v>257</v>
      </c>
      <c r="D191" s="512" t="s">
        <v>254</v>
      </c>
      <c r="E191" s="512"/>
      <c r="F191" s="502">
        <f>'[3]LDC - Adjustments (Net)'!$K$27</f>
        <v>0</v>
      </c>
      <c r="G191" s="502">
        <f>'[3]LDC - Adjustments (Net)'!$P$27</f>
        <v>0</v>
      </c>
      <c r="H191" s="499"/>
      <c r="I191" s="503"/>
      <c r="J191" s="503"/>
      <c r="K191" s="503"/>
      <c r="L191" s="503"/>
      <c r="M191" s="503"/>
      <c r="N191" s="503"/>
      <c r="O191" s="503"/>
      <c r="P191" s="501">
        <f t="shared" si="15"/>
        <v>0</v>
      </c>
      <c r="Q191" s="66"/>
    </row>
    <row r="192" spans="1:20" ht="15" hidden="1" outlineLevel="1" x14ac:dyDescent="0.25">
      <c r="A192" s="632"/>
      <c r="B192" s="510"/>
      <c r="C192" s="707"/>
      <c r="D192" s="707"/>
      <c r="E192" s="535"/>
      <c r="F192" s="502"/>
      <c r="G192" s="502"/>
      <c r="H192" s="499"/>
      <c r="I192" s="503"/>
      <c r="J192" s="503"/>
      <c r="K192" s="503"/>
      <c r="L192" s="503"/>
      <c r="M192" s="503"/>
      <c r="N192" s="503"/>
      <c r="O192" s="503"/>
      <c r="P192" s="501"/>
      <c r="Q192" s="66"/>
    </row>
    <row r="193" spans="1:17" ht="15" hidden="1" outlineLevel="1" x14ac:dyDescent="0.25">
      <c r="A193" s="632"/>
      <c r="B193" s="510"/>
      <c r="C193" s="707"/>
      <c r="D193" s="707"/>
      <c r="E193" s="535"/>
      <c r="F193" s="502"/>
      <c r="G193" s="502"/>
      <c r="H193" s="499"/>
      <c r="I193" s="503"/>
      <c r="J193" s="503"/>
      <c r="K193" s="503"/>
      <c r="L193" s="503"/>
      <c r="M193" s="503"/>
      <c r="N193" s="503"/>
      <c r="O193" s="503"/>
      <c r="P193" s="501"/>
      <c r="Q193" s="66"/>
    </row>
    <row r="194" spans="1:17" ht="15" hidden="1" outlineLevel="1" x14ac:dyDescent="0.25">
      <c r="A194" s="632"/>
      <c r="B194" s="510"/>
      <c r="C194" s="707"/>
      <c r="D194" s="707"/>
      <c r="E194" s="535"/>
      <c r="F194" s="502"/>
      <c r="G194" s="502"/>
      <c r="H194" s="499"/>
      <c r="I194" s="503"/>
      <c r="J194" s="503"/>
      <c r="K194" s="503"/>
      <c r="L194" s="503"/>
      <c r="M194" s="503"/>
      <c r="N194" s="503"/>
      <c r="O194" s="503"/>
      <c r="P194" s="501"/>
      <c r="Q194" s="66"/>
    </row>
    <row r="195" spans="1:17" s="42" customFormat="1" ht="15" outlineLevel="1" x14ac:dyDescent="0.25">
      <c r="A195" s="632"/>
      <c r="B195" s="368"/>
      <c r="C195" s="711" t="s">
        <v>11</v>
      </c>
      <c r="D195" s="711"/>
      <c r="E195" s="369"/>
      <c r="F195" s="370"/>
      <c r="G195" s="370"/>
      <c r="H195" s="370"/>
      <c r="I195" s="370"/>
      <c r="J195" s="533"/>
      <c r="K195" s="533"/>
      <c r="L195" s="533"/>
      <c r="M195" s="533"/>
      <c r="N195" s="533"/>
      <c r="O195" s="370"/>
      <c r="P195" s="371"/>
      <c r="Q195" s="146"/>
    </row>
    <row r="196" spans="1:17" ht="15" hidden="1" outlineLevel="1" x14ac:dyDescent="0.25">
      <c r="A196" s="632"/>
      <c r="B196" s="513">
        <v>18</v>
      </c>
      <c r="C196" s="511" t="s">
        <v>12</v>
      </c>
      <c r="D196" s="512" t="s">
        <v>33</v>
      </c>
      <c r="E196" s="512">
        <v>12</v>
      </c>
      <c r="F196" s="502">
        <f>'[3]LDC - Results (Net)'!$K$30</f>
        <v>0</v>
      </c>
      <c r="G196" s="502">
        <f>'[3]LDC - Results (Net)'!$P30</f>
        <v>0</v>
      </c>
      <c r="H196" s="499"/>
      <c r="I196" s="503"/>
      <c r="J196" s="500"/>
      <c r="K196" s="503"/>
      <c r="L196" s="503"/>
      <c r="M196" s="503"/>
      <c r="N196" s="503"/>
      <c r="O196" s="503"/>
      <c r="P196" s="501">
        <f t="shared" ref="P196:P201" si="16">SUM(H196:O196)</f>
        <v>0</v>
      </c>
      <c r="Q196" s="66"/>
    </row>
    <row r="197" spans="1:17" ht="15" hidden="1" outlineLevel="1" x14ac:dyDescent="0.25">
      <c r="A197" s="632"/>
      <c r="B197" s="513">
        <v>19</v>
      </c>
      <c r="C197" s="511" t="s">
        <v>13</v>
      </c>
      <c r="D197" s="512" t="s">
        <v>33</v>
      </c>
      <c r="E197" s="512">
        <v>12</v>
      </c>
      <c r="F197" s="502">
        <f>'[3]LDC - Results (Net)'!$K$31</f>
        <v>0</v>
      </c>
      <c r="G197" s="502">
        <f>'[3]LDC - Results (Net)'!$P31</f>
        <v>0</v>
      </c>
      <c r="H197" s="499"/>
      <c r="I197" s="503"/>
      <c r="J197" s="500"/>
      <c r="K197" s="503"/>
      <c r="L197" s="503"/>
      <c r="M197" s="503"/>
      <c r="N197" s="503"/>
      <c r="O197" s="503"/>
      <c r="P197" s="501">
        <f t="shared" si="16"/>
        <v>0</v>
      </c>
      <c r="Q197" s="66"/>
    </row>
    <row r="198" spans="1:17" ht="15" hidden="1" outlineLevel="1" x14ac:dyDescent="0.25">
      <c r="A198" s="632"/>
      <c r="B198" s="513">
        <v>20</v>
      </c>
      <c r="C198" s="511" t="s">
        <v>14</v>
      </c>
      <c r="D198" s="512" t="s">
        <v>33</v>
      </c>
      <c r="E198" s="512">
        <v>12</v>
      </c>
      <c r="F198" s="502">
        <f>'[3]LDC - Results (Net)'!$K$32</f>
        <v>0</v>
      </c>
      <c r="G198" s="502">
        <f>'[3]LDC - Results (Net)'!$P32</f>
        <v>0</v>
      </c>
      <c r="H198" s="499"/>
      <c r="I198" s="503"/>
      <c r="J198" s="500"/>
      <c r="K198" s="503"/>
      <c r="L198" s="503"/>
      <c r="M198" s="503"/>
      <c r="N198" s="503"/>
      <c r="O198" s="503"/>
      <c r="P198" s="501">
        <f t="shared" si="16"/>
        <v>0</v>
      </c>
      <c r="Q198" s="66"/>
    </row>
    <row r="199" spans="1:17" ht="15" hidden="1" outlineLevel="1" x14ac:dyDescent="0.25">
      <c r="A199" s="632"/>
      <c r="B199" s="513">
        <v>21</v>
      </c>
      <c r="C199" s="514" t="s">
        <v>26</v>
      </c>
      <c r="D199" s="512" t="s">
        <v>33</v>
      </c>
      <c r="E199" s="512">
        <v>12</v>
      </c>
      <c r="F199" s="502">
        <f>'[3]LDC - Results (Net)'!$K$33</f>
        <v>0</v>
      </c>
      <c r="G199" s="502">
        <f>'[3]LDC - Results (Net)'!$P33</f>
        <v>0</v>
      </c>
      <c r="H199" s="499"/>
      <c r="I199" s="503"/>
      <c r="J199" s="503"/>
      <c r="K199" s="503"/>
      <c r="L199" s="503"/>
      <c r="M199" s="503"/>
      <c r="N199" s="503"/>
      <c r="O199" s="503"/>
      <c r="P199" s="501">
        <f t="shared" si="16"/>
        <v>0</v>
      </c>
      <c r="Q199" s="66"/>
    </row>
    <row r="200" spans="1:17" ht="15" outlineLevel="1" x14ac:dyDescent="0.25">
      <c r="A200" s="632"/>
      <c r="B200" s="147">
        <v>22</v>
      </c>
      <c r="C200" s="537" t="s">
        <v>10</v>
      </c>
      <c r="D200" s="247" t="s">
        <v>33</v>
      </c>
      <c r="E200" s="247">
        <v>0</v>
      </c>
      <c r="F200" s="290">
        <f>'[3]LDC - Results (Net)'!$K$34</f>
        <v>73.239000000000004</v>
      </c>
      <c r="G200" s="290">
        <f>'[3]LDC - Results (Net)'!$P34</f>
        <v>1667.6880000000001</v>
      </c>
      <c r="H200" s="499"/>
      <c r="I200" s="503"/>
      <c r="J200" s="503"/>
      <c r="K200" s="503"/>
      <c r="L200" s="503"/>
      <c r="M200" s="503"/>
      <c r="N200" s="503"/>
      <c r="O200" s="288">
        <v>1</v>
      </c>
      <c r="P200" s="246">
        <f t="shared" si="16"/>
        <v>1</v>
      </c>
      <c r="Q200" s="66"/>
    </row>
    <row r="201" spans="1:17" ht="15" outlineLevel="1" x14ac:dyDescent="0.25">
      <c r="A201" s="632"/>
      <c r="B201" s="147"/>
      <c r="C201" s="250" t="s">
        <v>257</v>
      </c>
      <c r="D201" s="247" t="s">
        <v>254</v>
      </c>
      <c r="E201" s="247"/>
      <c r="F201" s="290">
        <f>'[3]LDC - Adjustments (Net)'!$K$35</f>
        <v>27.45</v>
      </c>
      <c r="G201" s="290">
        <f>'[3]LDC - Adjustments (Net)'!$P$35</f>
        <v>19773</v>
      </c>
      <c r="H201" s="499"/>
      <c r="I201" s="503"/>
      <c r="J201" s="503"/>
      <c r="K201" s="503"/>
      <c r="L201" s="503"/>
      <c r="M201" s="503"/>
      <c r="N201" s="503"/>
      <c r="O201" s="288">
        <v>1</v>
      </c>
      <c r="P201" s="246">
        <f t="shared" si="16"/>
        <v>1</v>
      </c>
      <c r="Q201" s="66"/>
    </row>
    <row r="202" spans="1:17" ht="15" hidden="1" outlineLevel="1" x14ac:dyDescent="0.25">
      <c r="A202" s="632"/>
      <c r="B202" s="513"/>
      <c r="C202" s="707"/>
      <c r="D202" s="707"/>
      <c r="E202" s="535"/>
      <c r="F202" s="502"/>
      <c r="G202" s="502"/>
      <c r="H202" s="499"/>
      <c r="I202" s="503"/>
      <c r="J202" s="503"/>
      <c r="K202" s="503"/>
      <c r="L202" s="503"/>
      <c r="M202" s="503"/>
      <c r="N202" s="503"/>
      <c r="O202" s="503"/>
      <c r="P202" s="501"/>
      <c r="Q202" s="66"/>
    </row>
    <row r="203" spans="1:17" ht="15" hidden="1" outlineLevel="1" x14ac:dyDescent="0.25">
      <c r="A203" s="632"/>
      <c r="B203" s="513"/>
      <c r="C203" s="707"/>
      <c r="D203" s="707"/>
      <c r="E203" s="535"/>
      <c r="F203" s="502"/>
      <c r="G203" s="502"/>
      <c r="H203" s="499"/>
      <c r="I203" s="503"/>
      <c r="J203" s="503"/>
      <c r="K203" s="503"/>
      <c r="L203" s="503"/>
      <c r="M203" s="503"/>
      <c r="N203" s="503"/>
      <c r="O203" s="503"/>
      <c r="P203" s="501"/>
      <c r="Q203" s="66"/>
    </row>
    <row r="204" spans="1:17" ht="15" hidden="1" outlineLevel="1" x14ac:dyDescent="0.25">
      <c r="A204" s="632"/>
      <c r="B204" s="513"/>
      <c r="C204" s="707"/>
      <c r="D204" s="707"/>
      <c r="E204" s="535"/>
      <c r="F204" s="502"/>
      <c r="G204" s="502"/>
      <c r="H204" s="499"/>
      <c r="I204" s="503"/>
      <c r="J204" s="503"/>
      <c r="K204" s="503"/>
      <c r="L204" s="503"/>
      <c r="M204" s="503"/>
      <c r="N204" s="503"/>
      <c r="O204" s="503"/>
      <c r="P204" s="501"/>
      <c r="Q204" s="66"/>
    </row>
    <row r="205" spans="1:17" s="42" customFormat="1" ht="15" outlineLevel="1" x14ac:dyDescent="0.25">
      <c r="A205" s="632"/>
      <c r="B205" s="368"/>
      <c r="C205" s="711" t="s">
        <v>15</v>
      </c>
      <c r="D205" s="711"/>
      <c r="E205" s="369"/>
      <c r="F205" s="370"/>
      <c r="G205" s="370"/>
      <c r="H205" s="370"/>
      <c r="I205" s="370"/>
      <c r="J205" s="533"/>
      <c r="K205" s="533"/>
      <c r="L205" s="533"/>
      <c r="M205" s="533"/>
      <c r="N205" s="533"/>
      <c r="O205" s="370"/>
      <c r="P205" s="371"/>
      <c r="Q205" s="146"/>
    </row>
    <row r="206" spans="1:17" ht="15" outlineLevel="1" x14ac:dyDescent="0.25">
      <c r="A206" s="632"/>
      <c r="B206" s="267">
        <v>23</v>
      </c>
      <c r="C206" s="249" t="s">
        <v>15</v>
      </c>
      <c r="D206" s="247" t="s">
        <v>33</v>
      </c>
      <c r="E206" s="247"/>
      <c r="F206" s="290">
        <f>'[3]LDC - Results (Net)'!$K$38</f>
        <v>2.1030000000000002</v>
      </c>
      <c r="G206" s="290">
        <f>'[3]LDC - Results (Net)'!$P$38</f>
        <v>15763.512000000001</v>
      </c>
      <c r="H206" s="289">
        <v>1</v>
      </c>
      <c r="I206" s="503"/>
      <c r="J206" s="503"/>
      <c r="K206" s="503"/>
      <c r="L206" s="503"/>
      <c r="M206" s="503"/>
      <c r="N206" s="503"/>
      <c r="O206" s="503"/>
      <c r="P206" s="246">
        <f t="shared" ref="P206:P207" si="17">SUM(H206:O206)</f>
        <v>1</v>
      </c>
      <c r="Q206" s="66"/>
    </row>
    <row r="207" spans="1:17" ht="15" hidden="1" outlineLevel="1" x14ac:dyDescent="0.25">
      <c r="A207" s="632"/>
      <c r="B207" s="510"/>
      <c r="C207" s="515" t="s">
        <v>257</v>
      </c>
      <c r="D207" s="512" t="s">
        <v>254</v>
      </c>
      <c r="E207" s="512"/>
      <c r="F207" s="502">
        <f>'[3]LDC - Adjustments (Net)'!$K$39</f>
        <v>0</v>
      </c>
      <c r="G207" s="502">
        <f>'[3]LDC - Adjustments (Net)'!$P$39</f>
        <v>0</v>
      </c>
      <c r="H207" s="499"/>
      <c r="I207" s="503"/>
      <c r="J207" s="503"/>
      <c r="K207" s="503"/>
      <c r="L207" s="503"/>
      <c r="M207" s="503"/>
      <c r="N207" s="503"/>
      <c r="O207" s="503"/>
      <c r="P207" s="501">
        <f t="shared" si="17"/>
        <v>0</v>
      </c>
      <c r="Q207" s="66"/>
    </row>
    <row r="208" spans="1:17" ht="15" hidden="1" outlineLevel="1" x14ac:dyDescent="0.25">
      <c r="A208" s="632"/>
      <c r="B208" s="510"/>
      <c r="C208" s="707"/>
      <c r="D208" s="707"/>
      <c r="E208" s="535"/>
      <c r="F208" s="502"/>
      <c r="G208" s="502"/>
      <c r="H208" s="499"/>
      <c r="I208" s="503"/>
      <c r="J208" s="503"/>
      <c r="K208" s="503"/>
      <c r="L208" s="503"/>
      <c r="M208" s="503"/>
      <c r="N208" s="503"/>
      <c r="O208" s="503"/>
      <c r="P208" s="501"/>
      <c r="Q208" s="66"/>
    </row>
    <row r="209" spans="1:17" ht="15" hidden="1" outlineLevel="1" x14ac:dyDescent="0.25">
      <c r="A209" s="632"/>
      <c r="B209" s="510"/>
      <c r="C209" s="707"/>
      <c r="D209" s="707"/>
      <c r="E209" s="535"/>
      <c r="F209" s="502"/>
      <c r="G209" s="502"/>
      <c r="H209" s="499"/>
      <c r="I209" s="503"/>
      <c r="J209" s="503"/>
      <c r="K209" s="503"/>
      <c r="L209" s="503"/>
      <c r="M209" s="503"/>
      <c r="N209" s="503"/>
      <c r="O209" s="503"/>
      <c r="P209" s="501"/>
      <c r="Q209" s="66"/>
    </row>
    <row r="210" spans="1:17" s="42" customFormat="1" ht="15" hidden="1" outlineLevel="1" x14ac:dyDescent="0.25">
      <c r="A210" s="632"/>
      <c r="B210" s="368"/>
      <c r="C210" s="711" t="s">
        <v>16</v>
      </c>
      <c r="D210" s="711"/>
      <c r="E210" s="369"/>
      <c r="F210" s="370"/>
      <c r="G210" s="370"/>
      <c r="H210" s="370"/>
      <c r="I210" s="370"/>
      <c r="J210" s="533"/>
      <c r="K210" s="533"/>
      <c r="L210" s="533"/>
      <c r="M210" s="533"/>
      <c r="N210" s="533"/>
      <c r="O210" s="370"/>
      <c r="P210" s="371"/>
      <c r="Q210" s="146"/>
    </row>
    <row r="211" spans="1:17" ht="15" hidden="1" outlineLevel="1" x14ac:dyDescent="0.25">
      <c r="A211" s="632"/>
      <c r="B211" s="510">
        <v>24</v>
      </c>
      <c r="C211" s="511" t="s">
        <v>17</v>
      </c>
      <c r="D211" s="512" t="s">
        <v>33</v>
      </c>
      <c r="E211" s="512"/>
      <c r="F211" s="502">
        <f>'[3]LDC - Results (Net)'!$K$47</f>
        <v>0</v>
      </c>
      <c r="G211" s="502">
        <f>'[3]LDC - Results (Net)'!$P47</f>
        <v>0</v>
      </c>
      <c r="H211" s="499"/>
      <c r="I211" s="503"/>
      <c r="J211" s="503">
        <v>0</v>
      </c>
      <c r="K211" s="503">
        <v>0</v>
      </c>
      <c r="L211" s="503"/>
      <c r="M211" s="503"/>
      <c r="N211" s="503"/>
      <c r="O211" s="503"/>
      <c r="P211" s="501">
        <f t="shared" ref="P211:P216" si="18">SUM(H211:O211)</f>
        <v>0</v>
      </c>
      <c r="Q211" s="66"/>
    </row>
    <row r="212" spans="1:17" ht="15" hidden="1" outlineLevel="1" x14ac:dyDescent="0.25">
      <c r="A212" s="632"/>
      <c r="B212" s="510">
        <v>25</v>
      </c>
      <c r="C212" s="511" t="s">
        <v>18</v>
      </c>
      <c r="D212" s="512" t="s">
        <v>33</v>
      </c>
      <c r="E212" s="512"/>
      <c r="F212" s="502">
        <f>'[3]LDC - Results (Net)'!$K$48</f>
        <v>0</v>
      </c>
      <c r="G212" s="502">
        <f>'[3]LDC - Results (Net)'!$P48</f>
        <v>0</v>
      </c>
      <c r="H212" s="499"/>
      <c r="I212" s="503"/>
      <c r="J212" s="503">
        <v>0</v>
      </c>
      <c r="K212" s="503">
        <v>0</v>
      </c>
      <c r="L212" s="503"/>
      <c r="M212" s="503"/>
      <c r="N212" s="503"/>
      <c r="O212" s="503"/>
      <c r="P212" s="501">
        <f t="shared" si="18"/>
        <v>0</v>
      </c>
      <c r="Q212" s="66"/>
    </row>
    <row r="213" spans="1:17" ht="15" hidden="1" outlineLevel="1" x14ac:dyDescent="0.25">
      <c r="A213" s="632"/>
      <c r="B213" s="510">
        <v>26</v>
      </c>
      <c r="C213" s="511" t="s">
        <v>19</v>
      </c>
      <c r="D213" s="512" t="s">
        <v>33</v>
      </c>
      <c r="E213" s="512"/>
      <c r="F213" s="502">
        <f>'[3]LDC - Results (Net)'!$K$49</f>
        <v>0</v>
      </c>
      <c r="G213" s="502">
        <f>'[3]LDC - Results (Net)'!$P49</f>
        <v>0</v>
      </c>
      <c r="H213" s="499"/>
      <c r="I213" s="503"/>
      <c r="J213" s="503">
        <v>0</v>
      </c>
      <c r="K213" s="503">
        <v>0</v>
      </c>
      <c r="L213" s="503"/>
      <c r="M213" s="503"/>
      <c r="N213" s="503"/>
      <c r="O213" s="503"/>
      <c r="P213" s="501">
        <f t="shared" si="18"/>
        <v>0</v>
      </c>
      <c r="Q213" s="66"/>
    </row>
    <row r="214" spans="1:17" ht="15" hidden="1" outlineLevel="1" x14ac:dyDescent="0.25">
      <c r="A214" s="632"/>
      <c r="B214" s="510">
        <v>27</v>
      </c>
      <c r="C214" s="511" t="s">
        <v>20</v>
      </c>
      <c r="D214" s="512" t="s">
        <v>33</v>
      </c>
      <c r="E214" s="512"/>
      <c r="F214" s="502">
        <f>'[3]LDC - Results (Net)'!$K$50</f>
        <v>0</v>
      </c>
      <c r="G214" s="502">
        <f>'[3]LDC - Results (Net)'!$P50</f>
        <v>0</v>
      </c>
      <c r="H214" s="499"/>
      <c r="I214" s="503"/>
      <c r="J214" s="503">
        <v>0</v>
      </c>
      <c r="K214" s="503">
        <v>0</v>
      </c>
      <c r="L214" s="503"/>
      <c r="M214" s="503"/>
      <c r="N214" s="503"/>
      <c r="O214" s="503"/>
      <c r="P214" s="501">
        <f t="shared" si="18"/>
        <v>0</v>
      </c>
      <c r="Q214" s="66"/>
    </row>
    <row r="215" spans="1:17" ht="15" hidden="1" outlineLevel="1" x14ac:dyDescent="0.25">
      <c r="A215" s="632"/>
      <c r="B215" s="510">
        <v>28</v>
      </c>
      <c r="C215" s="511" t="s">
        <v>103</v>
      </c>
      <c r="D215" s="512" t="s">
        <v>33</v>
      </c>
      <c r="E215" s="512"/>
      <c r="F215" s="502">
        <f>'[3]LDC - Results (Net)'!$K$51</f>
        <v>0</v>
      </c>
      <c r="G215" s="502">
        <f>'[3]LDC - Results (Net)'!$P51</f>
        <v>0</v>
      </c>
      <c r="H215" s="499"/>
      <c r="I215" s="503"/>
      <c r="J215" s="503">
        <v>0</v>
      </c>
      <c r="K215" s="503">
        <v>0</v>
      </c>
      <c r="L215" s="503"/>
      <c r="M215" s="503"/>
      <c r="N215" s="503"/>
      <c r="O215" s="503"/>
      <c r="P215" s="501">
        <f t="shared" si="18"/>
        <v>0</v>
      </c>
      <c r="Q215" s="66"/>
    </row>
    <row r="216" spans="1:17" ht="15" hidden="1" outlineLevel="1" x14ac:dyDescent="0.25">
      <c r="A216" s="632"/>
      <c r="B216" s="510"/>
      <c r="C216" s="515" t="s">
        <v>257</v>
      </c>
      <c r="D216" s="512" t="s">
        <v>254</v>
      </c>
      <c r="E216" s="512"/>
      <c r="F216" s="502">
        <f>'[3]LDC - Adjustments (Net)'!$K$52</f>
        <v>0</v>
      </c>
      <c r="G216" s="502">
        <f>'[3]LDC - Adjustments (Net)'!$P$52</f>
        <v>0</v>
      </c>
      <c r="H216" s="499"/>
      <c r="I216" s="503"/>
      <c r="J216" s="503"/>
      <c r="K216" s="503"/>
      <c r="L216" s="503"/>
      <c r="M216" s="503"/>
      <c r="N216" s="503"/>
      <c r="O216" s="503"/>
      <c r="P216" s="501">
        <f t="shared" si="18"/>
        <v>0</v>
      </c>
      <c r="Q216" s="66"/>
    </row>
    <row r="217" spans="1:17" ht="15" hidden="1" outlineLevel="1" x14ac:dyDescent="0.25">
      <c r="A217" s="632"/>
      <c r="B217" s="510"/>
      <c r="C217" s="707"/>
      <c r="D217" s="707"/>
      <c r="E217" s="535"/>
      <c r="F217" s="502"/>
      <c r="G217" s="502"/>
      <c r="H217" s="499"/>
      <c r="I217" s="503"/>
      <c r="J217" s="503"/>
      <c r="K217" s="503"/>
      <c r="L217" s="503"/>
      <c r="M217" s="503"/>
      <c r="N217" s="503"/>
      <c r="O217" s="503"/>
      <c r="P217" s="501"/>
      <c r="Q217" s="66"/>
    </row>
    <row r="218" spans="1:17" ht="15" hidden="1" outlineLevel="1" x14ac:dyDescent="0.25">
      <c r="A218" s="632"/>
      <c r="B218" s="510"/>
      <c r="C218" s="707"/>
      <c r="D218" s="707"/>
      <c r="E218" s="535"/>
      <c r="F218" s="502"/>
      <c r="G218" s="502"/>
      <c r="H218" s="499"/>
      <c r="I218" s="503"/>
      <c r="J218" s="503"/>
      <c r="K218" s="503"/>
      <c r="L218" s="503"/>
      <c r="M218" s="503"/>
      <c r="N218" s="503"/>
      <c r="O218" s="503"/>
      <c r="P218" s="501"/>
      <c r="Q218" s="66"/>
    </row>
    <row r="219" spans="1:17" s="42" customFormat="1" ht="15" hidden="1" outlineLevel="1" x14ac:dyDescent="0.25">
      <c r="A219" s="632"/>
      <c r="B219" s="368"/>
      <c r="C219" s="711" t="s">
        <v>104</v>
      </c>
      <c r="D219" s="711"/>
      <c r="E219" s="369"/>
      <c r="F219" s="370"/>
      <c r="G219" s="370"/>
      <c r="H219" s="370"/>
      <c r="I219" s="370"/>
      <c r="J219" s="533"/>
      <c r="K219" s="533"/>
      <c r="L219" s="533"/>
      <c r="M219" s="533"/>
      <c r="N219" s="533"/>
      <c r="O219" s="370"/>
      <c r="P219" s="371"/>
      <c r="Q219" s="146"/>
    </row>
    <row r="220" spans="1:17" ht="15" hidden="1" outlineLevel="1" x14ac:dyDescent="0.25">
      <c r="A220" s="632"/>
      <c r="B220" s="513">
        <v>29</v>
      </c>
      <c r="C220" s="511" t="s">
        <v>106</v>
      </c>
      <c r="D220" s="512" t="s">
        <v>33</v>
      </c>
      <c r="E220" s="512"/>
      <c r="F220" s="502">
        <f>'[3]LDC - Results (Net)'!$K$55</f>
        <v>0</v>
      </c>
      <c r="G220" s="502">
        <f>'[3]LDC - Results (Net)'!$P55</f>
        <v>0</v>
      </c>
      <c r="H220" s="499"/>
      <c r="I220" s="503"/>
      <c r="J220" s="503"/>
      <c r="K220" s="503"/>
      <c r="L220" s="503"/>
      <c r="M220" s="503"/>
      <c r="N220" s="503"/>
      <c r="O220" s="503"/>
      <c r="P220" s="501">
        <f t="shared" ref="P220:P222" si="19">SUM(H220:O220)</f>
        <v>0</v>
      </c>
      <c r="Q220" s="66"/>
    </row>
    <row r="221" spans="1:17" ht="15" hidden="1" outlineLevel="1" x14ac:dyDescent="0.25">
      <c r="A221" s="632"/>
      <c r="B221" s="513">
        <v>30</v>
      </c>
      <c r="C221" s="511" t="s">
        <v>105</v>
      </c>
      <c r="D221" s="512" t="s">
        <v>33</v>
      </c>
      <c r="E221" s="512"/>
      <c r="F221" s="502">
        <f>'[3]LDC - Results (Net)'!$K$56</f>
        <v>0</v>
      </c>
      <c r="G221" s="502">
        <f>'[3]LDC - Results (Net)'!$P56</f>
        <v>0</v>
      </c>
      <c r="H221" s="499"/>
      <c r="I221" s="503"/>
      <c r="J221" s="503"/>
      <c r="K221" s="503"/>
      <c r="L221" s="503"/>
      <c r="M221" s="503"/>
      <c r="N221" s="503"/>
      <c r="O221" s="503"/>
      <c r="P221" s="501">
        <f t="shared" si="19"/>
        <v>0</v>
      </c>
      <c r="Q221" s="66"/>
    </row>
    <row r="222" spans="1:17" ht="15" hidden="1" outlineLevel="1" x14ac:dyDescent="0.25">
      <c r="A222" s="632"/>
      <c r="B222" s="513"/>
      <c r="C222" s="515" t="s">
        <v>257</v>
      </c>
      <c r="D222" s="512" t="s">
        <v>254</v>
      </c>
      <c r="E222" s="512"/>
      <c r="F222" s="502">
        <f>'[3]LDC - Adjustments (Net)'!$K$58</f>
        <v>0</v>
      </c>
      <c r="G222" s="502">
        <f>'[3]LDC - Adjustments (Net)'!$P$58</f>
        <v>0</v>
      </c>
      <c r="H222" s="499"/>
      <c r="I222" s="503"/>
      <c r="J222" s="503"/>
      <c r="K222" s="503"/>
      <c r="L222" s="503"/>
      <c r="M222" s="503"/>
      <c r="N222" s="503"/>
      <c r="O222" s="503"/>
      <c r="P222" s="501">
        <f t="shared" si="19"/>
        <v>0</v>
      </c>
      <c r="Q222" s="66"/>
    </row>
    <row r="223" spans="1:17" ht="15" hidden="1" outlineLevel="1" x14ac:dyDescent="0.25">
      <c r="A223" s="632"/>
      <c r="B223" s="513"/>
      <c r="C223" s="707"/>
      <c r="D223" s="707"/>
      <c r="E223" s="535"/>
      <c r="F223" s="502"/>
      <c r="G223" s="502"/>
      <c r="H223" s="499"/>
      <c r="I223" s="503"/>
      <c r="J223" s="503"/>
      <c r="K223" s="503"/>
      <c r="L223" s="503"/>
      <c r="M223" s="503"/>
      <c r="N223" s="503"/>
      <c r="O223" s="503"/>
      <c r="P223" s="501"/>
      <c r="Q223" s="66"/>
    </row>
    <row r="224" spans="1:17" s="42" customFormat="1" ht="15" hidden="1" outlineLevel="1" x14ac:dyDescent="0.25">
      <c r="A224" s="632"/>
      <c r="B224" s="540"/>
      <c r="C224" s="712"/>
      <c r="D224" s="712"/>
      <c r="E224" s="539"/>
      <c r="F224" s="502"/>
      <c r="G224" s="502"/>
      <c r="H224" s="541"/>
      <c r="I224" s="534"/>
      <c r="J224" s="534"/>
      <c r="K224" s="534"/>
      <c r="L224" s="534"/>
      <c r="M224" s="534"/>
      <c r="N224" s="534"/>
      <c r="O224" s="534"/>
      <c r="P224" s="542"/>
      <c r="Q224" s="146"/>
    </row>
    <row r="225" spans="1:20" ht="15" collapsed="1" x14ac:dyDescent="0.25">
      <c r="A225" s="632"/>
      <c r="B225" s="338"/>
      <c r="C225" s="697" t="s">
        <v>222</v>
      </c>
      <c r="D225" s="697"/>
      <c r="E225" s="339"/>
      <c r="F225" s="520"/>
      <c r="G225" s="340">
        <f>SUM(G168:G224)</f>
        <v>971484.90780839999</v>
      </c>
      <c r="H225" s="341">
        <f>SUMPRODUCT(G169:G224,H169:H224)</f>
        <v>122891.6748084</v>
      </c>
      <c r="I225" s="341">
        <f>SUMPRODUCT(G169:G224,I169:I224)</f>
        <v>321493.23067700001</v>
      </c>
      <c r="J225" s="517"/>
      <c r="K225" s="517"/>
      <c r="L225" s="517"/>
      <c r="M225" s="517"/>
      <c r="N225" s="517"/>
      <c r="O225" s="341">
        <f>SUMPRODUCT(G169:G224,O169:O224)</f>
        <v>527100.00232299999</v>
      </c>
      <c r="P225" s="343">
        <f>SUM(H225:O225)</f>
        <v>971484.90780839999</v>
      </c>
      <c r="Q225" s="66"/>
      <c r="R225" s="528" t="s">
        <v>518</v>
      </c>
    </row>
    <row r="226" spans="1:20" ht="15" x14ac:dyDescent="0.25">
      <c r="A226" s="632"/>
      <c r="B226" s="461"/>
      <c r="C226" s="538" t="s">
        <v>502</v>
      </c>
      <c r="D226" s="462"/>
      <c r="E226" s="463"/>
      <c r="F226" s="521"/>
      <c r="G226" s="464">
        <f>G225-G175-G190-G200</f>
        <v>968261.63180840004</v>
      </c>
      <c r="H226" s="465">
        <f>H225-SUM(G175*H175,G176*H176)</f>
        <v>122891.6748084</v>
      </c>
      <c r="I226" s="465">
        <f>I225-SUM(G188*I188,G189*I189,G190*I190)</f>
        <v>321493.23067700001</v>
      </c>
      <c r="J226" s="518"/>
      <c r="K226" s="518"/>
      <c r="L226" s="518"/>
      <c r="M226" s="518"/>
      <c r="N226" s="518"/>
      <c r="O226" s="341">
        <f>O225-G190*O190-G200*O200</f>
        <v>523876.72632299998</v>
      </c>
      <c r="P226" s="466">
        <f>SUM(H226:O226)</f>
        <v>968261.63180839992</v>
      </c>
      <c r="Q226" s="66"/>
      <c r="R226" s="544">
        <f>P225-P226-G175-G190-G200</f>
        <v>7.071321306284517E-11</v>
      </c>
    </row>
    <row r="227" spans="1:20" ht="15" x14ac:dyDescent="0.25">
      <c r="A227" s="632"/>
      <c r="B227" s="268"/>
      <c r="C227" s="698" t="s">
        <v>318</v>
      </c>
      <c r="D227" s="698"/>
      <c r="E227" s="262"/>
      <c r="F227" s="519"/>
      <c r="G227" s="519"/>
      <c r="H227" s="516"/>
      <c r="I227" s="516"/>
      <c r="J227" s="516">
        <f>SUM($E$183*$F$183*J183,$E$184*$F$184*J184,$E$185*$F$185*J185,$E$186*$F$186*J186,$E$187*$F$187*J187,$E$196*$F$196*J196,$E$197*$F$197*J197,$E$198*$F$198*J198,$E$199*$F$199*J199,$F$211*J211,$F$212*J212,$F$213*J213,$F$214*J214,$F$215*J215)</f>
        <v>0</v>
      </c>
      <c r="K227" s="516">
        <f>SUM($E$183*$F$183*K183,$E$184*$F$184*K184,$E$185*$F$185*K185,$E$186*$F$186*K186,$E$187*$F$187*K187,$E$196*$F$196*K196,$E$197*$F$197*K197,$E$198*$F$198*K198,$E$199*$F$199*K199,$F$211*K211,$F$212*K212,$F$213*K213,$F$214*K214,$F$215*K215)</f>
        <v>0</v>
      </c>
      <c r="L227" s="516"/>
      <c r="M227" s="516"/>
      <c r="N227" s="516"/>
      <c r="O227" s="262">
        <f>SUMPRODUCT(E169:E224,F169:F224,O169:O224)-E190*F190*O190-E200*F200*O200</f>
        <v>1065.334824</v>
      </c>
      <c r="P227" s="269">
        <f>SUM(H227:O227)</f>
        <v>1065.334824</v>
      </c>
      <c r="Q227" s="66"/>
      <c r="T227" s="544">
        <f>P227-SUM(T183:T186)</f>
        <v>0</v>
      </c>
    </row>
    <row r="228" spans="1:20" ht="15" x14ac:dyDescent="0.25">
      <c r="A228" s="632"/>
      <c r="B228" s="268"/>
      <c r="C228" s="698" t="s">
        <v>498</v>
      </c>
      <c r="D228" s="698"/>
      <c r="E228" s="262"/>
      <c r="F228" s="519"/>
      <c r="G228" s="519"/>
      <c r="H228" s="516"/>
      <c r="I228" s="516"/>
      <c r="J228" s="516">
        <f>J227-($E$185*$F$185*J185)</f>
        <v>0</v>
      </c>
      <c r="K228" s="516">
        <f>K227-($E$185*$F$185*K185)</f>
        <v>0</v>
      </c>
      <c r="L228" s="516"/>
      <c r="M228" s="516"/>
      <c r="N228" s="516"/>
      <c r="O228" s="262">
        <f>O227</f>
        <v>1065.334824</v>
      </c>
      <c r="P228" s="269">
        <f>SUM(H228:O228)</f>
        <v>1065.334824</v>
      </c>
      <c r="Q228" s="66"/>
    </row>
    <row r="229" spans="1:20" ht="15" x14ac:dyDescent="0.25">
      <c r="A229" s="632"/>
      <c r="B229" s="270"/>
      <c r="C229" s="699"/>
      <c r="D229" s="699"/>
      <c r="E229" s="255"/>
      <c r="F229" s="253"/>
      <c r="G229" s="253"/>
      <c r="H229" s="545" t="s">
        <v>35</v>
      </c>
      <c r="I229" s="545" t="s">
        <v>35</v>
      </c>
      <c r="J229" s="253"/>
      <c r="K229" s="255"/>
      <c r="L229" s="255"/>
      <c r="M229" s="255"/>
      <c r="N229" s="255"/>
      <c r="O229" s="545" t="s">
        <v>36</v>
      </c>
      <c r="P229" s="271"/>
      <c r="Q229" s="66"/>
    </row>
    <row r="230" spans="1:20" ht="15" x14ac:dyDescent="0.25">
      <c r="A230" s="632"/>
      <c r="B230" s="366"/>
      <c r="C230" s="700" t="s">
        <v>322</v>
      </c>
      <c r="D230" s="700"/>
      <c r="E230" s="247"/>
      <c r="F230" s="257"/>
      <c r="G230" s="247"/>
      <c r="H230" s="258">
        <f>'3.  Distribution Rates'!G33</f>
        <v>1.2866666666666667E-2</v>
      </c>
      <c r="I230" s="258">
        <f>'3.  Distribution Rates'!G34</f>
        <v>1.3766666666666668E-2</v>
      </c>
      <c r="J230" s="522">
        <f>'3.  Distribution Rates'!G35</f>
        <v>0</v>
      </c>
      <c r="K230" s="522">
        <f>'3.  Distribution Rates'!G36</f>
        <v>0</v>
      </c>
      <c r="L230" s="522">
        <f>'3.  Distribution Rates'!G37</f>
        <v>0</v>
      </c>
      <c r="M230" s="522">
        <f>'3.  Distribution Rates'!G38</f>
        <v>19.448466666666665</v>
      </c>
      <c r="N230" s="522">
        <f>'3.  Distribution Rates'!G39</f>
        <v>1.6266666666666665E-2</v>
      </c>
      <c r="O230" s="258">
        <f>'3.  Distribution Rates'!G40</f>
        <v>2.5623</v>
      </c>
      <c r="P230" s="367"/>
      <c r="Q230" s="66"/>
    </row>
    <row r="231" spans="1:20" ht="15" x14ac:dyDescent="0.25">
      <c r="A231" s="632"/>
      <c r="B231" s="366"/>
      <c r="C231" s="700" t="s">
        <v>236</v>
      </c>
      <c r="D231" s="700"/>
      <c r="E231" s="255"/>
      <c r="F231" s="257"/>
      <c r="G231" s="257"/>
      <c r="H231" s="363">
        <f>H75*H230</f>
        <v>2580.1583579341805</v>
      </c>
      <c r="I231" s="363">
        <f>I75*I230</f>
        <v>6695.8240254645307</v>
      </c>
      <c r="J231" s="531">
        <f>J75*J230</f>
        <v>0</v>
      </c>
      <c r="K231" s="531">
        <f t="shared" ref="K231:N231" si="20">K75*K230</f>
        <v>0</v>
      </c>
      <c r="L231" s="531">
        <f t="shared" si="20"/>
        <v>0</v>
      </c>
      <c r="M231" s="531">
        <f t="shared" si="20"/>
        <v>0</v>
      </c>
      <c r="N231" s="531">
        <f t="shared" si="20"/>
        <v>0</v>
      </c>
      <c r="O231" s="363">
        <f t="shared" ref="O231" si="21">$O$69*S231*O230</f>
        <v>321.77071349217397</v>
      </c>
      <c r="P231" s="272">
        <f>SUM(H231:O231)</f>
        <v>9597.753096890885</v>
      </c>
      <c r="Q231" s="66"/>
      <c r="R231" s="529" t="s">
        <v>517</v>
      </c>
      <c r="S231" s="530">
        <f>'6.  Persistence Rates'!R25</f>
        <v>0.97324414715719065</v>
      </c>
    </row>
    <row r="232" spans="1:20" ht="15" x14ac:dyDescent="0.25">
      <c r="A232" s="632"/>
      <c r="B232" s="366"/>
      <c r="C232" s="700" t="s">
        <v>237</v>
      </c>
      <c r="D232" s="700"/>
      <c r="E232" s="255"/>
      <c r="F232" s="257"/>
      <c r="G232" s="257"/>
      <c r="H232" s="363">
        <f>H154*H230</f>
        <v>1658.8885382000001</v>
      </c>
      <c r="I232" s="363">
        <f>I154*I230</f>
        <v>6946.9710515006682</v>
      </c>
      <c r="J232" s="531">
        <f>J154*J230</f>
        <v>0</v>
      </c>
      <c r="K232" s="531">
        <f t="shared" ref="K232:N232" si="22">K154*K230</f>
        <v>0</v>
      </c>
      <c r="L232" s="531">
        <f t="shared" si="22"/>
        <v>0</v>
      </c>
      <c r="M232" s="531">
        <f t="shared" si="22"/>
        <v>0</v>
      </c>
      <c r="N232" s="531">
        <f t="shared" si="22"/>
        <v>0</v>
      </c>
      <c r="O232" s="363">
        <f>$O$147*S232*O230</f>
        <v>1566.7172383356001</v>
      </c>
      <c r="P232" s="272">
        <f>SUM(H232:O232)</f>
        <v>10172.576828036268</v>
      </c>
      <c r="Q232" s="66"/>
      <c r="R232" s="529" t="s">
        <v>517</v>
      </c>
      <c r="S232" s="530">
        <f>'6.  Persistence Rates'!R26</f>
        <v>1</v>
      </c>
    </row>
    <row r="233" spans="1:20" ht="15" x14ac:dyDescent="0.25">
      <c r="A233" s="632"/>
      <c r="B233" s="366"/>
      <c r="C233" s="700" t="s">
        <v>238</v>
      </c>
      <c r="D233" s="700"/>
      <c r="E233" s="255"/>
      <c r="F233" s="257"/>
      <c r="G233" s="257"/>
      <c r="H233" s="363">
        <f>H225*H230</f>
        <v>1581.2062158680801</v>
      </c>
      <c r="I233" s="363">
        <f>I225*I230</f>
        <v>4425.8901423200341</v>
      </c>
      <c r="J233" s="531">
        <f>J227*J230</f>
        <v>0</v>
      </c>
      <c r="K233" s="531">
        <f>K227*K230</f>
        <v>0</v>
      </c>
      <c r="L233" s="531">
        <f>L227*L230</f>
        <v>0</v>
      </c>
      <c r="M233" s="531">
        <f>M227*M230</f>
        <v>0</v>
      </c>
      <c r="N233" s="531">
        <f>N225*N230</f>
        <v>0</v>
      </c>
      <c r="O233" s="363">
        <f>O227*O230</f>
        <v>2729.7074195352002</v>
      </c>
      <c r="P233" s="272">
        <f>SUM(H233:O233)</f>
        <v>8736.8037777233149</v>
      </c>
      <c r="Q233" s="66"/>
    </row>
    <row r="234" spans="1:20" ht="15" x14ac:dyDescent="0.25">
      <c r="A234" s="632"/>
      <c r="B234" s="270"/>
      <c r="C234" s="364" t="s">
        <v>97</v>
      </c>
      <c r="D234" s="255"/>
      <c r="E234" s="255"/>
      <c r="F234" s="253"/>
      <c r="G234" s="253"/>
      <c r="H234" s="259">
        <f>SUM(H231:H233)</f>
        <v>5820.2531120022604</v>
      </c>
      <c r="I234" s="259">
        <f>SUM(I231:I233)</f>
        <v>18068.685219285231</v>
      </c>
      <c r="J234" s="523">
        <f>SUM(J231:J233)</f>
        <v>0</v>
      </c>
      <c r="K234" s="523">
        <f>SUM(K231:K233)</f>
        <v>0</v>
      </c>
      <c r="L234" s="523">
        <f>SUM(L231:L233)</f>
        <v>0</v>
      </c>
      <c r="M234" s="523">
        <f t="shared" ref="M234:N234" si="23">SUM(M231:M233)</f>
        <v>0</v>
      </c>
      <c r="N234" s="523">
        <f t="shared" si="23"/>
        <v>0</v>
      </c>
      <c r="O234" s="259">
        <f>SUM(O231:O233)</f>
        <v>4618.1953713629737</v>
      </c>
      <c r="P234" s="259">
        <f>SUM(P231:P233)</f>
        <v>28507.133702650466</v>
      </c>
      <c r="Q234" s="66"/>
    </row>
    <row r="235" spans="1:20" ht="15" x14ac:dyDescent="0.25">
      <c r="A235" s="632"/>
      <c r="B235" s="270"/>
      <c r="C235" s="700" t="s">
        <v>100</v>
      </c>
      <c r="D235" s="700"/>
      <c r="E235" s="255"/>
      <c r="F235" s="253"/>
      <c r="G235" s="253"/>
      <c r="H235" s="247">
        <f>$H$226*'6.  Persistence Rates'!$G$27</f>
        <v>122525.56256964609</v>
      </c>
      <c r="I235" s="247">
        <f>$I$226*'6.  Persistence Rates'!$G$27</f>
        <v>320535.45541182527</v>
      </c>
      <c r="J235" s="512">
        <f>$J$228*'6.  Persistence Rates'!$S$27</f>
        <v>0</v>
      </c>
      <c r="K235" s="512">
        <f>$K$228*'6.  Persistence Rates'!$S$27</f>
        <v>0</v>
      </c>
      <c r="L235" s="512">
        <f>L227*'6.  Persistence Rates'!$S$27</f>
        <v>0</v>
      </c>
      <c r="M235" s="512">
        <f>$M$227*'6.  Persistence Rates'!$S$27</f>
        <v>0</v>
      </c>
      <c r="N235" s="512">
        <f>$N$225*'6.  Persistence Rates'!$G$27</f>
        <v>0</v>
      </c>
      <c r="O235" s="247">
        <f>$O$228*'6.  Persistence Rates'!$S27</f>
        <v>578.80395949606293</v>
      </c>
      <c r="P235" s="367"/>
      <c r="Q235" s="66"/>
    </row>
    <row r="236" spans="1:20" ht="15" customHeight="1" x14ac:dyDescent="0.25">
      <c r="A236" s="241"/>
      <c r="B236" s="270"/>
      <c r="C236" s="700" t="s">
        <v>429</v>
      </c>
      <c r="D236" s="700"/>
      <c r="E236" s="255"/>
      <c r="F236" s="253"/>
      <c r="G236" s="253"/>
      <c r="H236" s="247">
        <f>$H$226*'6.  Persistence Rates'!$H$27</f>
        <v>121696.80592195955</v>
      </c>
      <c r="I236" s="247">
        <f>$I$226*'6.  Persistence Rates'!$H$27</f>
        <v>318367.36996156839</v>
      </c>
      <c r="J236" s="512">
        <f>$J$228*'6.  Persistence Rates'!$S$27</f>
        <v>0</v>
      </c>
      <c r="K236" s="512">
        <f>$K$228*'6.  Persistence Rates'!$S$27</f>
        <v>0</v>
      </c>
      <c r="L236" s="512">
        <f>L228*'6.  Persistence Rates'!$S$27</f>
        <v>0</v>
      </c>
      <c r="M236" s="512">
        <f>$M$227*'6.  Persistence Rates'!$S$27</f>
        <v>0</v>
      </c>
      <c r="N236" s="512">
        <f>$N$225*'6.  Persistence Rates'!$G$27</f>
        <v>0</v>
      </c>
      <c r="O236" s="247">
        <f>$O$228*'6.  Persistence Rates'!$T27</f>
        <v>575.00802675010198</v>
      </c>
      <c r="P236" s="367"/>
      <c r="Q236" s="66"/>
      <c r="T236"/>
    </row>
    <row r="237" spans="1:20" ht="15" hidden="1" x14ac:dyDescent="0.25">
      <c r="A237" s="241"/>
      <c r="B237" s="270"/>
      <c r="C237" s="713" t="s">
        <v>430</v>
      </c>
      <c r="D237" s="713"/>
      <c r="E237" s="524"/>
      <c r="F237" s="572"/>
      <c r="G237" s="572"/>
      <c r="H237" s="512">
        <v>0</v>
      </c>
      <c r="I237" s="512">
        <v>0</v>
      </c>
      <c r="J237" s="512">
        <v>0</v>
      </c>
      <c r="K237" s="512">
        <v>0</v>
      </c>
      <c r="L237" s="512">
        <v>0</v>
      </c>
      <c r="M237" s="512">
        <v>0</v>
      </c>
      <c r="N237" s="512">
        <v>0</v>
      </c>
      <c r="O237" s="524">
        <v>0</v>
      </c>
      <c r="P237" s="580"/>
      <c r="Q237" s="66"/>
    </row>
    <row r="238" spans="1:20" ht="15" hidden="1" x14ac:dyDescent="0.25">
      <c r="A238" s="241"/>
      <c r="B238" s="270"/>
      <c r="C238" s="713" t="s">
        <v>431</v>
      </c>
      <c r="D238" s="713"/>
      <c r="E238" s="524"/>
      <c r="F238" s="572"/>
      <c r="G238" s="572"/>
      <c r="H238" s="512">
        <v>0</v>
      </c>
      <c r="I238" s="512">
        <v>0</v>
      </c>
      <c r="J238" s="512">
        <v>0</v>
      </c>
      <c r="K238" s="512">
        <v>0</v>
      </c>
      <c r="L238" s="512">
        <v>0</v>
      </c>
      <c r="M238" s="512">
        <v>0</v>
      </c>
      <c r="N238" s="512">
        <v>0</v>
      </c>
      <c r="O238" s="524">
        <v>0</v>
      </c>
      <c r="P238" s="580"/>
      <c r="Q238" s="66"/>
    </row>
    <row r="239" spans="1:20" ht="15" hidden="1" x14ac:dyDescent="0.25">
      <c r="A239" s="241"/>
      <c r="B239" s="270"/>
      <c r="C239" s="713" t="s">
        <v>432</v>
      </c>
      <c r="D239" s="713"/>
      <c r="E239" s="524"/>
      <c r="F239" s="572"/>
      <c r="G239" s="572"/>
      <c r="H239" s="512">
        <v>0</v>
      </c>
      <c r="I239" s="512">
        <v>0</v>
      </c>
      <c r="J239" s="512">
        <v>0</v>
      </c>
      <c r="K239" s="512">
        <v>0</v>
      </c>
      <c r="L239" s="512">
        <v>0</v>
      </c>
      <c r="M239" s="512">
        <v>0</v>
      </c>
      <c r="N239" s="512">
        <v>0</v>
      </c>
      <c r="O239" s="524">
        <v>0</v>
      </c>
      <c r="P239" s="580"/>
      <c r="Q239" s="66"/>
    </row>
    <row r="240" spans="1:20" ht="15" hidden="1" x14ac:dyDescent="0.25">
      <c r="A240" s="241"/>
      <c r="B240" s="270"/>
      <c r="C240" s="713" t="s">
        <v>433</v>
      </c>
      <c r="D240" s="713"/>
      <c r="E240" s="524"/>
      <c r="F240" s="572"/>
      <c r="G240" s="572"/>
      <c r="H240" s="512">
        <v>0</v>
      </c>
      <c r="I240" s="512">
        <v>0</v>
      </c>
      <c r="J240" s="512">
        <v>0</v>
      </c>
      <c r="K240" s="512">
        <v>0</v>
      </c>
      <c r="L240" s="512">
        <v>0</v>
      </c>
      <c r="M240" s="512">
        <v>0</v>
      </c>
      <c r="N240" s="512">
        <v>0</v>
      </c>
      <c r="O240" s="524">
        <v>0</v>
      </c>
      <c r="P240" s="580"/>
      <c r="Q240" s="66"/>
    </row>
    <row r="241" spans="1:17" ht="15" hidden="1" x14ac:dyDescent="0.25">
      <c r="A241" s="241"/>
      <c r="B241" s="274"/>
      <c r="C241" s="714" t="s">
        <v>434</v>
      </c>
      <c r="D241" s="714"/>
      <c r="E241" s="581"/>
      <c r="F241" s="582"/>
      <c r="G241" s="582"/>
      <c r="H241" s="525">
        <v>0</v>
      </c>
      <c r="I241" s="525">
        <v>0</v>
      </c>
      <c r="J241" s="525">
        <v>0</v>
      </c>
      <c r="K241" s="525">
        <v>0</v>
      </c>
      <c r="L241" s="525">
        <v>0</v>
      </c>
      <c r="M241" s="525">
        <v>0</v>
      </c>
      <c r="N241" s="525">
        <v>0</v>
      </c>
      <c r="O241" s="581">
        <v>0</v>
      </c>
      <c r="P241" s="583"/>
      <c r="Q241" s="66"/>
    </row>
    <row r="242" spans="1:17" x14ac:dyDescent="0.25">
      <c r="B242" s="69"/>
      <c r="C242" s="140"/>
      <c r="D242" s="69"/>
      <c r="E242" s="69"/>
      <c r="F242" s="66"/>
      <c r="G242" s="66"/>
      <c r="H242" s="66"/>
      <c r="I242" s="66"/>
      <c r="J242" s="66"/>
      <c r="K242" s="66"/>
      <c r="L242" s="66"/>
      <c r="M242" s="66"/>
      <c r="N242" s="66"/>
      <c r="O242" s="66"/>
      <c r="P242" s="66"/>
      <c r="Q242" s="66"/>
    </row>
    <row r="243" spans="1:17" x14ac:dyDescent="0.25">
      <c r="B243" s="69"/>
      <c r="C243" s="140"/>
      <c r="D243" s="69"/>
      <c r="E243" s="69"/>
      <c r="F243" s="66"/>
      <c r="G243" s="66"/>
      <c r="H243" s="66"/>
      <c r="I243" s="66"/>
      <c r="J243" s="66"/>
      <c r="K243" s="66"/>
      <c r="L243" s="66"/>
      <c r="M243" s="66"/>
      <c r="N243" s="66"/>
      <c r="O243" s="66"/>
      <c r="P243" s="66"/>
      <c r="Q243" s="66"/>
    </row>
    <row r="244" spans="1:17" x14ac:dyDescent="0.25">
      <c r="B244" s="706" t="s">
        <v>355</v>
      </c>
      <c r="C244" s="706"/>
      <c r="D244" s="706"/>
      <c r="E244" s="706"/>
      <c r="F244" s="706"/>
      <c r="G244" s="706"/>
      <c r="H244" s="706"/>
      <c r="I244" s="706"/>
      <c r="J244" s="706"/>
      <c r="K244" s="706"/>
      <c r="L244" s="706"/>
      <c r="M244" s="706"/>
      <c r="N244" s="706"/>
      <c r="O244" s="706"/>
      <c r="P244" s="706"/>
      <c r="Q244" s="66"/>
    </row>
    <row r="245" spans="1:17" x14ac:dyDescent="0.25">
      <c r="B245" s="69"/>
      <c r="C245" s="140"/>
      <c r="D245" s="69"/>
      <c r="E245" s="69"/>
      <c r="F245" s="66"/>
      <c r="G245" s="66"/>
      <c r="H245" s="66"/>
      <c r="I245" s="66"/>
      <c r="J245" s="66"/>
      <c r="K245" s="66"/>
      <c r="L245" s="66"/>
      <c r="M245" s="66"/>
      <c r="N245" s="66"/>
      <c r="O245" s="66"/>
      <c r="P245" s="66"/>
      <c r="Q245" s="66"/>
    </row>
    <row r="246" spans="1:17" ht="44.25" customHeight="1" x14ac:dyDescent="0.25">
      <c r="B246" s="693" t="s">
        <v>58</v>
      </c>
      <c r="C246" s="695" t="s">
        <v>0</v>
      </c>
      <c r="D246" s="695" t="s">
        <v>44</v>
      </c>
      <c r="E246" s="695" t="s">
        <v>206</v>
      </c>
      <c r="F246" s="265" t="s">
        <v>45</v>
      </c>
      <c r="G246" s="265" t="s">
        <v>203</v>
      </c>
      <c r="H246" s="703" t="s">
        <v>59</v>
      </c>
      <c r="I246" s="704"/>
      <c r="J246" s="704"/>
      <c r="K246" s="704"/>
      <c r="L246" s="704"/>
      <c r="M246" s="704"/>
      <c r="N246" s="704"/>
      <c r="O246" s="704"/>
      <c r="P246" s="705"/>
      <c r="Q246" s="66"/>
    </row>
    <row r="247" spans="1:17" ht="48" customHeight="1" x14ac:dyDescent="0.25">
      <c r="B247" s="710"/>
      <c r="C247" s="696"/>
      <c r="D247" s="696"/>
      <c r="E247" s="696"/>
      <c r="F247" s="136" t="s">
        <v>101</v>
      </c>
      <c r="G247" s="136" t="s">
        <v>102</v>
      </c>
      <c r="H247" s="136" t="s">
        <v>37</v>
      </c>
      <c r="I247" s="136" t="s">
        <v>39</v>
      </c>
      <c r="J247" s="136" t="s">
        <v>107</v>
      </c>
      <c r="K247" s="136" t="s">
        <v>108</v>
      </c>
      <c r="L247" s="136" t="s">
        <v>40</v>
      </c>
      <c r="M247" s="136" t="s">
        <v>41</v>
      </c>
      <c r="N247" s="136" t="s">
        <v>42</v>
      </c>
      <c r="O247" s="136" t="s">
        <v>505</v>
      </c>
      <c r="P247" s="365" t="s">
        <v>34</v>
      </c>
      <c r="Q247" s="66"/>
    </row>
    <row r="248" spans="1:17" s="42" customFormat="1" ht="15" customHeight="1" outlineLevel="1" x14ac:dyDescent="0.25">
      <c r="A248" s="709">
        <v>2014</v>
      </c>
      <c r="B248" s="359"/>
      <c r="C248" s="708" t="s">
        <v>1</v>
      </c>
      <c r="D248" s="708"/>
      <c r="E248" s="360"/>
      <c r="F248" s="361"/>
      <c r="G248" s="361"/>
      <c r="H248" s="361"/>
      <c r="I248" s="361"/>
      <c r="J248" s="361"/>
      <c r="K248" s="361"/>
      <c r="L248" s="361"/>
      <c r="M248" s="361"/>
      <c r="N248" s="361"/>
      <c r="O248" s="361"/>
      <c r="P248" s="362"/>
      <c r="Q248" s="146"/>
    </row>
    <row r="249" spans="1:17" ht="15" outlineLevel="1" x14ac:dyDescent="0.25">
      <c r="A249" s="709"/>
      <c r="B249" s="267">
        <v>1</v>
      </c>
      <c r="C249" s="249" t="s">
        <v>2</v>
      </c>
      <c r="D249" s="247" t="s">
        <v>33</v>
      </c>
      <c r="E249" s="247"/>
      <c r="F249" s="290">
        <f>'[3]LDC - Results (Net)'!$L$7</f>
        <v>1.069</v>
      </c>
      <c r="G249" s="290">
        <f>'[3]LDC - Results (Net)'!$Q7</f>
        <v>7429.2060000000001</v>
      </c>
      <c r="H249" s="289">
        <v>1</v>
      </c>
      <c r="I249" s="503"/>
      <c r="J249" s="503"/>
      <c r="K249" s="503"/>
      <c r="L249" s="503"/>
      <c r="M249" s="503"/>
      <c r="N249" s="503"/>
      <c r="O249" s="503"/>
      <c r="P249" s="505">
        <f>SUM(H249:O249)</f>
        <v>1</v>
      </c>
      <c r="Q249" s="66"/>
    </row>
    <row r="250" spans="1:17" ht="15" outlineLevel="1" x14ac:dyDescent="0.25">
      <c r="A250" s="709"/>
      <c r="B250" s="267">
        <v>2</v>
      </c>
      <c r="C250" s="249" t="s">
        <v>3</v>
      </c>
      <c r="D250" s="247" t="s">
        <v>33</v>
      </c>
      <c r="E250" s="247"/>
      <c r="F250" s="290">
        <f>'[3]LDC - Results (Net)'!$L$8</f>
        <v>2.694</v>
      </c>
      <c r="G250" s="290">
        <f>'[3]LDC - Results (Net)'!$Q8</f>
        <v>4802.7179999999998</v>
      </c>
      <c r="H250" s="289">
        <v>1</v>
      </c>
      <c r="I250" s="503"/>
      <c r="J250" s="503"/>
      <c r="K250" s="503"/>
      <c r="L250" s="503"/>
      <c r="M250" s="503"/>
      <c r="N250" s="503"/>
      <c r="O250" s="503"/>
      <c r="P250" s="505">
        <f t="shared" ref="P250:P258" si="24">SUM(H250:O250)</f>
        <v>1</v>
      </c>
      <c r="Q250" s="66"/>
    </row>
    <row r="251" spans="1:17" ht="15" outlineLevel="1" x14ac:dyDescent="0.25">
      <c r="A251" s="709"/>
      <c r="B251" s="267">
        <v>3</v>
      </c>
      <c r="C251" s="249" t="s">
        <v>4</v>
      </c>
      <c r="D251" s="247" t="s">
        <v>33</v>
      </c>
      <c r="E251" s="247"/>
      <c r="F251" s="290">
        <f>'[3]LDC - Results (Net)'!$L$9</f>
        <v>30.597000000000001</v>
      </c>
      <c r="G251" s="290">
        <f>'[3]LDC - Results (Net)'!$Q9</f>
        <v>56704.470999999998</v>
      </c>
      <c r="H251" s="289">
        <v>1</v>
      </c>
      <c r="I251" s="503"/>
      <c r="J251" s="503"/>
      <c r="K251" s="503"/>
      <c r="L251" s="503"/>
      <c r="M251" s="503"/>
      <c r="N251" s="503"/>
      <c r="O251" s="503"/>
      <c r="P251" s="505">
        <f t="shared" si="24"/>
        <v>1</v>
      </c>
      <c r="Q251" s="66"/>
    </row>
    <row r="252" spans="1:17" ht="15" outlineLevel="1" x14ac:dyDescent="0.25">
      <c r="A252" s="709"/>
      <c r="B252" s="267">
        <v>4</v>
      </c>
      <c r="C252" s="249" t="s">
        <v>5</v>
      </c>
      <c r="D252" s="247" t="s">
        <v>33</v>
      </c>
      <c r="E252" s="247"/>
      <c r="F252" s="290">
        <f>'[3]LDC - Results (Net)'!$L$10</f>
        <v>3.6920000000000002</v>
      </c>
      <c r="G252" s="290">
        <f>'[3]LDC - Results (Net)'!$Q10</f>
        <v>48382.211000000003</v>
      </c>
      <c r="H252" s="289">
        <v>1</v>
      </c>
      <c r="I252" s="503"/>
      <c r="J252" s="503"/>
      <c r="K252" s="503"/>
      <c r="L252" s="503"/>
      <c r="M252" s="503"/>
      <c r="N252" s="503"/>
      <c r="O252" s="503"/>
      <c r="P252" s="505">
        <f t="shared" si="24"/>
        <v>1</v>
      </c>
      <c r="Q252" s="66"/>
    </row>
    <row r="253" spans="1:17" ht="15" outlineLevel="1" x14ac:dyDescent="0.25">
      <c r="A253" s="709"/>
      <c r="B253" s="267">
        <v>5</v>
      </c>
      <c r="C253" s="249" t="s">
        <v>6</v>
      </c>
      <c r="D253" s="247" t="s">
        <v>33</v>
      </c>
      <c r="E253" s="247"/>
      <c r="F253" s="290">
        <f>'[3]LDC - Results (Net)'!$L$11</f>
        <v>12.755000000000001</v>
      </c>
      <c r="G253" s="290">
        <f>'[3]LDC - Results (Net)'!$Q11</f>
        <v>194896.70699999999</v>
      </c>
      <c r="H253" s="289">
        <v>1</v>
      </c>
      <c r="I253" s="503"/>
      <c r="J253" s="503"/>
      <c r="K253" s="503"/>
      <c r="L253" s="503"/>
      <c r="M253" s="503"/>
      <c r="N253" s="503"/>
      <c r="O253" s="503"/>
      <c r="P253" s="505">
        <f t="shared" si="24"/>
        <v>1</v>
      </c>
      <c r="Q253" s="66"/>
    </row>
    <row r="254" spans="1:17" ht="15" hidden="1" outlineLevel="1" x14ac:dyDescent="0.25">
      <c r="A254" s="709"/>
      <c r="B254" s="510">
        <v>6</v>
      </c>
      <c r="C254" s="511" t="s">
        <v>7</v>
      </c>
      <c r="D254" s="512" t="s">
        <v>33</v>
      </c>
      <c r="E254" s="512"/>
      <c r="F254" s="502">
        <f>'[3]LDC - Results (Net)'!$L$12</f>
        <v>0</v>
      </c>
      <c r="G254" s="502">
        <f>'[3]LDC - Results (Net)'!$Q12</f>
        <v>0</v>
      </c>
      <c r="H254" s="500"/>
      <c r="I254" s="503"/>
      <c r="J254" s="503"/>
      <c r="K254" s="503"/>
      <c r="L254" s="503"/>
      <c r="M254" s="503"/>
      <c r="N254" s="503"/>
      <c r="O254" s="503"/>
      <c r="P254" s="501">
        <f t="shared" si="24"/>
        <v>0</v>
      </c>
      <c r="Q254" s="66"/>
    </row>
    <row r="255" spans="1:17" ht="28.5" outlineLevel="1" x14ac:dyDescent="0.25">
      <c r="A255" s="709"/>
      <c r="B255" s="267">
        <v>7</v>
      </c>
      <c r="C255" s="537" t="s">
        <v>32</v>
      </c>
      <c r="D255" s="247" t="s">
        <v>33</v>
      </c>
      <c r="E255" s="247"/>
      <c r="F255" s="290">
        <f>'[3]LDC - Results (Net)'!$L$13</f>
        <v>21.457000000000001</v>
      </c>
      <c r="G255" s="290">
        <f>'[3]LDC - Results (Net)'!$Q13</f>
        <v>0</v>
      </c>
      <c r="H255" s="287">
        <v>1</v>
      </c>
      <c r="I255" s="532"/>
      <c r="J255" s="532"/>
      <c r="K255" s="532"/>
      <c r="L255" s="532"/>
      <c r="M255" s="532"/>
      <c r="N255" s="532"/>
      <c r="O255" s="532"/>
      <c r="P255" s="506">
        <f t="shared" si="24"/>
        <v>1</v>
      </c>
      <c r="Q255" s="206"/>
    </row>
    <row r="256" spans="1:17" ht="15" hidden="1" outlineLevel="1" x14ac:dyDescent="0.25">
      <c r="A256" s="709"/>
      <c r="B256" s="510">
        <v>8</v>
      </c>
      <c r="C256" s="511" t="s">
        <v>25</v>
      </c>
      <c r="D256" s="512" t="s">
        <v>33</v>
      </c>
      <c r="E256" s="512"/>
      <c r="F256" s="502">
        <f>'[3]LDC - Results (Net)'!$L$14</f>
        <v>0</v>
      </c>
      <c r="G256" s="502">
        <f>'[3]LDC - Results (Net)'!$Q14</f>
        <v>0</v>
      </c>
      <c r="H256" s="500"/>
      <c r="I256" s="503"/>
      <c r="J256" s="503"/>
      <c r="K256" s="503"/>
      <c r="L256" s="503"/>
      <c r="M256" s="503"/>
      <c r="N256" s="503"/>
      <c r="O256" s="503"/>
      <c r="P256" s="501">
        <f t="shared" si="24"/>
        <v>0</v>
      </c>
      <c r="Q256" s="66"/>
    </row>
    <row r="257" spans="1:20" ht="15" hidden="1" outlineLevel="1" x14ac:dyDescent="0.25">
      <c r="A257" s="709"/>
      <c r="B257" s="510">
        <v>9</v>
      </c>
      <c r="C257" s="511" t="s">
        <v>8</v>
      </c>
      <c r="D257" s="512" t="s">
        <v>33</v>
      </c>
      <c r="E257" s="512"/>
      <c r="F257" s="502">
        <f>'[3]LDC - Results (Net)'!$L$15</f>
        <v>0</v>
      </c>
      <c r="G257" s="502">
        <f>'[3]LDC - Results (Net)'!$Q15</f>
        <v>0</v>
      </c>
      <c r="H257" s="500"/>
      <c r="I257" s="503"/>
      <c r="J257" s="503"/>
      <c r="K257" s="503"/>
      <c r="L257" s="503"/>
      <c r="M257" s="503"/>
      <c r="N257" s="503"/>
      <c r="O257" s="503"/>
      <c r="P257" s="501">
        <f t="shared" si="24"/>
        <v>0</v>
      </c>
      <c r="Q257" s="66"/>
    </row>
    <row r="258" spans="1:20" ht="15" hidden="1" outlineLevel="1" x14ac:dyDescent="0.25">
      <c r="A258" s="709"/>
      <c r="B258" s="510"/>
      <c r="C258" s="515" t="s">
        <v>258</v>
      </c>
      <c r="D258" s="512" t="s">
        <v>254</v>
      </c>
      <c r="E258" s="512"/>
      <c r="F258" s="502">
        <v>0</v>
      </c>
      <c r="G258" s="502">
        <v>0</v>
      </c>
      <c r="H258" s="499"/>
      <c r="I258" s="503"/>
      <c r="J258" s="503"/>
      <c r="K258" s="503"/>
      <c r="L258" s="503"/>
      <c r="M258" s="503"/>
      <c r="N258" s="503"/>
      <c r="O258" s="503"/>
      <c r="P258" s="501">
        <f t="shared" si="24"/>
        <v>0</v>
      </c>
      <c r="Q258" s="66"/>
    </row>
    <row r="259" spans="1:20" ht="15" hidden="1" outlineLevel="1" x14ac:dyDescent="0.25">
      <c r="A259" s="709"/>
      <c r="B259" s="510"/>
      <c r="C259" s="707"/>
      <c r="D259" s="707"/>
      <c r="E259" s="535"/>
      <c r="F259" s="502"/>
      <c r="G259" s="502"/>
      <c r="H259" s="499"/>
      <c r="I259" s="503"/>
      <c r="J259" s="503"/>
      <c r="K259" s="503"/>
      <c r="L259" s="503"/>
      <c r="M259" s="503"/>
      <c r="N259" s="503"/>
      <c r="O259" s="503"/>
      <c r="P259" s="501"/>
      <c r="Q259" s="66"/>
    </row>
    <row r="260" spans="1:20" ht="15" hidden="1" outlineLevel="1" x14ac:dyDescent="0.25">
      <c r="A260" s="709"/>
      <c r="B260" s="510"/>
      <c r="C260" s="707"/>
      <c r="D260" s="707"/>
      <c r="E260" s="535"/>
      <c r="F260" s="502"/>
      <c r="G260" s="502"/>
      <c r="H260" s="499"/>
      <c r="I260" s="503"/>
      <c r="J260" s="503"/>
      <c r="K260" s="503"/>
      <c r="L260" s="503"/>
      <c r="M260" s="503"/>
      <c r="N260" s="503"/>
      <c r="O260" s="503"/>
      <c r="P260" s="501"/>
      <c r="Q260" s="66"/>
    </row>
    <row r="261" spans="1:20" ht="15" hidden="1" outlineLevel="1" x14ac:dyDescent="0.25">
      <c r="A261" s="709"/>
      <c r="B261" s="510"/>
      <c r="C261" s="707"/>
      <c r="D261" s="707"/>
      <c r="E261" s="535"/>
      <c r="F261" s="502"/>
      <c r="G261" s="502"/>
      <c r="H261" s="499"/>
      <c r="I261" s="503"/>
      <c r="J261" s="503"/>
      <c r="K261" s="503"/>
      <c r="L261" s="503"/>
      <c r="M261" s="503"/>
      <c r="N261" s="503"/>
      <c r="O261" s="503"/>
      <c r="P261" s="501"/>
      <c r="Q261" s="66"/>
    </row>
    <row r="262" spans="1:20" s="42" customFormat="1" ht="15" outlineLevel="1" x14ac:dyDescent="0.25">
      <c r="A262" s="709"/>
      <c r="B262" s="368"/>
      <c r="C262" s="711" t="s">
        <v>9</v>
      </c>
      <c r="D262" s="711"/>
      <c r="E262" s="369"/>
      <c r="F262" s="370"/>
      <c r="G262" s="370"/>
      <c r="H262" s="370"/>
      <c r="I262" s="370"/>
      <c r="J262" s="370"/>
      <c r="K262" s="370"/>
      <c r="L262" s="370"/>
      <c r="M262" s="370"/>
      <c r="N262" s="370"/>
      <c r="O262" s="370"/>
      <c r="P262" s="370"/>
      <c r="Q262" s="146"/>
    </row>
    <row r="263" spans="1:20" ht="15" outlineLevel="1" x14ac:dyDescent="0.25">
      <c r="A263" s="709"/>
      <c r="B263" s="147">
        <v>10</v>
      </c>
      <c r="C263" s="251" t="s">
        <v>26</v>
      </c>
      <c r="D263" s="247" t="s">
        <v>33</v>
      </c>
      <c r="E263" s="247">
        <v>12</v>
      </c>
      <c r="F263" s="290">
        <f>'[3]LDC - Results (Net)'!$L$19</f>
        <v>58.697000000000003</v>
      </c>
      <c r="G263" s="290">
        <f>'[3]LDC - Results (Net)'!$Q19</f>
        <v>511988.179</v>
      </c>
      <c r="H263" s="499"/>
      <c r="I263" s="289">
        <v>0.25</v>
      </c>
      <c r="J263" s="500"/>
      <c r="K263" s="500"/>
      <c r="L263" s="503"/>
      <c r="M263" s="503"/>
      <c r="N263" s="503"/>
      <c r="O263" s="288">
        <v>0.75</v>
      </c>
      <c r="P263" s="505">
        <f t="shared" ref="P263:P271" si="25">SUM(H263:O263)</f>
        <v>1</v>
      </c>
      <c r="Q263" s="66"/>
      <c r="T263" s="544">
        <f>O263*E263*F263</f>
        <v>528.27300000000002</v>
      </c>
    </row>
    <row r="264" spans="1:20" ht="15" outlineLevel="1" x14ac:dyDescent="0.25">
      <c r="A264" s="709"/>
      <c r="B264" s="147">
        <v>11</v>
      </c>
      <c r="C264" s="249" t="s">
        <v>24</v>
      </c>
      <c r="D264" s="247" t="s">
        <v>33</v>
      </c>
      <c r="E264" s="247">
        <v>12</v>
      </c>
      <c r="F264" s="290">
        <f>'[3]LDC - Results (Net)'!$L$20</f>
        <v>40.621000000000002</v>
      </c>
      <c r="G264" s="290">
        <f>'[3]LDC - Results (Net)'!$Q20</f>
        <v>150534.802</v>
      </c>
      <c r="H264" s="499"/>
      <c r="I264" s="289">
        <v>1</v>
      </c>
      <c r="J264" s="500"/>
      <c r="K264" s="500"/>
      <c r="L264" s="503"/>
      <c r="M264" s="503"/>
      <c r="N264" s="503"/>
      <c r="O264" s="503"/>
      <c r="P264" s="505">
        <f t="shared" si="25"/>
        <v>1</v>
      </c>
      <c r="Q264" s="66"/>
      <c r="T264" s="544">
        <f>O264*E264*F264</f>
        <v>0</v>
      </c>
    </row>
    <row r="265" spans="1:20" ht="15" hidden="1" outlineLevel="1" x14ac:dyDescent="0.25">
      <c r="A265" s="709"/>
      <c r="B265" s="513">
        <v>12</v>
      </c>
      <c r="C265" s="511" t="s">
        <v>27</v>
      </c>
      <c r="D265" s="512" t="s">
        <v>33</v>
      </c>
      <c r="E265" s="512">
        <v>3</v>
      </c>
      <c r="F265" s="502">
        <f>'[3]LDC - Results (Net)'!$L$21</f>
        <v>0</v>
      </c>
      <c r="G265" s="502">
        <f>'[3]LDC - Results (Net)'!$Q21</f>
        <v>0</v>
      </c>
      <c r="H265" s="499"/>
      <c r="I265" s="500"/>
      <c r="J265" s="500"/>
      <c r="K265" s="500"/>
      <c r="L265" s="503"/>
      <c r="M265" s="503"/>
      <c r="N265" s="503"/>
      <c r="O265" s="503"/>
      <c r="P265" s="501">
        <f t="shared" si="25"/>
        <v>0</v>
      </c>
      <c r="Q265" s="66"/>
      <c r="T265" s="544"/>
    </row>
    <row r="266" spans="1:20" ht="15" outlineLevel="1" x14ac:dyDescent="0.25">
      <c r="A266" s="709"/>
      <c r="B266" s="147">
        <v>13</v>
      </c>
      <c r="C266" s="249" t="s">
        <v>28</v>
      </c>
      <c r="D266" s="247" t="s">
        <v>33</v>
      </c>
      <c r="E266" s="247">
        <v>12</v>
      </c>
      <c r="F266" s="290">
        <f>'[3]LDC - Results (Net)'!$L$22</f>
        <v>112.125</v>
      </c>
      <c r="G266" s="290">
        <f>'[3]LDC - Results (Net)'!$Q22</f>
        <v>525099.63</v>
      </c>
      <c r="H266" s="499"/>
      <c r="I266" s="289">
        <v>0.5</v>
      </c>
      <c r="J266" s="500"/>
      <c r="K266" s="500"/>
      <c r="L266" s="503"/>
      <c r="M266" s="503"/>
      <c r="N266" s="503"/>
      <c r="O266" s="288">
        <v>0.5</v>
      </c>
      <c r="P266" s="505">
        <f t="shared" si="25"/>
        <v>1</v>
      </c>
      <c r="Q266" s="66"/>
      <c r="T266" s="544">
        <f>O266*E266*F266</f>
        <v>672.75</v>
      </c>
    </row>
    <row r="267" spans="1:20" ht="15" hidden="1" outlineLevel="1" x14ac:dyDescent="0.25">
      <c r="A267" s="709"/>
      <c r="B267" s="513">
        <v>14</v>
      </c>
      <c r="C267" s="511" t="s">
        <v>23</v>
      </c>
      <c r="D267" s="512" t="s">
        <v>33</v>
      </c>
      <c r="E267" s="512">
        <v>12</v>
      </c>
      <c r="F267" s="502">
        <f>'[3]LDC - Results (Net)'!$L$23</f>
        <v>0</v>
      </c>
      <c r="G267" s="502">
        <f>'[3]LDC - Results (Net)'!$Q23</f>
        <v>0</v>
      </c>
      <c r="H267" s="499"/>
      <c r="I267" s="500"/>
      <c r="J267" s="500"/>
      <c r="K267" s="500"/>
      <c r="L267" s="503"/>
      <c r="M267" s="503"/>
      <c r="N267" s="503"/>
      <c r="O267" s="503"/>
      <c r="P267" s="501">
        <f t="shared" si="25"/>
        <v>0</v>
      </c>
      <c r="Q267" s="66"/>
    </row>
    <row r="268" spans="1:20" ht="28.5" outlineLevel="1" x14ac:dyDescent="0.25">
      <c r="A268" s="709"/>
      <c r="B268" s="267">
        <v>15</v>
      </c>
      <c r="C268" s="249" t="s">
        <v>29</v>
      </c>
      <c r="D268" s="247" t="s">
        <v>33</v>
      </c>
      <c r="E268" s="247">
        <v>0</v>
      </c>
      <c r="F268" s="290">
        <f>'[3]LDC - Results (Net)'!$L$24</f>
        <v>1.1140000000000001</v>
      </c>
      <c r="G268" s="290">
        <f>'[3]LDC - Results (Net)'!$Q24</f>
        <v>0</v>
      </c>
      <c r="H268" s="499"/>
      <c r="I268" s="289">
        <v>1</v>
      </c>
      <c r="J268" s="500"/>
      <c r="K268" s="500"/>
      <c r="L268" s="503"/>
      <c r="M268" s="503"/>
      <c r="N268" s="503"/>
      <c r="O268" s="503"/>
      <c r="P268" s="505">
        <f t="shared" si="25"/>
        <v>1</v>
      </c>
      <c r="Q268" s="66"/>
    </row>
    <row r="269" spans="1:20" ht="28.5" hidden="1" outlineLevel="1" x14ac:dyDescent="0.25">
      <c r="A269" s="709"/>
      <c r="B269" s="510">
        <v>16</v>
      </c>
      <c r="C269" s="511" t="s">
        <v>30</v>
      </c>
      <c r="D269" s="512" t="s">
        <v>33</v>
      </c>
      <c r="E269" s="512">
        <v>0</v>
      </c>
      <c r="F269" s="502">
        <f>'[3]LDC - Results (Net)'!$L$25</f>
        <v>0</v>
      </c>
      <c r="G269" s="502">
        <f>'[3]LDC - Results (Net)'!$Q25</f>
        <v>0</v>
      </c>
      <c r="H269" s="499"/>
      <c r="I269" s="500"/>
      <c r="J269" s="500"/>
      <c r="K269" s="500"/>
      <c r="L269" s="503"/>
      <c r="M269" s="503"/>
      <c r="N269" s="503"/>
      <c r="O269" s="503"/>
      <c r="P269" s="501">
        <f t="shared" si="25"/>
        <v>0</v>
      </c>
      <c r="Q269" s="66"/>
    </row>
    <row r="270" spans="1:20" ht="15" outlineLevel="1" x14ac:dyDescent="0.25">
      <c r="A270" s="709"/>
      <c r="B270" s="267">
        <v>17</v>
      </c>
      <c r="C270" s="249" t="s">
        <v>10</v>
      </c>
      <c r="D270" s="247" t="s">
        <v>33</v>
      </c>
      <c r="E270" s="247">
        <v>0</v>
      </c>
      <c r="F270" s="290">
        <f>'[3]LDC - Results (Net)'!$L$26</f>
        <v>91.177999999999997</v>
      </c>
      <c r="G270" s="290">
        <f>'[3]LDC - Results (Net)'!$Q26</f>
        <v>0</v>
      </c>
      <c r="H270" s="499"/>
      <c r="I270" s="500"/>
      <c r="J270" s="500"/>
      <c r="K270" s="500"/>
      <c r="L270" s="503"/>
      <c r="M270" s="503"/>
      <c r="N270" s="503"/>
      <c r="O270" s="288">
        <v>1</v>
      </c>
      <c r="P270" s="505">
        <f t="shared" si="25"/>
        <v>1</v>
      </c>
      <c r="Q270" s="66"/>
    </row>
    <row r="271" spans="1:20" ht="15" hidden="1" outlineLevel="1" x14ac:dyDescent="0.25">
      <c r="A271" s="709"/>
      <c r="B271" s="510"/>
      <c r="C271" s="515" t="s">
        <v>258</v>
      </c>
      <c r="D271" s="512" t="s">
        <v>254</v>
      </c>
      <c r="E271" s="512"/>
      <c r="F271" s="502">
        <v>0</v>
      </c>
      <c r="G271" s="502">
        <v>0</v>
      </c>
      <c r="H271" s="499"/>
      <c r="I271" s="503"/>
      <c r="J271" s="503"/>
      <c r="K271" s="503"/>
      <c r="L271" s="503"/>
      <c r="M271" s="503"/>
      <c r="N271" s="503"/>
      <c r="O271" s="503"/>
      <c r="P271" s="501">
        <f t="shared" si="25"/>
        <v>0</v>
      </c>
      <c r="Q271" s="66"/>
    </row>
    <row r="272" spans="1:20" ht="15" hidden="1" outlineLevel="1" x14ac:dyDescent="0.25">
      <c r="A272" s="709"/>
      <c r="B272" s="510"/>
      <c r="C272" s="707"/>
      <c r="D272" s="707"/>
      <c r="E272" s="535"/>
      <c r="F272" s="502"/>
      <c r="G272" s="502"/>
      <c r="H272" s="499"/>
      <c r="I272" s="503"/>
      <c r="J272" s="503"/>
      <c r="K272" s="503"/>
      <c r="L272" s="503"/>
      <c r="M272" s="503"/>
      <c r="N272" s="503"/>
      <c r="O272" s="503"/>
      <c r="P272" s="501"/>
      <c r="Q272" s="66"/>
    </row>
    <row r="273" spans="1:20" ht="15" hidden="1" outlineLevel="1" x14ac:dyDescent="0.25">
      <c r="A273" s="709"/>
      <c r="B273" s="510"/>
      <c r="C273" s="707"/>
      <c r="D273" s="707"/>
      <c r="E273" s="535"/>
      <c r="F273" s="502"/>
      <c r="G273" s="502"/>
      <c r="H273" s="499"/>
      <c r="I273" s="503"/>
      <c r="J273" s="503"/>
      <c r="K273" s="503"/>
      <c r="L273" s="503"/>
      <c r="M273" s="503"/>
      <c r="N273" s="503"/>
      <c r="O273" s="503"/>
      <c r="P273" s="501"/>
      <c r="Q273" s="66"/>
    </row>
    <row r="274" spans="1:20" ht="15" hidden="1" outlineLevel="1" x14ac:dyDescent="0.25">
      <c r="A274" s="709"/>
      <c r="B274" s="510"/>
      <c r="C274" s="707"/>
      <c r="D274" s="707"/>
      <c r="E274" s="535"/>
      <c r="F274" s="502"/>
      <c r="G274" s="502"/>
      <c r="H274" s="499"/>
      <c r="I274" s="503"/>
      <c r="J274" s="503"/>
      <c r="K274" s="503"/>
      <c r="L274" s="503"/>
      <c r="M274" s="503"/>
      <c r="N274" s="503"/>
      <c r="O274" s="503"/>
      <c r="P274" s="501"/>
      <c r="Q274" s="66"/>
    </row>
    <row r="275" spans="1:20" s="42" customFormat="1" ht="15" outlineLevel="1" x14ac:dyDescent="0.25">
      <c r="A275" s="709"/>
      <c r="B275" s="368"/>
      <c r="C275" s="711" t="s">
        <v>11</v>
      </c>
      <c r="D275" s="711"/>
      <c r="E275" s="369"/>
      <c r="F275" s="370"/>
      <c r="G275" s="370"/>
      <c r="H275" s="370"/>
      <c r="I275" s="370"/>
      <c r="J275" s="370"/>
      <c r="K275" s="370"/>
      <c r="L275" s="370"/>
      <c r="M275" s="370"/>
      <c r="N275" s="370"/>
      <c r="O275" s="370"/>
      <c r="P275" s="370"/>
      <c r="Q275" s="146"/>
      <c r="T275" s="26"/>
    </row>
    <row r="276" spans="1:20" ht="15" hidden="1" outlineLevel="1" x14ac:dyDescent="0.25">
      <c r="A276" s="709"/>
      <c r="B276" s="513">
        <v>18</v>
      </c>
      <c r="C276" s="511" t="s">
        <v>12</v>
      </c>
      <c r="D276" s="512" t="s">
        <v>33</v>
      </c>
      <c r="E276" s="512">
        <v>12</v>
      </c>
      <c r="F276" s="502">
        <f>'[3]LDC - Results (Net)'!$L$30</f>
        <v>0</v>
      </c>
      <c r="G276" s="502">
        <f>'[3]LDC - Results (Net)'!$Q30</f>
        <v>0</v>
      </c>
      <c r="H276" s="499"/>
      <c r="I276" s="503"/>
      <c r="J276" s="503"/>
      <c r="K276" s="503"/>
      <c r="L276" s="503"/>
      <c r="M276" s="503"/>
      <c r="N276" s="503"/>
      <c r="O276" s="503"/>
      <c r="P276" s="501">
        <f t="shared" ref="P276:P281" si="26">SUM(H276:O276)</f>
        <v>0</v>
      </c>
      <c r="Q276" s="66"/>
    </row>
    <row r="277" spans="1:20" ht="15" hidden="1" outlineLevel="1" x14ac:dyDescent="0.25">
      <c r="A277" s="709"/>
      <c r="B277" s="513">
        <v>19</v>
      </c>
      <c r="C277" s="511" t="s">
        <v>13</v>
      </c>
      <c r="D277" s="512" t="s">
        <v>33</v>
      </c>
      <c r="E277" s="512">
        <v>12</v>
      </c>
      <c r="F277" s="502">
        <f>'[3]LDC - Results (Net)'!$L$31</f>
        <v>0</v>
      </c>
      <c r="G277" s="502">
        <f>'[3]LDC - Results (Net)'!$Q31</f>
        <v>0</v>
      </c>
      <c r="H277" s="499"/>
      <c r="I277" s="503"/>
      <c r="J277" s="503"/>
      <c r="K277" s="503"/>
      <c r="L277" s="503"/>
      <c r="M277" s="503"/>
      <c r="N277" s="503"/>
      <c r="O277" s="503"/>
      <c r="P277" s="501">
        <f t="shared" si="26"/>
        <v>0</v>
      </c>
      <c r="Q277" s="66"/>
    </row>
    <row r="278" spans="1:20" ht="15" outlineLevel="1" x14ac:dyDescent="0.25">
      <c r="A278" s="709"/>
      <c r="B278" s="147">
        <v>20</v>
      </c>
      <c r="C278" s="249" t="s">
        <v>14</v>
      </c>
      <c r="D278" s="247" t="s">
        <v>33</v>
      </c>
      <c r="E278" s="247">
        <v>12</v>
      </c>
      <c r="F278" s="290">
        <f>'[3]LDC - Results (Net)'!$L$32</f>
        <v>3.677</v>
      </c>
      <c r="G278" s="290">
        <f>'[3]LDC - Results (Net)'!$Q32</f>
        <v>372587.14399999997</v>
      </c>
      <c r="H278" s="499"/>
      <c r="I278" s="503"/>
      <c r="J278" s="500"/>
      <c r="K278" s="500"/>
      <c r="L278" s="503"/>
      <c r="M278" s="503"/>
      <c r="N278" s="503"/>
      <c r="O278" s="288">
        <v>1</v>
      </c>
      <c r="P278" s="505">
        <f t="shared" si="26"/>
        <v>1</v>
      </c>
      <c r="Q278" s="66"/>
      <c r="T278" s="544">
        <f>O278*E278*F278</f>
        <v>44.124000000000002</v>
      </c>
    </row>
    <row r="279" spans="1:20" ht="15" hidden="1" outlineLevel="1" x14ac:dyDescent="0.25">
      <c r="A279" s="709"/>
      <c r="B279" s="513">
        <v>21</v>
      </c>
      <c r="C279" s="514" t="s">
        <v>26</v>
      </c>
      <c r="D279" s="512" t="s">
        <v>33</v>
      </c>
      <c r="E279" s="512">
        <v>12</v>
      </c>
      <c r="F279" s="502">
        <f>'[3]LDC - Results (Net)'!$L$33</f>
        <v>0</v>
      </c>
      <c r="G279" s="502">
        <f>'[3]LDC - Results (Net)'!$Q33</f>
        <v>0</v>
      </c>
      <c r="H279" s="499"/>
      <c r="I279" s="503"/>
      <c r="J279" s="500"/>
      <c r="K279" s="500"/>
      <c r="L279" s="503"/>
      <c r="M279" s="503"/>
      <c r="N279" s="503"/>
      <c r="O279" s="503"/>
      <c r="P279" s="501">
        <f t="shared" si="26"/>
        <v>0</v>
      </c>
      <c r="Q279" s="66"/>
    </row>
    <row r="280" spans="1:20" ht="15" outlineLevel="1" x14ac:dyDescent="0.25">
      <c r="A280" s="709"/>
      <c r="B280" s="147">
        <v>22</v>
      </c>
      <c r="C280" s="249" t="s">
        <v>10</v>
      </c>
      <c r="D280" s="247" t="s">
        <v>33</v>
      </c>
      <c r="E280" s="247">
        <v>0</v>
      </c>
      <c r="F280" s="290">
        <f>'[3]LDC - Results (Net)'!$L$34</f>
        <v>175.58199999999999</v>
      </c>
      <c r="G280" s="290">
        <f>'[3]LDC - Results (Net)'!$Q34</f>
        <v>0</v>
      </c>
      <c r="H280" s="499"/>
      <c r="I280" s="503"/>
      <c r="J280" s="500"/>
      <c r="K280" s="500"/>
      <c r="L280" s="503"/>
      <c r="M280" s="503"/>
      <c r="N280" s="503"/>
      <c r="O280" s="288">
        <v>1</v>
      </c>
      <c r="P280" s="505">
        <f t="shared" si="26"/>
        <v>1</v>
      </c>
      <c r="Q280" s="66"/>
    </row>
    <row r="281" spans="1:20" ht="15" hidden="1" outlineLevel="1" x14ac:dyDescent="0.25">
      <c r="A281" s="709"/>
      <c r="B281" s="513"/>
      <c r="C281" s="515" t="s">
        <v>258</v>
      </c>
      <c r="D281" s="512" t="s">
        <v>254</v>
      </c>
      <c r="E281" s="512"/>
      <c r="F281" s="502">
        <v>0</v>
      </c>
      <c r="G281" s="502">
        <v>0</v>
      </c>
      <c r="H281" s="499"/>
      <c r="I281" s="503"/>
      <c r="J281" s="503"/>
      <c r="K281" s="503"/>
      <c r="L281" s="503"/>
      <c r="M281" s="503"/>
      <c r="N281" s="503"/>
      <c r="O281" s="503"/>
      <c r="P281" s="501">
        <f t="shared" si="26"/>
        <v>0</v>
      </c>
      <c r="Q281" s="66"/>
    </row>
    <row r="282" spans="1:20" ht="15" hidden="1" outlineLevel="1" x14ac:dyDescent="0.25">
      <c r="A282" s="709"/>
      <c r="B282" s="513"/>
      <c r="C282" s="707"/>
      <c r="D282" s="707"/>
      <c r="E282" s="535"/>
      <c r="F282" s="502"/>
      <c r="G282" s="502"/>
      <c r="H282" s="499"/>
      <c r="I282" s="503"/>
      <c r="J282" s="503"/>
      <c r="K282" s="503"/>
      <c r="L282" s="503"/>
      <c r="M282" s="503"/>
      <c r="N282" s="503"/>
      <c r="O282" s="503"/>
      <c r="P282" s="501"/>
      <c r="Q282" s="66"/>
    </row>
    <row r="283" spans="1:20" ht="15" hidden="1" outlineLevel="1" x14ac:dyDescent="0.25">
      <c r="A283" s="709"/>
      <c r="B283" s="513"/>
      <c r="C283" s="707"/>
      <c r="D283" s="707"/>
      <c r="E283" s="535"/>
      <c r="F283" s="502"/>
      <c r="G283" s="502"/>
      <c r="H283" s="499"/>
      <c r="I283" s="503"/>
      <c r="J283" s="503"/>
      <c r="K283" s="503"/>
      <c r="L283" s="503"/>
      <c r="M283" s="503"/>
      <c r="N283" s="503"/>
      <c r="O283" s="503"/>
      <c r="P283" s="501"/>
      <c r="Q283" s="66"/>
    </row>
    <row r="284" spans="1:20" ht="15" hidden="1" outlineLevel="1" x14ac:dyDescent="0.25">
      <c r="A284" s="709"/>
      <c r="B284" s="513"/>
      <c r="C284" s="707"/>
      <c r="D284" s="707"/>
      <c r="E284" s="535"/>
      <c r="F284" s="502"/>
      <c r="G284" s="502"/>
      <c r="H284" s="499"/>
      <c r="I284" s="503"/>
      <c r="J284" s="503"/>
      <c r="K284" s="503"/>
      <c r="L284" s="503"/>
      <c r="M284" s="503"/>
      <c r="N284" s="503"/>
      <c r="O284" s="503"/>
      <c r="P284" s="501"/>
      <c r="Q284" s="66"/>
    </row>
    <row r="285" spans="1:20" s="42" customFormat="1" ht="15" hidden="1" outlineLevel="1" x14ac:dyDescent="0.25">
      <c r="A285" s="709"/>
      <c r="B285" s="368"/>
      <c r="C285" s="711" t="s">
        <v>15</v>
      </c>
      <c r="D285" s="711"/>
      <c r="E285" s="369"/>
      <c r="F285" s="370"/>
      <c r="G285" s="370"/>
      <c r="H285" s="370"/>
      <c r="I285" s="370"/>
      <c r="J285" s="370"/>
      <c r="K285" s="370"/>
      <c r="L285" s="370"/>
      <c r="M285" s="370"/>
      <c r="N285" s="370"/>
      <c r="O285" s="370"/>
      <c r="P285" s="370"/>
      <c r="Q285" s="146"/>
    </row>
    <row r="286" spans="1:20" ht="15" hidden="1" outlineLevel="1" x14ac:dyDescent="0.25">
      <c r="A286" s="709"/>
      <c r="B286" s="510">
        <v>23</v>
      </c>
      <c r="C286" s="511" t="s">
        <v>15</v>
      </c>
      <c r="D286" s="512" t="s">
        <v>33</v>
      </c>
      <c r="E286" s="512"/>
      <c r="F286" s="502">
        <f>'[3]LDC - Results (Net)'!$L$38</f>
        <v>0</v>
      </c>
      <c r="G286" s="502">
        <f>'[3]LDC - Results (Net)'!$Q$38</f>
        <v>0</v>
      </c>
      <c r="H286" s="500"/>
      <c r="I286" s="503"/>
      <c r="J286" s="503"/>
      <c r="K286" s="503"/>
      <c r="L286" s="503"/>
      <c r="M286" s="503"/>
      <c r="N286" s="503"/>
      <c r="O286" s="503"/>
      <c r="P286" s="501">
        <f t="shared" ref="P286:P287" si="27">SUM(H286:O286)</f>
        <v>0</v>
      </c>
      <c r="Q286" s="66"/>
    </row>
    <row r="287" spans="1:20" ht="15" hidden="1" outlineLevel="1" x14ac:dyDescent="0.25">
      <c r="A287" s="709"/>
      <c r="B287" s="510"/>
      <c r="C287" s="515" t="s">
        <v>258</v>
      </c>
      <c r="D287" s="512" t="s">
        <v>254</v>
      </c>
      <c r="E287" s="512"/>
      <c r="F287" s="502">
        <v>0</v>
      </c>
      <c r="G287" s="502">
        <v>0</v>
      </c>
      <c r="H287" s="499"/>
      <c r="I287" s="503"/>
      <c r="J287" s="503"/>
      <c r="K287" s="503"/>
      <c r="L287" s="503"/>
      <c r="M287" s="503"/>
      <c r="N287" s="503"/>
      <c r="O287" s="503"/>
      <c r="P287" s="501">
        <f t="shared" si="27"/>
        <v>0</v>
      </c>
      <c r="Q287" s="66"/>
    </row>
    <row r="288" spans="1:20" ht="15" hidden="1" outlineLevel="1" x14ac:dyDescent="0.25">
      <c r="A288" s="709"/>
      <c r="B288" s="510"/>
      <c r="C288" s="707"/>
      <c r="D288" s="707"/>
      <c r="E288" s="535"/>
      <c r="F288" s="502"/>
      <c r="G288" s="502"/>
      <c r="H288" s="499"/>
      <c r="I288" s="503"/>
      <c r="J288" s="503"/>
      <c r="K288" s="503"/>
      <c r="L288" s="503"/>
      <c r="M288" s="503"/>
      <c r="N288" s="503"/>
      <c r="O288" s="503"/>
      <c r="P288" s="501"/>
      <c r="Q288" s="66"/>
    </row>
    <row r="289" spans="1:17" ht="15" hidden="1" outlineLevel="1" x14ac:dyDescent="0.25">
      <c r="A289" s="709"/>
      <c r="B289" s="510"/>
      <c r="C289" s="707"/>
      <c r="D289" s="707"/>
      <c r="E289" s="535"/>
      <c r="F289" s="502"/>
      <c r="G289" s="502"/>
      <c r="H289" s="499"/>
      <c r="I289" s="503"/>
      <c r="J289" s="503"/>
      <c r="K289" s="503"/>
      <c r="L289" s="503"/>
      <c r="M289" s="503"/>
      <c r="N289" s="503"/>
      <c r="O289" s="503"/>
      <c r="P289" s="501"/>
      <c r="Q289" s="66"/>
    </row>
    <row r="290" spans="1:17" s="42" customFormat="1" ht="15" hidden="1" outlineLevel="1" x14ac:dyDescent="0.25">
      <c r="A290" s="709"/>
      <c r="B290" s="368"/>
      <c r="C290" s="711" t="s">
        <v>16</v>
      </c>
      <c r="D290" s="711"/>
      <c r="E290" s="369"/>
      <c r="F290" s="370"/>
      <c r="G290" s="370"/>
      <c r="H290" s="370"/>
      <c r="I290" s="370"/>
      <c r="J290" s="370"/>
      <c r="K290" s="370"/>
      <c r="L290" s="370"/>
      <c r="M290" s="370"/>
      <c r="N290" s="370"/>
      <c r="O290" s="370"/>
      <c r="P290" s="370"/>
      <c r="Q290" s="146"/>
    </row>
    <row r="291" spans="1:17" ht="15" hidden="1" outlineLevel="1" x14ac:dyDescent="0.25">
      <c r="A291" s="709"/>
      <c r="B291" s="510">
        <v>24</v>
      </c>
      <c r="C291" s="511" t="s">
        <v>17</v>
      </c>
      <c r="D291" s="512" t="s">
        <v>33</v>
      </c>
      <c r="E291" s="512"/>
      <c r="F291" s="502">
        <f>'[3]LDC - Results (Net)'!$L$47</f>
        <v>0</v>
      </c>
      <c r="G291" s="502">
        <f>'[3]LDC - Results (Net)'!$Q47</f>
        <v>0</v>
      </c>
      <c r="H291" s="499"/>
      <c r="I291" s="503"/>
      <c r="J291" s="500">
        <v>0</v>
      </c>
      <c r="K291" s="500">
        <v>0</v>
      </c>
      <c r="L291" s="503"/>
      <c r="M291" s="503"/>
      <c r="N291" s="503"/>
      <c r="O291" s="503"/>
      <c r="P291" s="501">
        <f t="shared" ref="P291:P296" si="28">SUM(H291:O291)</f>
        <v>0</v>
      </c>
      <c r="Q291" s="66"/>
    </row>
    <row r="292" spans="1:17" ht="15" hidden="1" outlineLevel="1" x14ac:dyDescent="0.25">
      <c r="A292" s="709"/>
      <c r="B292" s="510">
        <v>25</v>
      </c>
      <c r="C292" s="511" t="s">
        <v>18</v>
      </c>
      <c r="D292" s="512" t="s">
        <v>33</v>
      </c>
      <c r="E292" s="512"/>
      <c r="F292" s="502">
        <f>'[3]LDC - Results (Net)'!$L$48</f>
        <v>0</v>
      </c>
      <c r="G292" s="502">
        <f>'[3]LDC - Results (Net)'!$Q48</f>
        <v>0</v>
      </c>
      <c r="H292" s="499"/>
      <c r="I292" s="503"/>
      <c r="J292" s="500">
        <v>0</v>
      </c>
      <c r="K292" s="500">
        <v>0</v>
      </c>
      <c r="L292" s="503"/>
      <c r="M292" s="503"/>
      <c r="N292" s="503"/>
      <c r="O292" s="503"/>
      <c r="P292" s="501">
        <f t="shared" si="28"/>
        <v>0</v>
      </c>
      <c r="Q292" s="66"/>
    </row>
    <row r="293" spans="1:17" ht="15" hidden="1" outlineLevel="1" x14ac:dyDescent="0.25">
      <c r="A293" s="709"/>
      <c r="B293" s="510">
        <v>26</v>
      </c>
      <c r="C293" s="511" t="s">
        <v>19</v>
      </c>
      <c r="D293" s="512" t="s">
        <v>33</v>
      </c>
      <c r="E293" s="512"/>
      <c r="F293" s="502">
        <f>'[3]LDC - Results (Net)'!$L$49</f>
        <v>0</v>
      </c>
      <c r="G293" s="502">
        <f>'[3]LDC - Results (Net)'!$Q49</f>
        <v>0</v>
      </c>
      <c r="H293" s="499"/>
      <c r="I293" s="503"/>
      <c r="J293" s="500">
        <v>0</v>
      </c>
      <c r="K293" s="500">
        <v>0</v>
      </c>
      <c r="L293" s="503"/>
      <c r="M293" s="503"/>
      <c r="N293" s="503"/>
      <c r="O293" s="503"/>
      <c r="P293" s="501">
        <f t="shared" si="28"/>
        <v>0</v>
      </c>
      <c r="Q293" s="66"/>
    </row>
    <row r="294" spans="1:17" ht="15" hidden="1" outlineLevel="1" x14ac:dyDescent="0.25">
      <c r="A294" s="709"/>
      <c r="B294" s="510">
        <v>27</v>
      </c>
      <c r="C294" s="511" t="s">
        <v>20</v>
      </c>
      <c r="D294" s="512" t="s">
        <v>33</v>
      </c>
      <c r="E294" s="512"/>
      <c r="F294" s="502">
        <f>'[3]LDC - Results (Net)'!$L$50</f>
        <v>0</v>
      </c>
      <c r="G294" s="502">
        <f>'[3]LDC - Results (Net)'!$Q50</f>
        <v>0</v>
      </c>
      <c r="H294" s="499"/>
      <c r="I294" s="503"/>
      <c r="J294" s="500">
        <v>0</v>
      </c>
      <c r="K294" s="500">
        <v>0</v>
      </c>
      <c r="L294" s="503"/>
      <c r="M294" s="503"/>
      <c r="N294" s="503"/>
      <c r="O294" s="503"/>
      <c r="P294" s="501">
        <f t="shared" si="28"/>
        <v>0</v>
      </c>
      <c r="Q294" s="66"/>
    </row>
    <row r="295" spans="1:17" ht="15" hidden="1" outlineLevel="1" x14ac:dyDescent="0.25">
      <c r="A295" s="709"/>
      <c r="B295" s="510">
        <v>28</v>
      </c>
      <c r="C295" s="511" t="s">
        <v>103</v>
      </c>
      <c r="D295" s="512" t="s">
        <v>33</v>
      </c>
      <c r="E295" s="512"/>
      <c r="F295" s="502">
        <f>'[3]LDC - Results (Net)'!$L$51</f>
        <v>0</v>
      </c>
      <c r="G295" s="502">
        <f>'[3]LDC - Results (Net)'!$Q51</f>
        <v>0</v>
      </c>
      <c r="H295" s="499"/>
      <c r="I295" s="503"/>
      <c r="J295" s="500">
        <v>0</v>
      </c>
      <c r="K295" s="500">
        <v>0</v>
      </c>
      <c r="L295" s="503"/>
      <c r="M295" s="503"/>
      <c r="N295" s="503"/>
      <c r="O295" s="503"/>
      <c r="P295" s="501">
        <f t="shared" si="28"/>
        <v>0</v>
      </c>
      <c r="Q295" s="66"/>
    </row>
    <row r="296" spans="1:17" ht="15" hidden="1" outlineLevel="1" x14ac:dyDescent="0.25">
      <c r="A296" s="709"/>
      <c r="B296" s="510"/>
      <c r="C296" s="515" t="s">
        <v>258</v>
      </c>
      <c r="D296" s="512" t="s">
        <v>254</v>
      </c>
      <c r="E296" s="512"/>
      <c r="F296" s="502">
        <v>0</v>
      </c>
      <c r="G296" s="502">
        <v>0</v>
      </c>
      <c r="H296" s="499"/>
      <c r="I296" s="503"/>
      <c r="J296" s="503"/>
      <c r="K296" s="503"/>
      <c r="L296" s="503"/>
      <c r="M296" s="503"/>
      <c r="N296" s="503"/>
      <c r="O296" s="503"/>
      <c r="P296" s="501">
        <f t="shared" si="28"/>
        <v>0</v>
      </c>
      <c r="Q296" s="66"/>
    </row>
    <row r="297" spans="1:17" ht="15" hidden="1" outlineLevel="1" x14ac:dyDescent="0.25">
      <c r="A297" s="709"/>
      <c r="B297" s="510"/>
      <c r="C297" s="707"/>
      <c r="D297" s="707"/>
      <c r="E297" s="535"/>
      <c r="F297" s="502"/>
      <c r="G297" s="502"/>
      <c r="H297" s="499"/>
      <c r="I297" s="503"/>
      <c r="J297" s="503"/>
      <c r="K297" s="503"/>
      <c r="L297" s="503"/>
      <c r="M297" s="503"/>
      <c r="N297" s="503"/>
      <c r="O297" s="503"/>
      <c r="P297" s="501"/>
      <c r="Q297" s="66"/>
    </row>
    <row r="298" spans="1:17" ht="15" hidden="1" outlineLevel="1" x14ac:dyDescent="0.25">
      <c r="A298" s="709"/>
      <c r="B298" s="510"/>
      <c r="C298" s="707"/>
      <c r="D298" s="707"/>
      <c r="E298" s="535"/>
      <c r="F298" s="502"/>
      <c r="G298" s="502"/>
      <c r="H298" s="499"/>
      <c r="I298" s="503"/>
      <c r="J298" s="503"/>
      <c r="K298" s="503"/>
      <c r="L298" s="503"/>
      <c r="M298" s="503"/>
      <c r="N298" s="503"/>
      <c r="O298" s="503"/>
      <c r="P298" s="501"/>
      <c r="Q298" s="66"/>
    </row>
    <row r="299" spans="1:17" ht="15" hidden="1" outlineLevel="1" x14ac:dyDescent="0.25">
      <c r="A299" s="709"/>
      <c r="B299" s="510"/>
      <c r="C299" s="707"/>
      <c r="D299" s="707"/>
      <c r="E299" s="535"/>
      <c r="F299" s="502"/>
      <c r="G299" s="502"/>
      <c r="H299" s="499"/>
      <c r="I299" s="503"/>
      <c r="J299" s="503"/>
      <c r="K299" s="503"/>
      <c r="L299" s="503"/>
      <c r="M299" s="503"/>
      <c r="N299" s="503"/>
      <c r="O299" s="503"/>
      <c r="P299" s="501"/>
      <c r="Q299" s="66"/>
    </row>
    <row r="300" spans="1:17" s="42" customFormat="1" ht="15" outlineLevel="1" x14ac:dyDescent="0.25">
      <c r="A300" s="709"/>
      <c r="B300" s="368"/>
      <c r="C300" s="711" t="s">
        <v>104</v>
      </c>
      <c r="D300" s="711"/>
      <c r="E300" s="369"/>
      <c r="F300" s="370"/>
      <c r="G300" s="370"/>
      <c r="H300" s="370"/>
      <c r="I300" s="370"/>
      <c r="J300" s="370"/>
      <c r="K300" s="370"/>
      <c r="L300" s="370"/>
      <c r="M300" s="370"/>
      <c r="N300" s="370"/>
      <c r="O300" s="370"/>
      <c r="P300" s="370"/>
      <c r="Q300" s="146"/>
    </row>
    <row r="301" spans="1:17" ht="15" hidden="1" outlineLevel="1" x14ac:dyDescent="0.25">
      <c r="A301" s="709"/>
      <c r="B301" s="513">
        <v>29</v>
      </c>
      <c r="C301" s="511" t="s">
        <v>106</v>
      </c>
      <c r="D301" s="512" t="s">
        <v>33</v>
      </c>
      <c r="E301" s="512"/>
      <c r="F301" s="502">
        <f>'[3]LDC - Results (Net)'!$L$55</f>
        <v>0</v>
      </c>
      <c r="G301" s="502">
        <f>'[3]LDC - Results (Net)'!$Q55</f>
        <v>0</v>
      </c>
      <c r="H301" s="499"/>
      <c r="I301" s="503"/>
      <c r="J301" s="503"/>
      <c r="K301" s="503"/>
      <c r="L301" s="503"/>
      <c r="M301" s="503"/>
      <c r="N301" s="503"/>
      <c r="O301" s="503"/>
      <c r="P301" s="501">
        <f t="shared" ref="P301:P303" si="29">SUM(H301:O301)</f>
        <v>0</v>
      </c>
      <c r="Q301" s="66"/>
    </row>
    <row r="302" spans="1:17" ht="15" outlineLevel="1" x14ac:dyDescent="0.25">
      <c r="A302" s="709"/>
      <c r="B302" s="147">
        <v>30</v>
      </c>
      <c r="C302" s="249" t="s">
        <v>105</v>
      </c>
      <c r="D302" s="247" t="s">
        <v>33</v>
      </c>
      <c r="E302" s="247"/>
      <c r="F302" s="290">
        <f>'[3]LDC - Results (Net)'!$L$56</f>
        <v>99.7</v>
      </c>
      <c r="G302" s="290">
        <f>'[3]LDC - Results (Net)'!$Q56</f>
        <v>0</v>
      </c>
      <c r="H302" s="287">
        <v>0.75</v>
      </c>
      <c r="I302" s="289">
        <v>0.25</v>
      </c>
      <c r="J302" s="503"/>
      <c r="K302" s="503"/>
      <c r="L302" s="503"/>
      <c r="M302" s="503"/>
      <c r="N302" s="503"/>
      <c r="O302" s="503"/>
      <c r="P302" s="505">
        <f t="shared" si="29"/>
        <v>1</v>
      </c>
      <c r="Q302" s="66"/>
    </row>
    <row r="303" spans="1:17" ht="15" hidden="1" outlineLevel="1" x14ac:dyDescent="0.25">
      <c r="A303" s="709"/>
      <c r="B303" s="513"/>
      <c r="C303" s="515" t="s">
        <v>258</v>
      </c>
      <c r="D303" s="512" t="s">
        <v>254</v>
      </c>
      <c r="E303" s="512"/>
      <c r="F303" s="502">
        <v>0</v>
      </c>
      <c r="G303" s="502">
        <v>0</v>
      </c>
      <c r="H303" s="499"/>
      <c r="I303" s="503"/>
      <c r="J303" s="503"/>
      <c r="K303" s="503"/>
      <c r="L303" s="503"/>
      <c r="M303" s="503"/>
      <c r="N303" s="503"/>
      <c r="O303" s="503"/>
      <c r="P303" s="501">
        <f t="shared" si="29"/>
        <v>0</v>
      </c>
      <c r="Q303" s="66"/>
    </row>
    <row r="304" spans="1:17" ht="15" hidden="1" outlineLevel="1" x14ac:dyDescent="0.25">
      <c r="A304" s="709"/>
      <c r="B304" s="513"/>
      <c r="C304" s="707"/>
      <c r="D304" s="707"/>
      <c r="E304" s="535"/>
      <c r="F304" s="502"/>
      <c r="G304" s="502"/>
      <c r="H304" s="499"/>
      <c r="I304" s="503"/>
      <c r="J304" s="503"/>
      <c r="K304" s="503"/>
      <c r="L304" s="503"/>
      <c r="M304" s="503"/>
      <c r="N304" s="503"/>
      <c r="O304" s="503"/>
      <c r="P304" s="501"/>
      <c r="Q304" s="66"/>
    </row>
    <row r="305" spans="1:20" s="42" customFormat="1" ht="15" hidden="1" outlineLevel="1" x14ac:dyDescent="0.25">
      <c r="A305" s="709"/>
      <c r="B305" s="540"/>
      <c r="C305" s="707"/>
      <c r="D305" s="707"/>
      <c r="E305" s="535"/>
      <c r="F305" s="502"/>
      <c r="G305" s="502"/>
      <c r="H305" s="541"/>
      <c r="I305" s="534"/>
      <c r="J305" s="534"/>
      <c r="K305" s="534"/>
      <c r="L305" s="534"/>
      <c r="M305" s="534"/>
      <c r="N305" s="534"/>
      <c r="O305" s="534"/>
      <c r="P305" s="542"/>
      <c r="Q305" s="146"/>
    </row>
    <row r="306" spans="1:20" ht="15" collapsed="1" x14ac:dyDescent="0.25">
      <c r="A306" s="709"/>
      <c r="B306" s="338"/>
      <c r="C306" s="697" t="s">
        <v>222</v>
      </c>
      <c r="D306" s="697"/>
      <c r="E306" s="339"/>
      <c r="F306" s="519"/>
      <c r="G306" s="340">
        <f>SUM(G249:G305)</f>
        <v>1872425.068</v>
      </c>
      <c r="H306" s="341">
        <f>SUMPRODUCT(G249:G305,H249:H305)</f>
        <v>312215.31299999997</v>
      </c>
      <c r="I306" s="341">
        <f>SUMPRODUCT(G249:G305,I249:I305)</f>
        <v>541081.66174999997</v>
      </c>
      <c r="J306" s="517"/>
      <c r="K306" s="517"/>
      <c r="L306" s="517"/>
      <c r="M306" s="517"/>
      <c r="N306" s="517"/>
      <c r="O306" s="341">
        <f>SUMPRODUCT(G249:G305,O249:O305)</f>
        <v>1019128.09325</v>
      </c>
      <c r="P306" s="343">
        <f>SUM(H306:O306)</f>
        <v>1872425.068</v>
      </c>
      <c r="Q306" s="66"/>
      <c r="R306" s="528" t="s">
        <v>518</v>
      </c>
    </row>
    <row r="307" spans="1:20" ht="15" x14ac:dyDescent="0.25">
      <c r="A307" s="709"/>
      <c r="B307" s="461"/>
      <c r="C307" s="462" t="s">
        <v>502</v>
      </c>
      <c r="D307" s="462"/>
      <c r="E307" s="463"/>
      <c r="F307" s="519"/>
      <c r="G307" s="464">
        <f>G306-G256-G271-G281</f>
        <v>1872425.068</v>
      </c>
      <c r="H307" s="465">
        <f>H306-G255*H255</f>
        <v>312215.31299999997</v>
      </c>
      <c r="I307" s="465">
        <f>I306-SUM(G268*I268,G269*I269,G270*I270)</f>
        <v>541081.66174999997</v>
      </c>
      <c r="J307" s="518"/>
      <c r="K307" s="518"/>
      <c r="L307" s="518"/>
      <c r="M307" s="518"/>
      <c r="N307" s="518"/>
      <c r="O307" s="465">
        <f>O306</f>
        <v>1019128.09325</v>
      </c>
      <c r="P307" s="466">
        <f>SUM(H307:O307)</f>
        <v>1872425.068</v>
      </c>
      <c r="Q307" s="66"/>
      <c r="R307" s="544">
        <f>P306-P307-G256-G271-G281</f>
        <v>0</v>
      </c>
    </row>
    <row r="308" spans="1:20" ht="15" x14ac:dyDescent="0.25">
      <c r="A308" s="709"/>
      <c r="B308" s="268"/>
      <c r="C308" s="698" t="s">
        <v>318</v>
      </c>
      <c r="D308" s="698"/>
      <c r="E308" s="262"/>
      <c r="F308" s="519"/>
      <c r="G308" s="519"/>
      <c r="H308" s="516"/>
      <c r="I308" s="516"/>
      <c r="J308" s="516">
        <f>SUM($E$263*$F$263*J263,$E$264*$F$264*J264,$E$265*$F$265*J265,$E$266*$F$266*J266,$E$267*$F$267*J267,$E$276*$F$276*J276,$E$277*$F$277*J277,$E$278*$F$278*J278,$E$279*$F$279*J279,$F$291*J291,$F$292*J292,$F$293*J293,$F$294*J294,$F$295*J295)</f>
        <v>0</v>
      </c>
      <c r="K308" s="516">
        <f>SUM($E$263*$F$263*K263,$E$264*$F$264*K264,$E$265*$F$265*K265,$E$266*$F$266*K266,$E$267*$F$267*K267,$E$276*$F$276*K276,$E$277*$F$277*K277,$E$278*$F$278*K278,$E$279*$F$279*K279,$F$291*K291,$F$292*K292,$F$293*K293,$F$294*K294,$F$295*K295)</f>
        <v>0</v>
      </c>
      <c r="L308" s="516"/>
      <c r="M308" s="516"/>
      <c r="N308" s="516"/>
      <c r="O308" s="262">
        <f>SUMPRODUCT(E249:E305,F249:F305,O249:O305)</f>
        <v>1245.1470000000002</v>
      </c>
      <c r="P308" s="269">
        <f>SUM(H308:O308)</f>
        <v>1245.1470000000002</v>
      </c>
      <c r="Q308" s="66"/>
      <c r="T308" s="544">
        <f>P308-SUM(T262:T278)</f>
        <v>0</v>
      </c>
    </row>
    <row r="309" spans="1:20" ht="15" x14ac:dyDescent="0.25">
      <c r="A309" s="709"/>
      <c r="B309" s="268"/>
      <c r="C309" s="698" t="s">
        <v>498</v>
      </c>
      <c r="D309" s="698"/>
      <c r="E309" s="262"/>
      <c r="F309" s="519"/>
      <c r="G309" s="519"/>
      <c r="H309" s="516"/>
      <c r="I309" s="516"/>
      <c r="J309" s="516">
        <f>J308-($E$265*$F$265*J265)</f>
        <v>0</v>
      </c>
      <c r="K309" s="516">
        <f>K308-($E$265*$F$265*K265)</f>
        <v>0</v>
      </c>
      <c r="L309" s="516"/>
      <c r="M309" s="516"/>
      <c r="N309" s="516"/>
      <c r="O309" s="262">
        <f>O308</f>
        <v>1245.1470000000002</v>
      </c>
      <c r="P309" s="269">
        <f>SUM(H309:O309)</f>
        <v>1245.1470000000002</v>
      </c>
      <c r="Q309" s="66"/>
    </row>
    <row r="310" spans="1:20" ht="15" x14ac:dyDescent="0.25">
      <c r="A310" s="709"/>
      <c r="B310" s="270"/>
      <c r="C310" s="699"/>
      <c r="D310" s="699"/>
      <c r="E310" s="255"/>
      <c r="F310" s="253"/>
      <c r="G310" s="253"/>
      <c r="H310" s="545" t="s">
        <v>35</v>
      </c>
      <c r="I310" s="545" t="s">
        <v>35</v>
      </c>
      <c r="J310" s="253"/>
      <c r="K310" s="255"/>
      <c r="L310" s="255"/>
      <c r="M310" s="255"/>
      <c r="N310" s="255"/>
      <c r="O310" s="545" t="s">
        <v>36</v>
      </c>
      <c r="P310" s="271"/>
      <c r="Q310" s="66"/>
    </row>
    <row r="311" spans="1:20" ht="15" x14ac:dyDescent="0.25">
      <c r="A311" s="709"/>
      <c r="B311" s="366"/>
      <c r="C311" s="700" t="s">
        <v>323</v>
      </c>
      <c r="D311" s="700"/>
      <c r="E311" s="247"/>
      <c r="F311" s="257"/>
      <c r="G311" s="247"/>
      <c r="H311" s="258">
        <f>'3.  Distribution Rates'!H33</f>
        <v>1.2700000000000001E-2</v>
      </c>
      <c r="I311" s="258">
        <f>'3.  Distribution Rates'!H34</f>
        <v>1.2066666666666665E-2</v>
      </c>
      <c r="J311" s="522">
        <f>'3.  Distribution Rates'!H35</f>
        <v>0</v>
      </c>
      <c r="K311" s="522">
        <f>'3.  Distribution Rates'!H36</f>
        <v>0</v>
      </c>
      <c r="L311" s="522">
        <f>'3.  Distribution Rates'!H37</f>
        <v>0</v>
      </c>
      <c r="M311" s="522">
        <f>'3.  Distribution Rates'!H38</f>
        <v>25.849033333333335</v>
      </c>
      <c r="N311" s="522">
        <f>'3.  Distribution Rates'!H39</f>
        <v>9.4333333333333335E-3</v>
      </c>
      <c r="O311" s="258">
        <f>'3.  Distribution Rates'!H40</f>
        <v>2.2571333333333334</v>
      </c>
      <c r="P311" s="367"/>
      <c r="Q311" s="66"/>
    </row>
    <row r="312" spans="1:20" ht="15" x14ac:dyDescent="0.25">
      <c r="A312" s="709"/>
      <c r="B312" s="366"/>
      <c r="C312" s="700" t="s">
        <v>239</v>
      </c>
      <c r="D312" s="700"/>
      <c r="E312" s="255"/>
      <c r="F312" s="257"/>
      <c r="G312" s="257"/>
      <c r="H312" s="363">
        <f t="shared" ref="H312:N312" si="30">H76*H311</f>
        <v>2115.4756071603128</v>
      </c>
      <c r="I312" s="363">
        <f t="shared" si="30"/>
        <v>4875.133798817621</v>
      </c>
      <c r="J312" s="531">
        <f t="shared" si="30"/>
        <v>0</v>
      </c>
      <c r="K312" s="531">
        <f t="shared" si="30"/>
        <v>0</v>
      </c>
      <c r="L312" s="531">
        <f t="shared" si="30"/>
        <v>0</v>
      </c>
      <c r="M312" s="531">
        <f t="shared" si="30"/>
        <v>0</v>
      </c>
      <c r="N312" s="531">
        <f t="shared" si="30"/>
        <v>0</v>
      </c>
      <c r="O312" s="363">
        <f>O69*O311*S312</f>
        <v>224.03124812307695</v>
      </c>
      <c r="P312" s="272">
        <f>SUM(H312:O312)</f>
        <v>7214.6406541010101</v>
      </c>
      <c r="Q312" s="66"/>
      <c r="R312" s="529" t="s">
        <v>517</v>
      </c>
      <c r="S312" s="530">
        <f>'6.  Persistence Rates'!S25</f>
        <v>0.76923076923076927</v>
      </c>
    </row>
    <row r="313" spans="1:20" ht="15" x14ac:dyDescent="0.25">
      <c r="A313" s="709"/>
      <c r="B313" s="366"/>
      <c r="C313" s="700" t="s">
        <v>240</v>
      </c>
      <c r="D313" s="700"/>
      <c r="E313" s="255"/>
      <c r="F313" s="257"/>
      <c r="G313" s="257"/>
      <c r="H313" s="363">
        <f t="shared" ref="H313:N313" si="31">H155*H311</f>
        <v>1620.635153457338</v>
      </c>
      <c r="I313" s="363">
        <f t="shared" si="31"/>
        <v>6026.7667775664613</v>
      </c>
      <c r="J313" s="531">
        <f t="shared" si="31"/>
        <v>0</v>
      </c>
      <c r="K313" s="531">
        <f t="shared" si="31"/>
        <v>0</v>
      </c>
      <c r="L313" s="531">
        <f t="shared" si="31"/>
        <v>0</v>
      </c>
      <c r="M313" s="531">
        <f t="shared" si="31"/>
        <v>0</v>
      </c>
      <c r="N313" s="531">
        <f t="shared" si="31"/>
        <v>0</v>
      </c>
      <c r="O313" s="363">
        <f>O147*O311*S313</f>
        <v>1365.8951362773776</v>
      </c>
      <c r="P313" s="272">
        <f>SUM(H313:O313)</f>
        <v>9013.2970673011769</v>
      </c>
      <c r="Q313" s="66"/>
      <c r="R313" s="529" t="s">
        <v>517</v>
      </c>
      <c r="S313" s="530">
        <f>'6.  Persistence Rates'!S26</f>
        <v>0.98969072164948457</v>
      </c>
    </row>
    <row r="314" spans="1:20" ht="15" x14ac:dyDescent="0.25">
      <c r="A314" s="709"/>
      <c r="B314" s="366"/>
      <c r="C314" s="700" t="s">
        <v>241</v>
      </c>
      <c r="D314" s="700"/>
      <c r="E314" s="255"/>
      <c r="F314" s="257"/>
      <c r="G314" s="257"/>
      <c r="H314" s="363">
        <f t="shared" ref="H314:N314" si="32">H235*H311</f>
        <v>1556.0746446345056</v>
      </c>
      <c r="I314" s="363">
        <f t="shared" si="32"/>
        <v>3867.7944953026908</v>
      </c>
      <c r="J314" s="531">
        <f t="shared" si="32"/>
        <v>0</v>
      </c>
      <c r="K314" s="531">
        <f t="shared" si="32"/>
        <v>0</v>
      </c>
      <c r="L314" s="531">
        <f t="shared" si="32"/>
        <v>0</v>
      </c>
      <c r="M314" s="531">
        <f t="shared" si="32"/>
        <v>0</v>
      </c>
      <c r="N314" s="531">
        <f t="shared" si="32"/>
        <v>0</v>
      </c>
      <c r="O314" s="363">
        <f>O227*O311*S314</f>
        <v>1306.4377104438804</v>
      </c>
      <c r="P314" s="272">
        <f t="shared" ref="P314" si="33">SUM(H314:O314)</f>
        <v>6730.3068503810773</v>
      </c>
      <c r="Q314" s="66"/>
      <c r="R314" s="529" t="s">
        <v>517</v>
      </c>
      <c r="S314" s="530">
        <f>'6.  Persistence Rates'!S27</f>
        <v>0.54330708661417315</v>
      </c>
    </row>
    <row r="315" spans="1:20" ht="15" x14ac:dyDescent="0.25">
      <c r="A315" s="709"/>
      <c r="B315" s="366"/>
      <c r="C315" s="700" t="s">
        <v>242</v>
      </c>
      <c r="D315" s="700"/>
      <c r="E315" s="255"/>
      <c r="F315" s="257"/>
      <c r="G315" s="257"/>
      <c r="H315" s="363">
        <f>H306*H311</f>
        <v>3965.1344751000001</v>
      </c>
      <c r="I315" s="363">
        <f>I306*I311</f>
        <v>6529.052051783332</v>
      </c>
      <c r="J315" s="523">
        <f>J308*J311</f>
        <v>0</v>
      </c>
      <c r="K315" s="523">
        <f>K308*K311</f>
        <v>0</v>
      </c>
      <c r="L315" s="523">
        <f>L308*L311</f>
        <v>0</v>
      </c>
      <c r="M315" s="523">
        <f>M308*M311</f>
        <v>0</v>
      </c>
      <c r="N315" s="523">
        <f>N306*N311</f>
        <v>0</v>
      </c>
      <c r="O315" s="363">
        <f>O308*O311</f>
        <v>2810.4627986000005</v>
      </c>
      <c r="P315" s="272">
        <f>SUM(H315:O315)</f>
        <v>13304.649325483333</v>
      </c>
      <c r="Q315" s="66"/>
    </row>
    <row r="316" spans="1:20" ht="15" x14ac:dyDescent="0.25">
      <c r="A316" s="709"/>
      <c r="B316" s="270"/>
      <c r="C316" s="364" t="s">
        <v>207</v>
      </c>
      <c r="D316" s="255"/>
      <c r="E316" s="255"/>
      <c r="F316" s="253"/>
      <c r="G316" s="253"/>
      <c r="H316" s="259">
        <f>SUM(H312:H315)</f>
        <v>9257.3198803521573</v>
      </c>
      <c r="I316" s="259">
        <f>SUM(I312:I315)</f>
        <v>21298.747123470108</v>
      </c>
      <c r="J316" s="512">
        <f>SUM(J312:J315)</f>
        <v>0</v>
      </c>
      <c r="K316" s="512">
        <f>SUM(K312:K315)</f>
        <v>0</v>
      </c>
      <c r="L316" s="512">
        <f t="shared" ref="L316:N316" si="34">SUM(L312:L315)</f>
        <v>0</v>
      </c>
      <c r="M316" s="512">
        <f t="shared" si="34"/>
        <v>0</v>
      </c>
      <c r="N316" s="512">
        <f t="shared" si="34"/>
        <v>0</v>
      </c>
      <c r="O316" s="259">
        <f>SUM(O312:O315)</f>
        <v>5706.8268934443349</v>
      </c>
      <c r="P316" s="273">
        <f>SUM(P312:P315)</f>
        <v>36262.8938972666</v>
      </c>
      <c r="Q316" s="66"/>
    </row>
    <row r="317" spans="1:20" ht="15.75" customHeight="1" x14ac:dyDescent="0.25">
      <c r="B317" s="384"/>
      <c r="C317" s="717" t="s">
        <v>435</v>
      </c>
      <c r="D317" s="717"/>
      <c r="E317" s="634"/>
      <c r="F317" s="635"/>
      <c r="G317" s="635"/>
      <c r="H317" s="636">
        <f>$H$307*'6.  Persistence Rates'!$H$28</f>
        <v>306326.02476383885</v>
      </c>
      <c r="I317" s="636">
        <f>I307*'6.  Persistence Rates'!$H$28</f>
        <v>530875.28899163753</v>
      </c>
      <c r="J317" s="512">
        <v>0</v>
      </c>
      <c r="K317" s="512">
        <v>0</v>
      </c>
      <c r="L317" s="512">
        <v>0</v>
      </c>
      <c r="M317" s="512">
        <v>0</v>
      </c>
      <c r="N317" s="512">
        <v>0</v>
      </c>
      <c r="O317" s="247">
        <f>O309*'6.  Persistence Rates'!$T$28</f>
        <v>586.85664103113072</v>
      </c>
      <c r="P317" s="637"/>
    </row>
    <row r="318" spans="1:20" hidden="1" x14ac:dyDescent="0.25">
      <c r="B318" s="384"/>
      <c r="C318" s="713" t="s">
        <v>436</v>
      </c>
      <c r="D318" s="713"/>
      <c r="E318" s="584"/>
      <c r="F318" s="585"/>
      <c r="G318" s="585"/>
      <c r="H318" s="512">
        <v>0</v>
      </c>
      <c r="I318" s="512">
        <v>0</v>
      </c>
      <c r="J318" s="512">
        <v>0</v>
      </c>
      <c r="K318" s="512">
        <v>0</v>
      </c>
      <c r="L318" s="512">
        <v>0</v>
      </c>
      <c r="M318" s="512">
        <v>0</v>
      </c>
      <c r="N318" s="512">
        <v>0</v>
      </c>
      <c r="O318" s="585">
        <v>0</v>
      </c>
      <c r="P318" s="586"/>
    </row>
    <row r="319" spans="1:20" hidden="1" x14ac:dyDescent="0.25">
      <c r="B319" s="384"/>
      <c r="C319" s="713" t="s">
        <v>437</v>
      </c>
      <c r="D319" s="713"/>
      <c r="E319" s="584"/>
      <c r="F319" s="585"/>
      <c r="G319" s="585"/>
      <c r="H319" s="512">
        <v>0</v>
      </c>
      <c r="I319" s="512">
        <v>0</v>
      </c>
      <c r="J319" s="512">
        <v>0</v>
      </c>
      <c r="K319" s="512">
        <v>0</v>
      </c>
      <c r="L319" s="512">
        <v>0</v>
      </c>
      <c r="M319" s="512">
        <v>0</v>
      </c>
      <c r="N319" s="512">
        <v>0</v>
      </c>
      <c r="O319" s="585">
        <v>0</v>
      </c>
      <c r="P319" s="586"/>
    </row>
    <row r="320" spans="1:20" hidden="1" x14ac:dyDescent="0.25">
      <c r="B320" s="384"/>
      <c r="C320" s="713" t="s">
        <v>438</v>
      </c>
      <c r="D320" s="713"/>
      <c r="E320" s="584"/>
      <c r="F320" s="585"/>
      <c r="G320" s="585"/>
      <c r="H320" s="512">
        <v>0</v>
      </c>
      <c r="I320" s="512">
        <v>0</v>
      </c>
      <c r="J320" s="512">
        <v>0</v>
      </c>
      <c r="K320" s="512">
        <v>0</v>
      </c>
      <c r="L320" s="512">
        <v>0</v>
      </c>
      <c r="M320" s="512">
        <v>0</v>
      </c>
      <c r="N320" s="512">
        <v>0</v>
      </c>
      <c r="O320" s="585">
        <v>0</v>
      </c>
      <c r="P320" s="586"/>
    </row>
    <row r="321" spans="2:16" hidden="1" x14ac:dyDescent="0.25">
      <c r="B321" s="384"/>
      <c r="C321" s="713" t="s">
        <v>439</v>
      </c>
      <c r="D321" s="713"/>
      <c r="E321" s="584"/>
      <c r="F321" s="585"/>
      <c r="G321" s="585"/>
      <c r="H321" s="512">
        <v>0</v>
      </c>
      <c r="I321" s="512">
        <v>0</v>
      </c>
      <c r="J321" s="512">
        <v>0</v>
      </c>
      <c r="K321" s="512">
        <v>0</v>
      </c>
      <c r="L321" s="512">
        <v>0</v>
      </c>
      <c r="M321" s="512">
        <v>0</v>
      </c>
      <c r="N321" s="512">
        <v>0</v>
      </c>
      <c r="O321" s="585">
        <v>0</v>
      </c>
      <c r="P321" s="586"/>
    </row>
    <row r="322" spans="2:16" hidden="1" x14ac:dyDescent="0.25">
      <c r="B322" s="385"/>
      <c r="C322" s="714" t="s">
        <v>440</v>
      </c>
      <c r="D322" s="714"/>
      <c r="E322" s="587"/>
      <c r="F322" s="588"/>
      <c r="G322" s="588"/>
      <c r="H322" s="525">
        <v>0</v>
      </c>
      <c r="I322" s="525">
        <v>0</v>
      </c>
      <c r="J322" s="525">
        <v>0</v>
      </c>
      <c r="K322" s="525">
        <v>0</v>
      </c>
      <c r="L322" s="525">
        <v>0</v>
      </c>
      <c r="M322" s="525">
        <v>0</v>
      </c>
      <c r="N322" s="525">
        <v>0</v>
      </c>
      <c r="O322" s="588">
        <v>0</v>
      </c>
      <c r="P322" s="589"/>
    </row>
  </sheetData>
  <mergeCells count="165">
    <mergeCell ref="A21:A82"/>
    <mergeCell ref="A87:A161"/>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14:D314"/>
    <mergeCell ref="C313:D313"/>
    <mergeCell ref="C312:D312"/>
    <mergeCell ref="C275:D275"/>
    <mergeCell ref="C285:D285"/>
    <mergeCell ref="C290:D290"/>
    <mergeCell ref="C300:D300"/>
    <mergeCell ref="C306:D306"/>
    <mergeCell ref="C248:D248"/>
    <mergeCell ref="C262:D262"/>
    <mergeCell ref="C310:D310"/>
    <mergeCell ref="C194:D194"/>
    <mergeCell ref="C236:D236"/>
    <mergeCell ref="C237:D237"/>
    <mergeCell ref="C238:D238"/>
    <mergeCell ref="C239:D239"/>
    <mergeCell ref="C240:D240"/>
    <mergeCell ref="C217:D217"/>
    <mergeCell ref="C218:D218"/>
    <mergeCell ref="C223:D223"/>
    <mergeCell ref="C224:D224"/>
    <mergeCell ref="C228:D228"/>
    <mergeCell ref="C233:D233"/>
    <mergeCell ref="C232:D232"/>
    <mergeCell ref="C231:D231"/>
    <mergeCell ref="C235:D235"/>
    <mergeCell ref="C137:D137"/>
    <mergeCell ref="C138:D138"/>
    <mergeCell ref="C143:D143"/>
    <mergeCell ref="C144:D144"/>
    <mergeCell ref="C179:D179"/>
    <mergeCell ref="C122:D122"/>
    <mergeCell ref="C123:D123"/>
    <mergeCell ref="C127:D127"/>
    <mergeCell ref="C128:D128"/>
    <mergeCell ref="C136:D136"/>
    <mergeCell ref="C147:D147"/>
    <mergeCell ref="C148:D148"/>
    <mergeCell ref="C149:D149"/>
    <mergeCell ref="C156:D156"/>
    <mergeCell ref="C157:D157"/>
    <mergeCell ref="C158:D158"/>
    <mergeCell ref="C159:D159"/>
    <mergeCell ref="C160:D160"/>
    <mergeCell ref="C161:D161"/>
    <mergeCell ref="C121:D121"/>
    <mergeCell ref="C64:D64"/>
    <mergeCell ref="C65:D65"/>
    <mergeCell ref="C66:D66"/>
    <mergeCell ref="C100:D100"/>
    <mergeCell ref="C101:D101"/>
    <mergeCell ref="C102:D102"/>
    <mergeCell ref="C114:D114"/>
    <mergeCell ref="C74:D74"/>
    <mergeCell ref="B85:P85"/>
    <mergeCell ref="B87:B88"/>
    <mergeCell ref="C87:C88"/>
    <mergeCell ref="H87:P87"/>
    <mergeCell ref="C76:D76"/>
    <mergeCell ref="C77:D77"/>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93:D193"/>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rintOptions horizontalCentered="1" verticalCentered="1" headings="1" gridLines="1"/>
  <pageMargins left="0.7" right="0.7" top="0.75" bottom="0.75" header="0.3" footer="0.3"/>
  <pageSetup paperSize="17" scale="40" orientation="portrait" cellComments="asDisplayed" r:id="rId1"/>
  <headerFooter>
    <oddHeader>&amp;L&amp;Z&amp;F&amp;A</oddHeader>
    <oddFooter>&amp;L&amp;D&amp;T</oddFooter>
  </headerFooter>
  <rowBreaks count="3" manualBreakCount="3">
    <brk id="84" max="16383" man="1"/>
    <brk id="163" max="16383" man="1"/>
    <brk id="24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30"/>
  <sheetViews>
    <sheetView topLeftCell="A10" zoomScale="75" zoomScaleNormal="75" workbookViewId="0">
      <selection activeCell="U118" sqref="U118"/>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9" width="12.7109375" style="23" customWidth="1"/>
    <col min="10" max="14" width="12.7109375" style="23" hidden="1" customWidth="1"/>
    <col min="15" max="15" width="10.5703125" style="23" bestFit="1" customWidth="1"/>
    <col min="16" max="16" width="11.28515625" style="23" customWidth="1"/>
    <col min="17" max="17" width="13.140625" style="23" customWidth="1"/>
    <col min="18" max="16384" width="9.140625" style="23"/>
  </cols>
  <sheetData>
    <row r="1" spans="1:18" ht="167.25" customHeight="1" x14ac:dyDescent="0.3">
      <c r="A1" s="718"/>
      <c r="B1" s="718"/>
      <c r="C1" s="718"/>
      <c r="D1" s="718"/>
      <c r="E1" s="718"/>
      <c r="F1" s="718"/>
      <c r="G1" s="718"/>
      <c r="H1" s="718"/>
      <c r="I1" s="718"/>
      <c r="J1" s="718"/>
      <c r="K1" s="718"/>
      <c r="L1" s="718"/>
      <c r="M1" s="718"/>
      <c r="N1" s="718"/>
      <c r="O1" s="718"/>
    </row>
    <row r="2" spans="1:18" ht="20.25" x14ac:dyDescent="0.3">
      <c r="B2" s="726" t="s">
        <v>265</v>
      </c>
      <c r="C2" s="726"/>
      <c r="D2" s="726"/>
      <c r="E2" s="726"/>
      <c r="F2" s="726"/>
      <c r="G2" s="726"/>
      <c r="H2" s="726"/>
      <c r="I2" s="726"/>
      <c r="J2" s="726"/>
      <c r="K2" s="726"/>
      <c r="L2" s="726"/>
      <c r="M2" s="726"/>
      <c r="N2" s="726"/>
      <c r="O2" s="726"/>
      <c r="P2" s="726"/>
    </row>
    <row r="3" spans="1:18" ht="13.5" customHeight="1" outlineLevel="1" x14ac:dyDescent="0.3">
      <c r="B3" s="35"/>
      <c r="C3" s="172"/>
      <c r="D3" s="46"/>
      <c r="E3" s="35"/>
      <c r="F3" s="35"/>
      <c r="G3" s="35"/>
      <c r="H3" s="35"/>
      <c r="I3" s="35"/>
      <c r="J3" s="35"/>
      <c r="K3" s="35"/>
      <c r="L3" s="35"/>
      <c r="M3" s="35"/>
      <c r="N3" s="35"/>
      <c r="O3" s="35"/>
      <c r="P3" s="35"/>
    </row>
    <row r="4" spans="1:18" ht="24.75" customHeight="1" outlineLevel="1" x14ac:dyDescent="0.3">
      <c r="A4" s="65"/>
      <c r="B4" s="63"/>
      <c r="C4" s="354" t="s">
        <v>399</v>
      </c>
      <c r="D4" s="375"/>
      <c r="E4" s="721" t="s">
        <v>494</v>
      </c>
      <c r="F4" s="721"/>
      <c r="G4" s="721"/>
      <c r="H4" s="721"/>
      <c r="I4" s="721"/>
      <c r="J4" s="721"/>
      <c r="K4" s="721"/>
      <c r="L4" s="721"/>
      <c r="M4" s="721"/>
      <c r="N4" s="721"/>
      <c r="O4" s="721"/>
      <c r="P4" s="721"/>
    </row>
    <row r="5" spans="1:18" ht="36" customHeight="1" outlineLevel="1" x14ac:dyDescent="0.3">
      <c r="A5" s="65"/>
      <c r="B5" s="440"/>
      <c r="C5" s="354"/>
      <c r="D5" s="375"/>
      <c r="E5" s="721" t="s">
        <v>495</v>
      </c>
      <c r="F5" s="721"/>
      <c r="G5" s="721"/>
      <c r="H5" s="721"/>
      <c r="I5" s="721"/>
      <c r="J5" s="721"/>
      <c r="K5" s="721"/>
      <c r="L5" s="721"/>
      <c r="M5" s="721"/>
      <c r="N5" s="721"/>
      <c r="O5" s="721"/>
      <c r="P5" s="721"/>
    </row>
    <row r="6" spans="1:18" ht="18.75" outlineLevel="1" x14ac:dyDescent="0.3">
      <c r="B6" s="63"/>
      <c r="C6" s="376"/>
      <c r="D6" s="375"/>
      <c r="E6" s="729" t="s">
        <v>356</v>
      </c>
      <c r="F6" s="729"/>
      <c r="G6" s="729"/>
      <c r="H6" s="729"/>
      <c r="I6" s="729"/>
      <c r="J6" s="729"/>
      <c r="K6" s="729"/>
      <c r="L6" s="729"/>
      <c r="M6" s="729"/>
      <c r="N6" s="729"/>
      <c r="O6" s="729"/>
      <c r="P6" s="729"/>
    </row>
    <row r="7" spans="1:18" ht="18.75" outlineLevel="1" x14ac:dyDescent="0.3">
      <c r="B7" s="234"/>
      <c r="C7" s="376"/>
      <c r="D7" s="375"/>
      <c r="E7" s="729" t="s">
        <v>357</v>
      </c>
      <c r="F7" s="729"/>
      <c r="G7" s="729"/>
      <c r="H7" s="729"/>
      <c r="I7" s="729"/>
      <c r="J7" s="729"/>
      <c r="K7" s="729"/>
      <c r="L7" s="729"/>
      <c r="M7" s="729"/>
      <c r="N7" s="729"/>
      <c r="O7" s="729"/>
      <c r="P7" s="729"/>
    </row>
    <row r="8" spans="1:18" ht="18.75" outlineLevel="1" x14ac:dyDescent="0.3">
      <c r="B8" s="63"/>
      <c r="C8" s="376"/>
      <c r="D8" s="375"/>
      <c r="E8" s="729" t="s">
        <v>484</v>
      </c>
      <c r="F8" s="729"/>
      <c r="G8" s="729"/>
      <c r="H8" s="729"/>
      <c r="I8" s="729"/>
      <c r="J8" s="729"/>
      <c r="K8" s="729"/>
      <c r="L8" s="729"/>
      <c r="M8" s="729"/>
      <c r="N8" s="729"/>
      <c r="O8" s="729"/>
      <c r="P8" s="729"/>
      <c r="R8" s="82"/>
    </row>
    <row r="9" spans="1:18" ht="14.25" customHeight="1" outlineLevel="1" x14ac:dyDescent="0.3">
      <c r="B9" s="234"/>
      <c r="C9" s="376"/>
      <c r="D9" s="375"/>
      <c r="E9" s="47"/>
      <c r="F9" s="375"/>
      <c r="G9" s="375"/>
      <c r="H9" s="375"/>
      <c r="I9" s="375"/>
      <c r="J9" s="375"/>
      <c r="K9" s="375"/>
      <c r="L9" s="375"/>
      <c r="M9" s="375"/>
      <c r="N9" s="375"/>
      <c r="O9" s="375"/>
      <c r="P9" s="375"/>
      <c r="R9" s="82"/>
    </row>
    <row r="10" spans="1:18" ht="9" customHeight="1" outlineLevel="1" x14ac:dyDescent="0.3">
      <c r="B10" s="63"/>
      <c r="C10" s="172"/>
      <c r="D10" s="63"/>
      <c r="E10" s="165"/>
      <c r="F10" s="63"/>
      <c r="G10" s="63"/>
      <c r="H10" s="63"/>
      <c r="I10" s="63"/>
      <c r="J10" s="63"/>
      <c r="K10" s="63"/>
      <c r="L10" s="63"/>
      <c r="M10" s="63"/>
      <c r="N10" s="63"/>
      <c r="O10" s="63"/>
      <c r="P10" s="63"/>
      <c r="R10" s="82"/>
    </row>
    <row r="11" spans="1:18" ht="15.75" customHeight="1" outlineLevel="1" x14ac:dyDescent="0.3">
      <c r="B11" s="63"/>
      <c r="C11" s="84" t="s">
        <v>337</v>
      </c>
      <c r="D11" s="63"/>
      <c r="E11" s="727" t="s">
        <v>363</v>
      </c>
      <c r="F11" s="727"/>
      <c r="G11" s="63"/>
      <c r="H11" s="63"/>
      <c r="I11" s="63"/>
      <c r="J11" s="63"/>
      <c r="K11" s="63"/>
      <c r="L11" s="63"/>
      <c r="M11" s="63"/>
      <c r="N11" s="63"/>
      <c r="O11" s="63"/>
      <c r="P11" s="63"/>
      <c r="R11" s="82"/>
    </row>
    <row r="12" spans="1:18" ht="14.25" customHeight="1" outlineLevel="1" x14ac:dyDescent="0.3">
      <c r="B12" s="63"/>
      <c r="C12" s="63"/>
      <c r="D12" s="63"/>
      <c r="E12" s="662" t="s">
        <v>338</v>
      </c>
      <c r="F12" s="662"/>
      <c r="G12" s="63"/>
      <c r="H12" s="63"/>
      <c r="I12" s="63"/>
      <c r="J12" s="63"/>
      <c r="K12" s="63"/>
      <c r="L12" s="63"/>
      <c r="M12" s="63"/>
      <c r="N12" s="63"/>
      <c r="O12" s="63"/>
      <c r="P12" s="63"/>
    </row>
    <row r="13" spans="1:18" ht="12" customHeight="1" outlineLevel="1" x14ac:dyDescent="0.3">
      <c r="B13" s="63"/>
      <c r="C13" s="63"/>
      <c r="D13" s="63"/>
      <c r="E13" s="135"/>
      <c r="G13" s="63"/>
      <c r="H13" s="63"/>
      <c r="I13" s="63"/>
      <c r="J13" s="63"/>
      <c r="K13" s="63"/>
      <c r="L13" s="63"/>
      <c r="M13" s="63"/>
      <c r="N13" s="63"/>
      <c r="O13" s="63"/>
      <c r="P13" s="63"/>
    </row>
    <row r="14" spans="1:18" ht="18" customHeight="1" x14ac:dyDescent="0.25">
      <c r="A14" s="33"/>
      <c r="B14" s="186" t="s">
        <v>472</v>
      </c>
      <c r="C14" s="49"/>
      <c r="D14" s="51"/>
      <c r="E14" s="51"/>
    </row>
    <row r="15" spans="1:18" ht="45" x14ac:dyDescent="0.25">
      <c r="B15" s="722" t="s">
        <v>58</v>
      </c>
      <c r="C15" s="719" t="s">
        <v>0</v>
      </c>
      <c r="D15" s="719" t="s">
        <v>44</v>
      </c>
      <c r="E15" s="719" t="s">
        <v>206</v>
      </c>
      <c r="F15" s="401" t="s">
        <v>203</v>
      </c>
      <c r="G15" s="401" t="s">
        <v>45</v>
      </c>
      <c r="H15" s="724" t="s">
        <v>59</v>
      </c>
      <c r="I15" s="724"/>
      <c r="J15" s="724"/>
      <c r="K15" s="724"/>
      <c r="L15" s="724"/>
      <c r="M15" s="724"/>
      <c r="N15" s="724"/>
      <c r="O15" s="724"/>
      <c r="P15" s="725"/>
    </row>
    <row r="16" spans="1:18" ht="60" x14ac:dyDescent="0.25">
      <c r="B16" s="723"/>
      <c r="C16" s="720"/>
      <c r="D16" s="720"/>
      <c r="E16" s="720"/>
      <c r="F16" s="173" t="s">
        <v>214</v>
      </c>
      <c r="G16" s="173" t="s">
        <v>215</v>
      </c>
      <c r="H16" s="137" t="s">
        <v>37</v>
      </c>
      <c r="I16" s="137" t="s">
        <v>39</v>
      </c>
      <c r="J16" s="602" t="s">
        <v>107</v>
      </c>
      <c r="K16" s="602" t="s">
        <v>108</v>
      </c>
      <c r="L16" s="602" t="s">
        <v>40</v>
      </c>
      <c r="M16" s="602" t="s">
        <v>41</v>
      </c>
      <c r="N16" s="602" t="s">
        <v>42</v>
      </c>
      <c r="O16" s="136" t="s">
        <v>505</v>
      </c>
      <c r="P16" s="402" t="s">
        <v>34</v>
      </c>
    </row>
    <row r="17" spans="1:19" ht="22.5" customHeight="1" x14ac:dyDescent="0.25">
      <c r="B17" s="619" t="s">
        <v>142</v>
      </c>
      <c r="C17" s="620"/>
      <c r="D17" s="620"/>
      <c r="E17" s="620"/>
      <c r="F17" s="620"/>
      <c r="G17" s="620"/>
      <c r="H17" s="620"/>
      <c r="I17" s="620"/>
      <c r="J17" s="620"/>
      <c r="K17" s="620"/>
      <c r="L17" s="620"/>
      <c r="M17" s="620"/>
      <c r="N17" s="620"/>
      <c r="O17" s="620"/>
      <c r="P17" s="621"/>
    </row>
    <row r="18" spans="1:19" ht="26.25" customHeight="1" x14ac:dyDescent="0.25">
      <c r="A18" s="34"/>
      <c r="B18" s="613" t="s">
        <v>143</v>
      </c>
      <c r="C18" s="614"/>
      <c r="D18" s="614"/>
      <c r="E18" s="614"/>
      <c r="F18" s="614"/>
      <c r="G18" s="614"/>
      <c r="H18" s="614"/>
      <c r="I18" s="614"/>
      <c r="J18" s="614"/>
      <c r="K18" s="614"/>
      <c r="L18" s="614"/>
      <c r="M18" s="614"/>
      <c r="N18" s="614"/>
      <c r="O18" s="614"/>
      <c r="P18" s="615"/>
    </row>
    <row r="19" spans="1:19" ht="15" customHeight="1" x14ac:dyDescent="0.25">
      <c r="A19" s="34"/>
      <c r="B19" s="403">
        <v>1</v>
      </c>
      <c r="C19" s="388" t="s">
        <v>144</v>
      </c>
      <c r="D19" s="247" t="s">
        <v>33</v>
      </c>
      <c r="E19" s="389"/>
      <c r="F19" s="290">
        <f>'[4]LDC Progress'!$BK$8</f>
        <v>85913</v>
      </c>
      <c r="G19" s="603">
        <f>'[4]LDC Progress'!$CK$8</f>
        <v>6</v>
      </c>
      <c r="H19" s="604">
        <v>1</v>
      </c>
      <c r="I19" s="605"/>
      <c r="J19" s="606"/>
      <c r="K19" s="606"/>
      <c r="L19" s="606"/>
      <c r="M19" s="606"/>
      <c r="N19" s="606"/>
      <c r="O19" s="606"/>
      <c r="P19" s="404">
        <f>SUM(H19:O19)</f>
        <v>1</v>
      </c>
    </row>
    <row r="20" spans="1:19" x14ac:dyDescent="0.25">
      <c r="A20" s="8"/>
      <c r="B20" s="403">
        <v>2</v>
      </c>
      <c r="C20" s="388" t="s">
        <v>145</v>
      </c>
      <c r="D20" s="247" t="s">
        <v>33</v>
      </c>
      <c r="E20" s="391"/>
      <c r="F20" s="290">
        <f>'[4]LDC Progress'!$BK$9</f>
        <v>146333</v>
      </c>
      <c r="G20" s="603">
        <f>'[4]LDC Progress'!$CK$9</f>
        <v>10</v>
      </c>
      <c r="H20" s="604">
        <v>1</v>
      </c>
      <c r="I20" s="605"/>
      <c r="J20" s="606"/>
      <c r="K20" s="606"/>
      <c r="L20" s="606"/>
      <c r="M20" s="606"/>
      <c r="N20" s="606"/>
      <c r="O20" s="606"/>
      <c r="P20" s="404">
        <f t="shared" ref="P20:P81" si="0">SUM(H20:O20)</f>
        <v>1</v>
      </c>
    </row>
    <row r="21" spans="1:19" x14ac:dyDescent="0.25">
      <c r="A21" s="34"/>
      <c r="B21" s="403">
        <v>3</v>
      </c>
      <c r="C21" s="388" t="s">
        <v>146</v>
      </c>
      <c r="D21" s="247" t="s">
        <v>33</v>
      </c>
      <c r="E21" s="391"/>
      <c r="F21" s="290">
        <f>'[4]LDC Progress'!$BK$10</f>
        <v>3267</v>
      </c>
      <c r="G21" s="603">
        <f>'[4]LDC Progress'!$CK$10</f>
        <v>1</v>
      </c>
      <c r="H21" s="604">
        <v>1</v>
      </c>
      <c r="I21" s="605"/>
      <c r="J21" s="606"/>
      <c r="K21" s="606"/>
      <c r="L21" s="606"/>
      <c r="M21" s="606"/>
      <c r="N21" s="606"/>
      <c r="O21" s="606"/>
      <c r="P21" s="404">
        <f t="shared" si="0"/>
        <v>1</v>
      </c>
    </row>
    <row r="22" spans="1:19" hidden="1" x14ac:dyDescent="0.25">
      <c r="A22" s="34"/>
      <c r="B22" s="594">
        <v>4</v>
      </c>
      <c r="C22" s="595" t="s">
        <v>147</v>
      </c>
      <c r="D22" s="512" t="s">
        <v>33</v>
      </c>
      <c r="E22" s="596"/>
      <c r="F22" s="502"/>
      <c r="G22" s="502"/>
      <c r="H22" s="591">
        <v>0</v>
      </c>
      <c r="I22" s="592"/>
      <c r="J22" s="592"/>
      <c r="K22" s="592"/>
      <c r="L22" s="592"/>
      <c r="M22" s="592"/>
      <c r="N22" s="592"/>
      <c r="O22" s="592"/>
      <c r="P22" s="593">
        <f t="shared" si="0"/>
        <v>0</v>
      </c>
    </row>
    <row r="23" spans="1:19" x14ac:dyDescent="0.25">
      <c r="A23" s="34"/>
      <c r="B23" s="403">
        <v>5</v>
      </c>
      <c r="C23" s="388" t="s">
        <v>148</v>
      </c>
      <c r="D23" s="247" t="s">
        <v>33</v>
      </c>
      <c r="E23" s="391"/>
      <c r="F23" s="290">
        <f>'[4]LDC Progress'!$BK$11</f>
        <v>65698</v>
      </c>
      <c r="G23" s="603">
        <f>'[4]LDC Progress'!$CK$11</f>
        <v>35</v>
      </c>
      <c r="H23" s="604">
        <v>1</v>
      </c>
      <c r="I23" s="605"/>
      <c r="J23" s="606"/>
      <c r="K23" s="606"/>
      <c r="L23" s="606"/>
      <c r="M23" s="606"/>
      <c r="N23" s="606"/>
      <c r="O23" s="606"/>
      <c r="P23" s="404">
        <f t="shared" si="0"/>
        <v>1</v>
      </c>
    </row>
    <row r="24" spans="1:19" ht="28.5" hidden="1" x14ac:dyDescent="0.25">
      <c r="A24" s="34"/>
      <c r="B24" s="594">
        <v>6</v>
      </c>
      <c r="C24" s="595" t="s">
        <v>149</v>
      </c>
      <c r="D24" s="512" t="s">
        <v>33</v>
      </c>
      <c r="E24" s="596"/>
      <c r="F24" s="502">
        <f>'[4]LDC Progress'!$BK$12</f>
        <v>0</v>
      </c>
      <c r="G24" s="502"/>
      <c r="H24" s="591"/>
      <c r="I24" s="592"/>
      <c r="J24" s="592"/>
      <c r="K24" s="592"/>
      <c r="L24" s="592"/>
      <c r="M24" s="592"/>
      <c r="N24" s="592"/>
      <c r="O24" s="592"/>
      <c r="P24" s="593">
        <f t="shared" si="0"/>
        <v>0</v>
      </c>
    </row>
    <row r="25" spans="1:19" hidden="1" x14ac:dyDescent="0.25">
      <c r="A25" s="34"/>
      <c r="B25" s="597" t="s">
        <v>259</v>
      </c>
      <c r="C25" s="595"/>
      <c r="D25" s="512" t="s">
        <v>254</v>
      </c>
      <c r="E25" s="596"/>
      <c r="F25" s="502"/>
      <c r="G25" s="502"/>
      <c r="H25" s="591"/>
      <c r="I25" s="592"/>
      <c r="J25" s="592"/>
      <c r="K25" s="592"/>
      <c r="L25" s="592"/>
      <c r="M25" s="592"/>
      <c r="N25" s="592"/>
      <c r="O25" s="592"/>
      <c r="P25" s="593"/>
    </row>
    <row r="26" spans="1:19" hidden="1" x14ac:dyDescent="0.25">
      <c r="A26" s="34"/>
      <c r="B26" s="594"/>
      <c r="C26" s="707"/>
      <c r="D26" s="707"/>
      <c r="E26" s="562"/>
      <c r="F26" s="502"/>
      <c r="G26" s="502"/>
      <c r="H26" s="591"/>
      <c r="I26" s="592"/>
      <c r="J26" s="592"/>
      <c r="K26" s="592"/>
      <c r="L26" s="592"/>
      <c r="M26" s="592"/>
      <c r="N26" s="592"/>
      <c r="O26" s="592"/>
      <c r="P26" s="593"/>
    </row>
    <row r="27" spans="1:19" hidden="1" x14ac:dyDescent="0.25">
      <c r="A27" s="34"/>
      <c r="B27" s="594"/>
      <c r="C27" s="707"/>
      <c r="D27" s="707"/>
      <c r="E27" s="562"/>
      <c r="F27" s="502"/>
      <c r="G27" s="502"/>
      <c r="H27" s="591"/>
      <c r="I27" s="592"/>
      <c r="J27" s="592"/>
      <c r="K27" s="592"/>
      <c r="L27" s="592"/>
      <c r="M27" s="592"/>
      <c r="N27" s="592"/>
      <c r="O27" s="592"/>
      <c r="P27" s="593"/>
    </row>
    <row r="28" spans="1:19" hidden="1" x14ac:dyDescent="0.25">
      <c r="A28" s="34"/>
      <c r="B28" s="594"/>
      <c r="C28" s="707"/>
      <c r="D28" s="707"/>
      <c r="E28" s="562"/>
      <c r="F28" s="502"/>
      <c r="G28" s="502"/>
      <c r="H28" s="591"/>
      <c r="I28" s="592"/>
      <c r="J28" s="592"/>
      <c r="K28" s="592"/>
      <c r="L28" s="592"/>
      <c r="M28" s="592"/>
      <c r="N28" s="592"/>
      <c r="O28" s="592"/>
      <c r="P28" s="593"/>
    </row>
    <row r="29" spans="1:19" ht="26.25" customHeight="1" x14ac:dyDescent="0.25">
      <c r="A29" s="50"/>
      <c r="B29" s="613" t="s">
        <v>150</v>
      </c>
      <c r="C29" s="614"/>
      <c r="D29" s="614"/>
      <c r="E29" s="614"/>
      <c r="F29" s="614"/>
      <c r="G29" s="614"/>
      <c r="H29" s="614"/>
      <c r="I29" s="614"/>
      <c r="J29" s="614"/>
      <c r="K29" s="614"/>
      <c r="L29" s="614"/>
      <c r="M29" s="614"/>
      <c r="N29" s="614"/>
      <c r="O29" s="614"/>
      <c r="P29" s="615"/>
    </row>
    <row r="30" spans="1:19" x14ac:dyDescent="0.25">
      <c r="A30" s="50"/>
      <c r="B30" s="403">
        <v>7</v>
      </c>
      <c r="C30" s="388" t="s">
        <v>151</v>
      </c>
      <c r="D30" s="247" t="s">
        <v>33</v>
      </c>
      <c r="E30" s="391">
        <v>12</v>
      </c>
      <c r="F30" s="290">
        <f>'[4]LDC Progress'!$BK$16</f>
        <v>71357</v>
      </c>
      <c r="G30" s="603">
        <f>'[4]LDC Progress'!$CK$16</f>
        <v>15</v>
      </c>
      <c r="H30" s="606"/>
      <c r="I30" s="606"/>
      <c r="J30" s="607"/>
      <c r="K30" s="607"/>
      <c r="L30" s="606"/>
      <c r="M30" s="606"/>
      <c r="N30" s="606"/>
      <c r="O30" s="604">
        <v>1</v>
      </c>
      <c r="P30" s="604">
        <f t="shared" si="0"/>
        <v>1</v>
      </c>
      <c r="S30" s="544">
        <f>E30*G30*O30</f>
        <v>180</v>
      </c>
    </row>
    <row r="31" spans="1:19" ht="28.5" x14ac:dyDescent="0.25">
      <c r="A31" s="34"/>
      <c r="B31" s="403">
        <v>8</v>
      </c>
      <c r="C31" s="388" t="s">
        <v>152</v>
      </c>
      <c r="D31" s="247" t="s">
        <v>33</v>
      </c>
      <c r="E31" s="391">
        <v>12</v>
      </c>
      <c r="F31" s="290">
        <f>'[4]LDC Progress'!$BK$17</f>
        <v>1703597</v>
      </c>
      <c r="G31" s="603">
        <f>'[4]LDC Progress'!$CK$17</f>
        <v>249</v>
      </c>
      <c r="H31" s="606"/>
      <c r="I31" s="612">
        <v>0.1578</v>
      </c>
      <c r="J31" s="607"/>
      <c r="K31" s="607"/>
      <c r="L31" s="606"/>
      <c r="M31" s="606">
        <v>0</v>
      </c>
      <c r="N31" s="606"/>
      <c r="O31" s="612">
        <v>0.79259999999999997</v>
      </c>
      <c r="P31" s="404">
        <f t="shared" si="0"/>
        <v>0.95039999999999991</v>
      </c>
      <c r="S31" s="544">
        <f>E31*G31*O31</f>
        <v>2368.2887999999998</v>
      </c>
    </row>
    <row r="32" spans="1:19" ht="28.5" x14ac:dyDescent="0.25">
      <c r="A32" s="34"/>
      <c r="B32" s="403">
        <v>9</v>
      </c>
      <c r="C32" s="388" t="s">
        <v>153</v>
      </c>
      <c r="D32" s="247" t="s">
        <v>33</v>
      </c>
      <c r="E32" s="391">
        <v>12</v>
      </c>
      <c r="F32" s="290">
        <f>'[4]LDC Progress'!$BK$18</f>
        <v>113027</v>
      </c>
      <c r="G32" s="603">
        <f>'[4]LDC Progress'!$CK$18</f>
        <v>26</v>
      </c>
      <c r="H32" s="606"/>
      <c r="I32" s="604">
        <v>1</v>
      </c>
      <c r="J32" s="607"/>
      <c r="K32" s="607"/>
      <c r="L32" s="606"/>
      <c r="M32" s="606"/>
      <c r="N32" s="606"/>
      <c r="O32" s="606"/>
      <c r="P32" s="404">
        <f t="shared" si="0"/>
        <v>1</v>
      </c>
      <c r="S32" s="544">
        <f>E32*G32*O32</f>
        <v>0</v>
      </c>
    </row>
    <row r="33" spans="1:19" ht="28.5" x14ac:dyDescent="0.25">
      <c r="A33" s="34"/>
      <c r="B33" s="403">
        <v>10</v>
      </c>
      <c r="C33" s="388" t="s">
        <v>154</v>
      </c>
      <c r="D33" s="247" t="s">
        <v>33</v>
      </c>
      <c r="E33" s="391">
        <v>12</v>
      </c>
      <c r="F33" s="290">
        <f>'[4]LDC Progress'!$BK$19</f>
        <v>425850</v>
      </c>
      <c r="G33" s="603">
        <f>'[4]LDC Progress'!$CK$19</f>
        <v>66</v>
      </c>
      <c r="H33" s="606"/>
      <c r="I33" s="606"/>
      <c r="J33" s="606"/>
      <c r="K33" s="606"/>
      <c r="L33" s="606"/>
      <c r="M33" s="606"/>
      <c r="N33" s="606"/>
      <c r="O33" s="604">
        <v>1</v>
      </c>
      <c r="P33" s="404">
        <f t="shared" si="0"/>
        <v>1</v>
      </c>
      <c r="S33" s="544">
        <f>E33*G33*O33</f>
        <v>792</v>
      </c>
    </row>
    <row r="34" spans="1:19" ht="28.5" x14ac:dyDescent="0.25">
      <c r="A34" s="50"/>
      <c r="B34" s="403">
        <v>11</v>
      </c>
      <c r="C34" s="388" t="s">
        <v>155</v>
      </c>
      <c r="D34" s="247" t="s">
        <v>33</v>
      </c>
      <c r="E34" s="391">
        <v>3</v>
      </c>
      <c r="F34" s="290">
        <f>'[4]LDC Progress'!$BK$20</f>
        <v>57642</v>
      </c>
      <c r="G34" s="603">
        <f>'[4]LDC Progress'!$CK$20</f>
        <v>18</v>
      </c>
      <c r="H34" s="606"/>
      <c r="I34" s="606"/>
      <c r="J34" s="606"/>
      <c r="K34" s="606"/>
      <c r="L34" s="606"/>
      <c r="M34" s="606"/>
      <c r="N34" s="606"/>
      <c r="O34" s="604">
        <v>1</v>
      </c>
      <c r="P34" s="404">
        <f t="shared" si="0"/>
        <v>1</v>
      </c>
      <c r="S34" s="544">
        <f>E34*G34*O34</f>
        <v>54</v>
      </c>
    </row>
    <row r="35" spans="1:19" ht="26.25" hidden="1" customHeight="1" x14ac:dyDescent="0.25">
      <c r="A35" s="50"/>
      <c r="B35" s="613" t="s">
        <v>259</v>
      </c>
      <c r="C35" s="614"/>
      <c r="D35" s="614" t="s">
        <v>254</v>
      </c>
      <c r="E35" s="614"/>
      <c r="F35" s="614"/>
      <c r="G35" s="614"/>
      <c r="H35" s="614"/>
      <c r="I35" s="614"/>
      <c r="J35" s="614"/>
      <c r="K35" s="614"/>
      <c r="L35" s="614"/>
      <c r="M35" s="614"/>
      <c r="N35" s="614"/>
      <c r="O35" s="614"/>
      <c r="P35" s="615"/>
    </row>
    <row r="36" spans="1:19" hidden="1" x14ac:dyDescent="0.25">
      <c r="A36" s="34"/>
      <c r="B36" s="594"/>
      <c r="C36" s="707"/>
      <c r="D36" s="707"/>
      <c r="E36" s="562"/>
      <c r="F36" s="502"/>
      <c r="G36" s="502"/>
      <c r="H36" s="592"/>
      <c r="I36" s="592"/>
      <c r="J36" s="592"/>
      <c r="K36" s="592"/>
      <c r="L36" s="592"/>
      <c r="M36" s="592"/>
      <c r="N36" s="592"/>
      <c r="O36" s="592"/>
      <c r="P36" s="593"/>
    </row>
    <row r="37" spans="1:19" hidden="1" x14ac:dyDescent="0.25">
      <c r="A37" s="34"/>
      <c r="B37" s="594"/>
      <c r="C37" s="707"/>
      <c r="D37" s="707"/>
      <c r="E37" s="562"/>
      <c r="F37" s="502"/>
      <c r="G37" s="502"/>
      <c r="H37" s="592"/>
      <c r="I37" s="592"/>
      <c r="J37" s="592"/>
      <c r="K37" s="592"/>
      <c r="L37" s="592"/>
      <c r="M37" s="592"/>
      <c r="N37" s="592"/>
      <c r="O37" s="592"/>
      <c r="P37" s="593"/>
    </row>
    <row r="38" spans="1:19" hidden="1" x14ac:dyDescent="0.25">
      <c r="A38" s="34"/>
      <c r="B38" s="594"/>
      <c r="C38" s="707"/>
      <c r="D38" s="707"/>
      <c r="E38" s="562"/>
      <c r="F38" s="502"/>
      <c r="G38" s="502"/>
      <c r="H38" s="592"/>
      <c r="I38" s="592"/>
      <c r="J38" s="592"/>
      <c r="K38" s="592"/>
      <c r="L38" s="592"/>
      <c r="M38" s="592"/>
      <c r="N38" s="592"/>
      <c r="O38" s="592"/>
      <c r="P38" s="593"/>
    </row>
    <row r="39" spans="1:19" ht="26.25" customHeight="1" x14ac:dyDescent="0.25">
      <c r="A39" s="50"/>
      <c r="B39" s="613" t="s">
        <v>11</v>
      </c>
      <c r="C39" s="614"/>
      <c r="D39" s="614"/>
      <c r="E39" s="614"/>
      <c r="F39" s="614"/>
      <c r="G39" s="614"/>
      <c r="H39" s="614"/>
      <c r="I39" s="614"/>
      <c r="J39" s="614"/>
      <c r="K39" s="614"/>
      <c r="L39" s="614"/>
      <c r="M39" s="614"/>
      <c r="N39" s="614"/>
      <c r="O39" s="614"/>
      <c r="P39" s="615"/>
    </row>
    <row r="40" spans="1:19" ht="28.5" hidden="1" x14ac:dyDescent="0.25">
      <c r="A40" s="34"/>
      <c r="B40" s="594">
        <v>12</v>
      </c>
      <c r="C40" s="595" t="s">
        <v>156</v>
      </c>
      <c r="D40" s="512" t="s">
        <v>33</v>
      </c>
      <c r="E40" s="596">
        <v>12</v>
      </c>
      <c r="F40" s="502"/>
      <c r="G40" s="502"/>
      <c r="H40" s="592"/>
      <c r="I40" s="592"/>
      <c r="J40" s="591"/>
      <c r="K40" s="591"/>
      <c r="L40" s="592"/>
      <c r="M40" s="592"/>
      <c r="N40" s="592"/>
      <c r="O40" s="592"/>
      <c r="P40" s="593">
        <f t="shared" si="0"/>
        <v>0</v>
      </c>
    </row>
    <row r="41" spans="1:19" ht="28.5" hidden="1" x14ac:dyDescent="0.25">
      <c r="A41" s="34"/>
      <c r="B41" s="594">
        <v>13</v>
      </c>
      <c r="C41" s="595" t="s">
        <v>157</v>
      </c>
      <c r="D41" s="512" t="s">
        <v>33</v>
      </c>
      <c r="E41" s="596">
        <v>12</v>
      </c>
      <c r="F41" s="502"/>
      <c r="G41" s="502"/>
      <c r="H41" s="592"/>
      <c r="I41" s="592"/>
      <c r="J41" s="591"/>
      <c r="K41" s="591"/>
      <c r="L41" s="592"/>
      <c r="M41" s="592"/>
      <c r="N41" s="592"/>
      <c r="O41" s="592"/>
      <c r="P41" s="593">
        <f t="shared" si="0"/>
        <v>0</v>
      </c>
    </row>
    <row r="42" spans="1:19" ht="28.5" x14ac:dyDescent="0.25">
      <c r="A42" s="50"/>
      <c r="B42" s="403">
        <v>14</v>
      </c>
      <c r="C42" s="388" t="s">
        <v>158</v>
      </c>
      <c r="D42" s="247" t="s">
        <v>33</v>
      </c>
      <c r="E42" s="391">
        <v>12</v>
      </c>
      <c r="F42" s="290">
        <f>'[4]LDC Progress'!$BK$26</f>
        <v>283809</v>
      </c>
      <c r="G42" s="603">
        <f>'[4]LDC Progress'!$CK$26</f>
        <v>44</v>
      </c>
      <c r="H42" s="606"/>
      <c r="I42" s="606"/>
      <c r="J42" s="607"/>
      <c r="K42" s="607"/>
      <c r="L42" s="606"/>
      <c r="M42" s="606"/>
      <c r="N42" s="606"/>
      <c r="O42" s="604">
        <v>1</v>
      </c>
      <c r="P42" s="404">
        <f t="shared" si="0"/>
        <v>1</v>
      </c>
      <c r="S42" s="544">
        <f>E42*G42*O42</f>
        <v>528</v>
      </c>
    </row>
    <row r="43" spans="1:19" hidden="1" x14ac:dyDescent="0.25">
      <c r="A43" s="34"/>
      <c r="B43" s="597" t="s">
        <v>259</v>
      </c>
      <c r="C43" s="595"/>
      <c r="D43" s="512" t="s">
        <v>254</v>
      </c>
      <c r="E43" s="596"/>
      <c r="F43" s="502"/>
      <c r="G43" s="502"/>
      <c r="H43" s="592"/>
      <c r="I43" s="592"/>
      <c r="J43" s="592"/>
      <c r="K43" s="592"/>
      <c r="L43" s="592"/>
      <c r="M43" s="592"/>
      <c r="N43" s="592"/>
      <c r="O43" s="592"/>
      <c r="P43" s="593"/>
    </row>
    <row r="44" spans="1:19" hidden="1" x14ac:dyDescent="0.25">
      <c r="A44" s="34"/>
      <c r="B44" s="594"/>
      <c r="C44" s="707"/>
      <c r="D44" s="707"/>
      <c r="E44" s="562"/>
      <c r="F44" s="502"/>
      <c r="G44" s="502"/>
      <c r="H44" s="592"/>
      <c r="I44" s="592"/>
      <c r="J44" s="592"/>
      <c r="K44" s="592"/>
      <c r="L44" s="592"/>
      <c r="M44" s="592"/>
      <c r="N44" s="592"/>
      <c r="O44" s="592"/>
      <c r="P44" s="593"/>
    </row>
    <row r="45" spans="1:19" hidden="1" x14ac:dyDescent="0.25">
      <c r="A45" s="34"/>
      <c r="B45" s="594"/>
      <c r="C45" s="707"/>
      <c r="D45" s="707"/>
      <c r="E45" s="562"/>
      <c r="F45" s="502"/>
      <c r="G45" s="502"/>
      <c r="H45" s="592"/>
      <c r="I45" s="592"/>
      <c r="J45" s="592"/>
      <c r="K45" s="592"/>
      <c r="L45" s="592"/>
      <c r="M45" s="592"/>
      <c r="N45" s="592"/>
      <c r="O45" s="592"/>
      <c r="P45" s="593"/>
    </row>
    <row r="46" spans="1:19" hidden="1" x14ac:dyDescent="0.25">
      <c r="A46" s="34"/>
      <c r="B46" s="594"/>
      <c r="C46" s="707"/>
      <c r="D46" s="707"/>
      <c r="E46" s="562"/>
      <c r="F46" s="502"/>
      <c r="G46" s="502"/>
      <c r="H46" s="592"/>
      <c r="I46" s="592"/>
      <c r="J46" s="592"/>
      <c r="K46" s="592"/>
      <c r="L46" s="592"/>
      <c r="M46" s="592"/>
      <c r="N46" s="592"/>
      <c r="O46" s="592"/>
      <c r="P46" s="593"/>
    </row>
    <row r="47" spans="1:19" ht="26.25" customHeight="1" x14ac:dyDescent="0.25">
      <c r="A47" s="50"/>
      <c r="B47" s="613" t="s">
        <v>159</v>
      </c>
      <c r="C47" s="614"/>
      <c r="D47" s="614"/>
      <c r="E47" s="614"/>
      <c r="F47" s="614"/>
      <c r="G47" s="614"/>
      <c r="H47" s="614"/>
      <c r="I47" s="614"/>
      <c r="J47" s="614"/>
      <c r="K47" s="614"/>
      <c r="L47" s="614"/>
      <c r="M47" s="614"/>
      <c r="N47" s="614"/>
      <c r="O47" s="614"/>
      <c r="P47" s="615"/>
    </row>
    <row r="48" spans="1:19" x14ac:dyDescent="0.25">
      <c r="A48" s="34"/>
      <c r="B48" s="403">
        <v>15</v>
      </c>
      <c r="C48" s="388" t="s">
        <v>160</v>
      </c>
      <c r="D48" s="247" t="s">
        <v>33</v>
      </c>
      <c r="E48" s="391"/>
      <c r="F48" s="290">
        <f>'[4]LDC Progress'!$BK$30</f>
        <v>2983</v>
      </c>
      <c r="G48" s="603">
        <f>'[4]LDC Progress'!$CK$30</f>
        <v>0</v>
      </c>
      <c r="H48" s="604">
        <v>1</v>
      </c>
      <c r="I48" s="607"/>
      <c r="J48" s="607"/>
      <c r="K48" s="607"/>
      <c r="L48" s="606"/>
      <c r="M48" s="606"/>
      <c r="N48" s="606"/>
      <c r="O48" s="606"/>
      <c r="P48" s="404">
        <f t="shared" si="0"/>
        <v>1</v>
      </c>
    </row>
    <row r="49" spans="1:16" hidden="1" x14ac:dyDescent="0.25">
      <c r="A49" s="34"/>
      <c r="B49" s="597" t="s">
        <v>259</v>
      </c>
      <c r="C49" s="595"/>
      <c r="D49" s="512" t="s">
        <v>254</v>
      </c>
      <c r="E49" s="596"/>
      <c r="F49" s="502"/>
      <c r="G49" s="502"/>
      <c r="H49" s="591"/>
      <c r="I49" s="592"/>
      <c r="J49" s="592"/>
      <c r="K49" s="592"/>
      <c r="L49" s="592"/>
      <c r="M49" s="592"/>
      <c r="N49" s="592"/>
      <c r="O49" s="592"/>
      <c r="P49" s="593">
        <f t="shared" si="0"/>
        <v>0</v>
      </c>
    </row>
    <row r="50" spans="1:16" hidden="1" x14ac:dyDescent="0.25">
      <c r="A50" s="34"/>
      <c r="B50" s="594"/>
      <c r="C50" s="707"/>
      <c r="D50" s="707"/>
      <c r="E50" s="562"/>
      <c r="F50" s="502"/>
      <c r="G50" s="502"/>
      <c r="H50" s="591"/>
      <c r="I50" s="592"/>
      <c r="J50" s="592"/>
      <c r="K50" s="592"/>
      <c r="L50" s="592"/>
      <c r="M50" s="592"/>
      <c r="N50" s="592"/>
      <c r="O50" s="592"/>
      <c r="P50" s="593">
        <f t="shared" si="0"/>
        <v>0</v>
      </c>
    </row>
    <row r="51" spans="1:16" hidden="1" x14ac:dyDescent="0.25">
      <c r="A51" s="34"/>
      <c r="B51" s="594"/>
      <c r="C51" s="707"/>
      <c r="D51" s="707"/>
      <c r="E51" s="562"/>
      <c r="F51" s="502"/>
      <c r="G51" s="502"/>
      <c r="H51" s="591"/>
      <c r="I51" s="592"/>
      <c r="J51" s="592"/>
      <c r="K51" s="592"/>
      <c r="L51" s="592"/>
      <c r="M51" s="592"/>
      <c r="N51" s="592"/>
      <c r="O51" s="592"/>
      <c r="P51" s="593"/>
    </row>
    <row r="52" spans="1:16" hidden="1" x14ac:dyDescent="0.25">
      <c r="A52" s="34"/>
      <c r="B52" s="594"/>
      <c r="C52" s="707"/>
      <c r="D52" s="707"/>
      <c r="E52" s="562"/>
      <c r="F52" s="502"/>
      <c r="G52" s="502"/>
      <c r="H52" s="591"/>
      <c r="I52" s="592"/>
      <c r="J52" s="592"/>
      <c r="K52" s="592"/>
      <c r="L52" s="592"/>
      <c r="M52" s="592"/>
      <c r="N52" s="592"/>
      <c r="O52" s="592"/>
      <c r="P52" s="593">
        <f t="shared" si="0"/>
        <v>0</v>
      </c>
    </row>
    <row r="53" spans="1:16" ht="26.25" hidden="1" customHeight="1" x14ac:dyDescent="0.25">
      <c r="A53" s="50"/>
      <c r="B53" s="613" t="s">
        <v>161</v>
      </c>
      <c r="C53" s="614"/>
      <c r="D53" s="614"/>
      <c r="E53" s="614"/>
      <c r="F53" s="614"/>
      <c r="G53" s="614"/>
      <c r="H53" s="614"/>
      <c r="I53" s="614"/>
      <c r="J53" s="614"/>
      <c r="K53" s="614"/>
      <c r="L53" s="614"/>
      <c r="M53" s="614"/>
      <c r="N53" s="614"/>
      <c r="O53" s="614"/>
      <c r="P53" s="615"/>
    </row>
    <row r="54" spans="1:16" hidden="1" x14ac:dyDescent="0.25">
      <c r="A54" s="34"/>
      <c r="B54" s="594">
        <v>16</v>
      </c>
      <c r="C54" s="595" t="s">
        <v>162</v>
      </c>
      <c r="D54" s="512" t="s">
        <v>33</v>
      </c>
      <c r="E54" s="596"/>
      <c r="F54" s="502"/>
      <c r="G54" s="502"/>
      <c r="H54" s="592"/>
      <c r="I54" s="592"/>
      <c r="J54" s="592"/>
      <c r="K54" s="592"/>
      <c r="L54" s="592"/>
      <c r="M54" s="592"/>
      <c r="N54" s="592"/>
      <c r="O54" s="592"/>
      <c r="P54" s="593">
        <f t="shared" si="0"/>
        <v>0</v>
      </c>
    </row>
    <row r="55" spans="1:16" hidden="1" x14ac:dyDescent="0.25">
      <c r="A55" s="34"/>
      <c r="B55" s="594">
        <v>17</v>
      </c>
      <c r="C55" s="595" t="s">
        <v>163</v>
      </c>
      <c r="D55" s="512" t="s">
        <v>33</v>
      </c>
      <c r="E55" s="596"/>
      <c r="F55" s="502"/>
      <c r="G55" s="502"/>
      <c r="H55" s="592"/>
      <c r="I55" s="592"/>
      <c r="J55" s="592"/>
      <c r="K55" s="592"/>
      <c r="L55" s="592"/>
      <c r="M55" s="592"/>
      <c r="N55" s="592"/>
      <c r="O55" s="592"/>
      <c r="P55" s="593">
        <f t="shared" si="0"/>
        <v>0</v>
      </c>
    </row>
    <row r="56" spans="1:16" hidden="1" x14ac:dyDescent="0.25">
      <c r="A56" s="34"/>
      <c r="B56" s="594">
        <v>18</v>
      </c>
      <c r="C56" s="595" t="s">
        <v>164</v>
      </c>
      <c r="D56" s="512" t="s">
        <v>33</v>
      </c>
      <c r="E56" s="596"/>
      <c r="F56" s="502"/>
      <c r="G56" s="502"/>
      <c r="H56" s="592"/>
      <c r="I56" s="592"/>
      <c r="J56" s="592"/>
      <c r="K56" s="592"/>
      <c r="L56" s="592"/>
      <c r="M56" s="592"/>
      <c r="N56" s="592"/>
      <c r="O56" s="592"/>
      <c r="P56" s="593">
        <f t="shared" si="0"/>
        <v>0</v>
      </c>
    </row>
    <row r="57" spans="1:16" hidden="1" x14ac:dyDescent="0.25">
      <c r="A57" s="34"/>
      <c r="B57" s="594">
        <v>19</v>
      </c>
      <c r="C57" s="595" t="s">
        <v>165</v>
      </c>
      <c r="D57" s="512" t="s">
        <v>33</v>
      </c>
      <c r="E57" s="596"/>
      <c r="F57" s="502"/>
      <c r="G57" s="502"/>
      <c r="H57" s="592"/>
      <c r="I57" s="592"/>
      <c r="J57" s="592"/>
      <c r="K57" s="592"/>
      <c r="L57" s="592"/>
      <c r="M57" s="592"/>
      <c r="N57" s="592"/>
      <c r="O57" s="592"/>
      <c r="P57" s="593">
        <f t="shared" si="0"/>
        <v>0</v>
      </c>
    </row>
    <row r="58" spans="1:16" hidden="1" x14ac:dyDescent="0.25">
      <c r="A58" s="34"/>
      <c r="B58" s="597" t="s">
        <v>259</v>
      </c>
      <c r="C58" s="595"/>
      <c r="D58" s="512" t="s">
        <v>254</v>
      </c>
      <c r="E58" s="596"/>
      <c r="F58" s="502"/>
      <c r="G58" s="502"/>
      <c r="H58" s="592"/>
      <c r="I58" s="592"/>
      <c r="J58" s="592"/>
      <c r="K58" s="592"/>
      <c r="L58" s="592"/>
      <c r="M58" s="592"/>
      <c r="N58" s="592"/>
      <c r="O58" s="592"/>
      <c r="P58" s="593">
        <f t="shared" si="0"/>
        <v>0</v>
      </c>
    </row>
    <row r="59" spans="1:16" hidden="1" x14ac:dyDescent="0.25">
      <c r="A59" s="34"/>
      <c r="B59" s="597"/>
      <c r="C59" s="707"/>
      <c r="D59" s="707"/>
      <c r="E59" s="562"/>
      <c r="F59" s="502"/>
      <c r="G59" s="502"/>
      <c r="H59" s="592"/>
      <c r="I59" s="592"/>
      <c r="J59" s="592"/>
      <c r="K59" s="592"/>
      <c r="L59" s="592"/>
      <c r="M59" s="592"/>
      <c r="N59" s="592"/>
      <c r="O59" s="592"/>
      <c r="P59" s="593"/>
    </row>
    <row r="60" spans="1:16" x14ac:dyDescent="0.25">
      <c r="A60" s="50"/>
      <c r="B60" s="613" t="s">
        <v>104</v>
      </c>
      <c r="C60" s="614"/>
      <c r="D60" s="614"/>
      <c r="E60" s="614"/>
      <c r="F60" s="614"/>
      <c r="G60" s="614"/>
      <c r="H60" s="614"/>
      <c r="I60" s="614"/>
      <c r="J60" s="614"/>
      <c r="K60" s="614"/>
      <c r="L60" s="614"/>
      <c r="M60" s="614"/>
      <c r="N60" s="614"/>
      <c r="O60" s="614"/>
      <c r="P60" s="615"/>
    </row>
    <row r="61" spans="1:16" x14ac:dyDescent="0.25">
      <c r="A61" s="50"/>
      <c r="B61" s="403"/>
      <c r="C61" s="388" t="s">
        <v>106</v>
      </c>
      <c r="D61" s="247"/>
      <c r="E61" s="391"/>
      <c r="F61" s="290">
        <f>'[4]LDC Progress'!$BK$42</f>
        <v>40750</v>
      </c>
      <c r="G61" s="603">
        <f>'[4]LDC Progress'!$CK$42</f>
        <v>5</v>
      </c>
      <c r="H61" s="606"/>
      <c r="I61" s="606"/>
      <c r="J61" s="607"/>
      <c r="K61" s="607"/>
      <c r="L61" s="606"/>
      <c r="M61" s="606"/>
      <c r="N61" s="606"/>
      <c r="O61" s="604">
        <v>1</v>
      </c>
      <c r="P61" s="404">
        <f t="shared" si="0"/>
        <v>1</v>
      </c>
    </row>
    <row r="62" spans="1:16" ht="27" customHeight="1" x14ac:dyDescent="0.25">
      <c r="B62" s="616" t="s">
        <v>166</v>
      </c>
      <c r="C62" s="617"/>
      <c r="D62" s="617"/>
      <c r="E62" s="617"/>
      <c r="F62" s="617"/>
      <c r="G62" s="617"/>
      <c r="H62" s="617"/>
      <c r="I62" s="617"/>
      <c r="J62" s="617"/>
      <c r="K62" s="617"/>
      <c r="L62" s="617"/>
      <c r="M62" s="617"/>
      <c r="N62" s="617"/>
      <c r="O62" s="617"/>
      <c r="P62" s="618"/>
    </row>
    <row r="63" spans="1:16" ht="16.5" x14ac:dyDescent="0.25">
      <c r="B63" s="407"/>
      <c r="C63" s="388"/>
      <c r="D63" s="391"/>
      <c r="E63" s="391"/>
      <c r="F63" s="387"/>
      <c r="G63" s="387"/>
      <c r="H63" s="387"/>
      <c r="I63" s="387"/>
      <c r="J63" s="387"/>
      <c r="K63" s="387"/>
      <c r="L63" s="387"/>
      <c r="M63" s="387"/>
      <c r="N63" s="387"/>
      <c r="O63" s="387"/>
      <c r="P63" s="408"/>
    </row>
    <row r="64" spans="1:16" ht="26.25" hidden="1" customHeight="1" x14ac:dyDescent="0.25">
      <c r="A64" s="50"/>
      <c r="B64" s="613" t="s">
        <v>167</v>
      </c>
      <c r="C64" s="614"/>
      <c r="D64" s="614"/>
      <c r="E64" s="614"/>
      <c r="F64" s="614"/>
      <c r="G64" s="614"/>
      <c r="H64" s="614"/>
      <c r="I64" s="614"/>
      <c r="J64" s="614"/>
      <c r="K64" s="614"/>
      <c r="L64" s="614"/>
      <c r="M64" s="614"/>
      <c r="N64" s="614"/>
      <c r="O64" s="614"/>
      <c r="P64" s="615"/>
    </row>
    <row r="65" spans="1:16" hidden="1" x14ac:dyDescent="0.25">
      <c r="A65" s="50"/>
      <c r="B65" s="594">
        <v>21</v>
      </c>
      <c r="C65" s="595" t="s">
        <v>168</v>
      </c>
      <c r="D65" s="512" t="s">
        <v>33</v>
      </c>
      <c r="E65" s="596"/>
      <c r="F65" s="502"/>
      <c r="G65" s="502"/>
      <c r="H65" s="591"/>
      <c r="I65" s="592"/>
      <c r="J65" s="592"/>
      <c r="K65" s="592"/>
      <c r="L65" s="592"/>
      <c r="M65" s="592"/>
      <c r="N65" s="592"/>
      <c r="O65" s="592"/>
      <c r="P65" s="593">
        <f t="shared" si="0"/>
        <v>0</v>
      </c>
    </row>
    <row r="66" spans="1:16" ht="28.5" hidden="1" x14ac:dyDescent="0.25">
      <c r="A66" s="50"/>
      <c r="B66" s="594">
        <v>22</v>
      </c>
      <c r="C66" s="595" t="s">
        <v>169</v>
      </c>
      <c r="D66" s="512" t="s">
        <v>33</v>
      </c>
      <c r="E66" s="596"/>
      <c r="F66" s="502"/>
      <c r="G66" s="502"/>
      <c r="H66" s="591"/>
      <c r="I66" s="592"/>
      <c r="J66" s="592"/>
      <c r="K66" s="592"/>
      <c r="L66" s="592"/>
      <c r="M66" s="592"/>
      <c r="N66" s="592"/>
      <c r="O66" s="592"/>
      <c r="P66" s="593">
        <f t="shared" si="0"/>
        <v>0</v>
      </c>
    </row>
    <row r="67" spans="1:16" hidden="1" x14ac:dyDescent="0.25">
      <c r="A67" s="34"/>
      <c r="B67" s="594">
        <v>23</v>
      </c>
      <c r="C67" s="595" t="s">
        <v>170</v>
      </c>
      <c r="D67" s="512" t="s">
        <v>33</v>
      </c>
      <c r="E67" s="596"/>
      <c r="F67" s="502"/>
      <c r="G67" s="502"/>
      <c r="H67" s="591"/>
      <c r="I67" s="592"/>
      <c r="J67" s="592"/>
      <c r="K67" s="592"/>
      <c r="L67" s="592"/>
      <c r="M67" s="592"/>
      <c r="N67" s="592"/>
      <c r="O67" s="592"/>
      <c r="P67" s="593">
        <f t="shared" si="0"/>
        <v>0</v>
      </c>
    </row>
    <row r="68" spans="1:16" hidden="1" x14ac:dyDescent="0.25">
      <c r="A68" s="50"/>
      <c r="B68" s="594">
        <v>24</v>
      </c>
      <c r="C68" s="595" t="s">
        <v>171</v>
      </c>
      <c r="D68" s="512" t="s">
        <v>33</v>
      </c>
      <c r="E68" s="596"/>
      <c r="F68" s="502"/>
      <c r="G68" s="502"/>
      <c r="H68" s="591"/>
      <c r="I68" s="592"/>
      <c r="J68" s="592"/>
      <c r="K68" s="592"/>
      <c r="L68" s="592"/>
      <c r="M68" s="592"/>
      <c r="N68" s="592"/>
      <c r="O68" s="592"/>
      <c r="P68" s="593">
        <f t="shared" si="0"/>
        <v>0</v>
      </c>
    </row>
    <row r="69" spans="1:16" hidden="1" x14ac:dyDescent="0.25">
      <c r="A69" s="34"/>
      <c r="B69" s="597" t="s">
        <v>259</v>
      </c>
      <c r="C69" s="595"/>
      <c r="D69" s="512" t="s">
        <v>254</v>
      </c>
      <c r="E69" s="596"/>
      <c r="F69" s="502"/>
      <c r="G69" s="502"/>
      <c r="H69" s="591"/>
      <c r="I69" s="592"/>
      <c r="J69" s="592"/>
      <c r="K69" s="592"/>
      <c r="L69" s="592"/>
      <c r="M69" s="592"/>
      <c r="N69" s="592"/>
      <c r="O69" s="592"/>
      <c r="P69" s="593"/>
    </row>
    <row r="70" spans="1:16" hidden="1" x14ac:dyDescent="0.25">
      <c r="A70" s="34"/>
      <c r="B70" s="594"/>
      <c r="C70" s="707"/>
      <c r="D70" s="707"/>
      <c r="E70" s="562"/>
      <c r="F70" s="502"/>
      <c r="G70" s="502"/>
      <c r="H70" s="591"/>
      <c r="I70" s="592"/>
      <c r="J70" s="592"/>
      <c r="K70" s="592"/>
      <c r="L70" s="592"/>
      <c r="M70" s="592"/>
      <c r="N70" s="592"/>
      <c r="O70" s="592"/>
      <c r="P70" s="593"/>
    </row>
    <row r="71" spans="1:16" hidden="1" x14ac:dyDescent="0.25">
      <c r="A71" s="34"/>
      <c r="B71" s="594"/>
      <c r="C71" s="707"/>
      <c r="D71" s="707"/>
      <c r="E71" s="562"/>
      <c r="F71" s="502"/>
      <c r="G71" s="502"/>
      <c r="H71" s="591"/>
      <c r="I71" s="592"/>
      <c r="J71" s="592"/>
      <c r="K71" s="592"/>
      <c r="L71" s="592"/>
      <c r="M71" s="592"/>
      <c r="N71" s="592"/>
      <c r="O71" s="592"/>
      <c r="P71" s="593"/>
    </row>
    <row r="72" spans="1:16" hidden="1" x14ac:dyDescent="0.25">
      <c r="A72" s="34"/>
      <c r="B72" s="594"/>
      <c r="C72" s="707"/>
      <c r="D72" s="707"/>
      <c r="E72" s="562"/>
      <c r="F72" s="502"/>
      <c r="G72" s="502"/>
      <c r="H72" s="592"/>
      <c r="I72" s="592"/>
      <c r="J72" s="592"/>
      <c r="K72" s="592"/>
      <c r="L72" s="592"/>
      <c r="M72" s="592"/>
      <c r="N72" s="592"/>
      <c r="O72" s="592"/>
      <c r="P72" s="593"/>
    </row>
    <row r="73" spans="1:16" ht="26.25" hidden="1" customHeight="1" x14ac:dyDescent="0.25">
      <c r="A73" s="50"/>
      <c r="B73" s="613" t="s">
        <v>172</v>
      </c>
      <c r="C73" s="614"/>
      <c r="D73" s="614"/>
      <c r="E73" s="614"/>
      <c r="F73" s="614"/>
      <c r="G73" s="614"/>
      <c r="H73" s="614"/>
      <c r="I73" s="614"/>
      <c r="J73" s="614"/>
      <c r="K73" s="614"/>
      <c r="L73" s="614"/>
      <c r="M73" s="614"/>
      <c r="N73" s="614"/>
      <c r="O73" s="614"/>
      <c r="P73" s="615"/>
    </row>
    <row r="74" spans="1:16" hidden="1" x14ac:dyDescent="0.25">
      <c r="A74" s="50"/>
      <c r="B74" s="594">
        <v>25</v>
      </c>
      <c r="C74" s="595" t="s">
        <v>173</v>
      </c>
      <c r="D74" s="512" t="s">
        <v>33</v>
      </c>
      <c r="E74" s="596">
        <v>12</v>
      </c>
      <c r="F74" s="502"/>
      <c r="G74" s="502"/>
      <c r="H74" s="591"/>
      <c r="I74" s="592"/>
      <c r="J74" s="592"/>
      <c r="K74" s="592"/>
      <c r="L74" s="592"/>
      <c r="M74" s="592"/>
      <c r="N74" s="592"/>
      <c r="O74" s="592"/>
      <c r="P74" s="593">
        <f t="shared" si="0"/>
        <v>0</v>
      </c>
    </row>
    <row r="75" spans="1:16" hidden="1" x14ac:dyDescent="0.25">
      <c r="A75" s="50"/>
      <c r="B75" s="594">
        <v>26</v>
      </c>
      <c r="C75" s="595" t="s">
        <v>174</v>
      </c>
      <c r="D75" s="512" t="s">
        <v>33</v>
      </c>
      <c r="E75" s="596">
        <v>12</v>
      </c>
      <c r="F75" s="502"/>
      <c r="G75" s="502"/>
      <c r="H75" s="591"/>
      <c r="I75" s="592"/>
      <c r="J75" s="592"/>
      <c r="K75" s="592"/>
      <c r="L75" s="592"/>
      <c r="M75" s="592"/>
      <c r="N75" s="592"/>
      <c r="O75" s="592"/>
      <c r="P75" s="593">
        <f t="shared" si="0"/>
        <v>0</v>
      </c>
    </row>
    <row r="76" spans="1:16" ht="28.5" hidden="1" x14ac:dyDescent="0.25">
      <c r="A76" s="34"/>
      <c r="B76" s="594">
        <v>27</v>
      </c>
      <c r="C76" s="595" t="s">
        <v>175</v>
      </c>
      <c r="D76" s="512" t="s">
        <v>33</v>
      </c>
      <c r="E76" s="596">
        <v>12</v>
      </c>
      <c r="F76" s="502"/>
      <c r="G76" s="502"/>
      <c r="H76" s="592"/>
      <c r="I76" s="591"/>
      <c r="J76" s="591"/>
      <c r="K76" s="591"/>
      <c r="L76" s="592"/>
      <c r="M76" s="592"/>
      <c r="N76" s="592"/>
      <c r="O76" s="592"/>
      <c r="P76" s="593">
        <f t="shared" si="0"/>
        <v>0</v>
      </c>
    </row>
    <row r="77" spans="1:16" ht="28.5" hidden="1" x14ac:dyDescent="0.25">
      <c r="A77" s="50"/>
      <c r="B77" s="594">
        <v>28</v>
      </c>
      <c r="C77" s="595" t="s">
        <v>176</v>
      </c>
      <c r="D77" s="512" t="s">
        <v>33</v>
      </c>
      <c r="E77" s="596">
        <v>12</v>
      </c>
      <c r="F77" s="502"/>
      <c r="G77" s="502"/>
      <c r="H77" s="591"/>
      <c r="I77" s="592"/>
      <c r="J77" s="592"/>
      <c r="K77" s="592"/>
      <c r="L77" s="592"/>
      <c r="M77" s="592"/>
      <c r="N77" s="592"/>
      <c r="O77" s="592"/>
      <c r="P77" s="593">
        <f t="shared" si="0"/>
        <v>0</v>
      </c>
    </row>
    <row r="78" spans="1:16" ht="28.5" hidden="1" x14ac:dyDescent="0.25">
      <c r="A78" s="34"/>
      <c r="B78" s="594">
        <v>29</v>
      </c>
      <c r="C78" s="595" t="s">
        <v>177</v>
      </c>
      <c r="D78" s="512" t="s">
        <v>33</v>
      </c>
      <c r="E78" s="596">
        <v>3</v>
      </c>
      <c r="F78" s="502"/>
      <c r="G78" s="502"/>
      <c r="H78" s="592"/>
      <c r="I78" s="591"/>
      <c r="J78" s="591"/>
      <c r="K78" s="591"/>
      <c r="L78" s="592"/>
      <c r="M78" s="592"/>
      <c r="N78" s="592"/>
      <c r="O78" s="592"/>
      <c r="P78" s="593">
        <f t="shared" si="0"/>
        <v>0</v>
      </c>
    </row>
    <row r="79" spans="1:16" ht="28.5" hidden="1" x14ac:dyDescent="0.25">
      <c r="A79" s="34"/>
      <c r="B79" s="594">
        <v>30</v>
      </c>
      <c r="C79" s="595" t="s">
        <v>178</v>
      </c>
      <c r="D79" s="512" t="s">
        <v>33</v>
      </c>
      <c r="E79" s="596">
        <v>12</v>
      </c>
      <c r="F79" s="502"/>
      <c r="G79" s="502"/>
      <c r="H79" s="592"/>
      <c r="I79" s="591"/>
      <c r="J79" s="591"/>
      <c r="K79" s="591"/>
      <c r="L79" s="592"/>
      <c r="M79" s="592"/>
      <c r="N79" s="592"/>
      <c r="O79" s="592"/>
      <c r="P79" s="593">
        <f t="shared" si="0"/>
        <v>0</v>
      </c>
    </row>
    <row r="80" spans="1:16" ht="28.5" hidden="1" x14ac:dyDescent="0.25">
      <c r="A80" s="34"/>
      <c r="B80" s="594">
        <v>31</v>
      </c>
      <c r="C80" s="595" t="s">
        <v>179</v>
      </c>
      <c r="D80" s="512" t="s">
        <v>33</v>
      </c>
      <c r="E80" s="596">
        <v>12</v>
      </c>
      <c r="F80" s="502"/>
      <c r="G80" s="502"/>
      <c r="H80" s="592"/>
      <c r="I80" s="591"/>
      <c r="J80" s="591"/>
      <c r="K80" s="591"/>
      <c r="L80" s="592"/>
      <c r="M80" s="592"/>
      <c r="N80" s="592"/>
      <c r="O80" s="592"/>
      <c r="P80" s="593">
        <f t="shared" si="0"/>
        <v>0</v>
      </c>
    </row>
    <row r="81" spans="1:16" hidden="1" x14ac:dyDescent="0.25">
      <c r="A81" s="34"/>
      <c r="B81" s="594">
        <v>32</v>
      </c>
      <c r="C81" s="595" t="s">
        <v>180</v>
      </c>
      <c r="D81" s="512" t="s">
        <v>33</v>
      </c>
      <c r="E81" s="596">
        <v>12</v>
      </c>
      <c r="F81" s="502"/>
      <c r="G81" s="502"/>
      <c r="H81" s="592"/>
      <c r="I81" s="591"/>
      <c r="J81" s="591"/>
      <c r="K81" s="591"/>
      <c r="L81" s="592"/>
      <c r="M81" s="592"/>
      <c r="N81" s="592"/>
      <c r="O81" s="592"/>
      <c r="P81" s="593">
        <f t="shared" si="0"/>
        <v>0</v>
      </c>
    </row>
    <row r="82" spans="1:16" hidden="1" x14ac:dyDescent="0.25">
      <c r="A82" s="34"/>
      <c r="B82" s="597" t="s">
        <v>259</v>
      </c>
      <c r="C82" s="595"/>
      <c r="D82" s="512" t="s">
        <v>254</v>
      </c>
      <c r="E82" s="596"/>
      <c r="F82" s="502"/>
      <c r="G82" s="502"/>
      <c r="H82" s="592"/>
      <c r="I82" s="592"/>
      <c r="J82" s="592"/>
      <c r="K82" s="592"/>
      <c r="L82" s="592"/>
      <c r="M82" s="592"/>
      <c r="N82" s="592"/>
      <c r="O82" s="592"/>
      <c r="P82" s="593"/>
    </row>
    <row r="83" spans="1:16" hidden="1" x14ac:dyDescent="0.25">
      <c r="A83" s="34"/>
      <c r="B83" s="594"/>
      <c r="C83" s="707"/>
      <c r="D83" s="707"/>
      <c r="E83" s="562"/>
      <c r="F83" s="502"/>
      <c r="G83" s="502"/>
      <c r="H83" s="592"/>
      <c r="I83" s="592"/>
      <c r="J83" s="592"/>
      <c r="K83" s="592"/>
      <c r="L83" s="592"/>
      <c r="M83" s="592"/>
      <c r="N83" s="592"/>
      <c r="O83" s="592"/>
      <c r="P83" s="593"/>
    </row>
    <row r="84" spans="1:16" hidden="1" x14ac:dyDescent="0.25">
      <c r="A84" s="34"/>
      <c r="B84" s="594"/>
      <c r="C84" s="707"/>
      <c r="D84" s="707"/>
      <c r="E84" s="562"/>
      <c r="F84" s="502"/>
      <c r="G84" s="502"/>
      <c r="H84" s="592"/>
      <c r="I84" s="592"/>
      <c r="J84" s="592"/>
      <c r="K84" s="592"/>
      <c r="L84" s="592"/>
      <c r="M84" s="592"/>
      <c r="N84" s="592"/>
      <c r="O84" s="592"/>
      <c r="P84" s="593"/>
    </row>
    <row r="85" spans="1:16" hidden="1" x14ac:dyDescent="0.25">
      <c r="A85" s="34"/>
      <c r="B85" s="594"/>
      <c r="C85" s="707"/>
      <c r="D85" s="707"/>
      <c r="E85" s="562"/>
      <c r="F85" s="502"/>
      <c r="G85" s="502"/>
      <c r="H85" s="592"/>
      <c r="I85" s="592"/>
      <c r="J85" s="592"/>
      <c r="K85" s="592"/>
      <c r="L85" s="592"/>
      <c r="M85" s="592"/>
      <c r="N85" s="592"/>
      <c r="O85" s="592"/>
      <c r="P85" s="593"/>
    </row>
    <row r="86" spans="1:16" ht="26.25" hidden="1" customHeight="1" x14ac:dyDescent="0.25">
      <c r="A86" s="50"/>
      <c r="B86" s="613" t="s">
        <v>181</v>
      </c>
      <c r="C86" s="614"/>
      <c r="D86" s="614"/>
      <c r="E86" s="614"/>
      <c r="F86" s="614"/>
      <c r="G86" s="614"/>
      <c r="H86" s="614"/>
      <c r="I86" s="614"/>
      <c r="J86" s="614"/>
      <c r="K86" s="614"/>
      <c r="L86" s="614"/>
      <c r="M86" s="614"/>
      <c r="N86" s="614"/>
      <c r="O86" s="614"/>
      <c r="P86" s="615"/>
    </row>
    <row r="87" spans="1:16" hidden="1" x14ac:dyDescent="0.25">
      <c r="A87" s="34"/>
      <c r="B87" s="594">
        <v>33</v>
      </c>
      <c r="C87" s="595" t="s">
        <v>182</v>
      </c>
      <c r="D87" s="512" t="s">
        <v>33</v>
      </c>
      <c r="E87" s="596">
        <v>12</v>
      </c>
      <c r="F87" s="502"/>
      <c r="G87" s="502"/>
      <c r="H87" s="598"/>
      <c r="I87" s="598"/>
      <c r="J87" s="598"/>
      <c r="K87" s="598"/>
      <c r="L87" s="598"/>
      <c r="M87" s="598"/>
      <c r="N87" s="598"/>
      <c r="O87" s="598"/>
      <c r="P87" s="593">
        <f t="shared" ref="P87:P108" si="1">SUM(H87:O87)</f>
        <v>0</v>
      </c>
    </row>
    <row r="88" spans="1:16" hidden="1" x14ac:dyDescent="0.25">
      <c r="A88" s="34"/>
      <c r="B88" s="594">
        <v>34</v>
      </c>
      <c r="C88" s="595" t="s">
        <v>183</v>
      </c>
      <c r="D88" s="512" t="s">
        <v>33</v>
      </c>
      <c r="E88" s="596"/>
      <c r="F88" s="502"/>
      <c r="G88" s="502"/>
      <c r="H88" s="598"/>
      <c r="I88" s="598"/>
      <c r="J88" s="598"/>
      <c r="K88" s="598"/>
      <c r="L88" s="598"/>
      <c r="M88" s="598"/>
      <c r="N88" s="598"/>
      <c r="O88" s="598"/>
      <c r="P88" s="593">
        <f t="shared" si="1"/>
        <v>0</v>
      </c>
    </row>
    <row r="89" spans="1:16" hidden="1" x14ac:dyDescent="0.25">
      <c r="A89" s="34"/>
      <c r="B89" s="594">
        <v>35</v>
      </c>
      <c r="C89" s="595" t="s">
        <v>184</v>
      </c>
      <c r="D89" s="512" t="s">
        <v>33</v>
      </c>
      <c r="E89" s="596"/>
      <c r="F89" s="502"/>
      <c r="G89" s="502"/>
      <c r="H89" s="598"/>
      <c r="I89" s="598"/>
      <c r="J89" s="598"/>
      <c r="K89" s="598"/>
      <c r="L89" s="598"/>
      <c r="M89" s="598"/>
      <c r="N89" s="598"/>
      <c r="O89" s="598"/>
      <c r="P89" s="593">
        <f t="shared" si="1"/>
        <v>0</v>
      </c>
    </row>
    <row r="90" spans="1:16" hidden="1" x14ac:dyDescent="0.25">
      <c r="A90" s="34"/>
      <c r="B90" s="597" t="s">
        <v>259</v>
      </c>
      <c r="C90" s="595"/>
      <c r="D90" s="512" t="s">
        <v>254</v>
      </c>
      <c r="E90" s="596"/>
      <c r="F90" s="502"/>
      <c r="G90" s="502"/>
      <c r="H90" s="598"/>
      <c r="I90" s="598"/>
      <c r="J90" s="598"/>
      <c r="K90" s="598"/>
      <c r="L90" s="598"/>
      <c r="M90" s="598"/>
      <c r="N90" s="598"/>
      <c r="O90" s="598"/>
      <c r="P90" s="593"/>
    </row>
    <row r="91" spans="1:16" hidden="1" x14ac:dyDescent="0.25">
      <c r="A91" s="34"/>
      <c r="B91" s="594"/>
      <c r="C91" s="707"/>
      <c r="D91" s="707"/>
      <c r="E91" s="562"/>
      <c r="F91" s="502"/>
      <c r="G91" s="502"/>
      <c r="H91" s="598"/>
      <c r="I91" s="598"/>
      <c r="J91" s="598"/>
      <c r="K91" s="598"/>
      <c r="L91" s="598"/>
      <c r="M91" s="598"/>
      <c r="N91" s="598"/>
      <c r="O91" s="598"/>
      <c r="P91" s="593"/>
    </row>
    <row r="92" spans="1:16" hidden="1" x14ac:dyDescent="0.25">
      <c r="A92" s="34"/>
      <c r="B92" s="594"/>
      <c r="C92" s="707"/>
      <c r="D92" s="707"/>
      <c r="E92" s="562"/>
      <c r="F92" s="502"/>
      <c r="G92" s="502"/>
      <c r="H92" s="598"/>
      <c r="I92" s="598"/>
      <c r="J92" s="598"/>
      <c r="K92" s="598"/>
      <c r="L92" s="598"/>
      <c r="M92" s="598"/>
      <c r="N92" s="598"/>
      <c r="O92" s="598"/>
      <c r="P92" s="593"/>
    </row>
    <row r="93" spans="1:16" hidden="1" x14ac:dyDescent="0.25">
      <c r="A93" s="34"/>
      <c r="B93" s="594"/>
      <c r="C93" s="707"/>
      <c r="D93" s="707"/>
      <c r="E93" s="562"/>
      <c r="F93" s="502"/>
      <c r="G93" s="502"/>
      <c r="H93" s="598"/>
      <c r="I93" s="598"/>
      <c r="J93" s="598"/>
      <c r="K93" s="598"/>
      <c r="L93" s="598"/>
      <c r="M93" s="598"/>
      <c r="N93" s="598"/>
      <c r="O93" s="598"/>
      <c r="P93" s="593"/>
    </row>
    <row r="94" spans="1:16" ht="26.25" hidden="1" customHeight="1" x14ac:dyDescent="0.25">
      <c r="A94" s="50"/>
      <c r="B94" s="613" t="s">
        <v>185</v>
      </c>
      <c r="C94" s="614"/>
      <c r="D94" s="614"/>
      <c r="E94" s="614"/>
      <c r="F94" s="614"/>
      <c r="G94" s="614"/>
      <c r="H94" s="614"/>
      <c r="I94" s="614"/>
      <c r="J94" s="614"/>
      <c r="K94" s="614"/>
      <c r="L94" s="614"/>
      <c r="M94" s="614"/>
      <c r="N94" s="614"/>
      <c r="O94" s="614"/>
      <c r="P94" s="615"/>
    </row>
    <row r="95" spans="1:16" ht="42.75" hidden="1" x14ac:dyDescent="0.25">
      <c r="A95" s="34"/>
      <c r="B95" s="594">
        <v>36</v>
      </c>
      <c r="C95" s="595" t="s">
        <v>186</v>
      </c>
      <c r="D95" s="512" t="s">
        <v>33</v>
      </c>
      <c r="E95" s="596"/>
      <c r="F95" s="502"/>
      <c r="G95" s="502"/>
      <c r="H95" s="598"/>
      <c r="I95" s="598"/>
      <c r="J95" s="598"/>
      <c r="K95" s="598"/>
      <c r="L95" s="598"/>
      <c r="M95" s="598"/>
      <c r="N95" s="598"/>
      <c r="O95" s="598"/>
      <c r="P95" s="593">
        <f t="shared" si="1"/>
        <v>0</v>
      </c>
    </row>
    <row r="96" spans="1:16" ht="28.5" hidden="1" x14ac:dyDescent="0.25">
      <c r="A96" s="34"/>
      <c r="B96" s="594">
        <v>37</v>
      </c>
      <c r="C96" s="595" t="s">
        <v>187</v>
      </c>
      <c r="D96" s="512" t="s">
        <v>33</v>
      </c>
      <c r="E96" s="596"/>
      <c r="F96" s="502"/>
      <c r="G96" s="502"/>
      <c r="H96" s="598"/>
      <c r="I96" s="598"/>
      <c r="J96" s="598"/>
      <c r="K96" s="598"/>
      <c r="L96" s="598"/>
      <c r="M96" s="598"/>
      <c r="N96" s="598"/>
      <c r="O96" s="598"/>
      <c r="P96" s="593">
        <f t="shared" si="1"/>
        <v>0</v>
      </c>
    </row>
    <row r="97" spans="1:17" hidden="1" x14ac:dyDescent="0.25">
      <c r="A97" s="34"/>
      <c r="B97" s="594">
        <v>38</v>
      </c>
      <c r="C97" s="595" t="s">
        <v>188</v>
      </c>
      <c r="D97" s="512" t="s">
        <v>33</v>
      </c>
      <c r="E97" s="596"/>
      <c r="F97" s="502"/>
      <c r="G97" s="502"/>
      <c r="H97" s="598"/>
      <c r="I97" s="598"/>
      <c r="J97" s="598"/>
      <c r="K97" s="598"/>
      <c r="L97" s="598"/>
      <c r="M97" s="598"/>
      <c r="N97" s="598"/>
      <c r="O97" s="598"/>
      <c r="P97" s="593">
        <f t="shared" si="1"/>
        <v>0</v>
      </c>
    </row>
    <row r="98" spans="1:17" ht="28.5" hidden="1" x14ac:dyDescent="0.25">
      <c r="A98" s="34"/>
      <c r="B98" s="594">
        <v>39</v>
      </c>
      <c r="C98" s="595" t="s">
        <v>189</v>
      </c>
      <c r="D98" s="512" t="s">
        <v>33</v>
      </c>
      <c r="E98" s="596"/>
      <c r="F98" s="502"/>
      <c r="G98" s="502"/>
      <c r="H98" s="598"/>
      <c r="I98" s="598"/>
      <c r="J98" s="598"/>
      <c r="K98" s="598"/>
      <c r="L98" s="598"/>
      <c r="M98" s="598"/>
      <c r="N98" s="598"/>
      <c r="O98" s="598"/>
      <c r="P98" s="593">
        <f t="shared" si="1"/>
        <v>0</v>
      </c>
    </row>
    <row r="99" spans="1:17" ht="28.5" hidden="1" x14ac:dyDescent="0.25">
      <c r="A99" s="34"/>
      <c r="B99" s="594">
        <v>40</v>
      </c>
      <c r="C99" s="595" t="s">
        <v>190</v>
      </c>
      <c r="D99" s="512" t="s">
        <v>33</v>
      </c>
      <c r="E99" s="596"/>
      <c r="F99" s="502"/>
      <c r="G99" s="502"/>
      <c r="H99" s="598"/>
      <c r="I99" s="598"/>
      <c r="J99" s="598"/>
      <c r="K99" s="598"/>
      <c r="L99" s="598"/>
      <c r="M99" s="598"/>
      <c r="N99" s="598"/>
      <c r="O99" s="598"/>
      <c r="P99" s="593">
        <f t="shared" si="1"/>
        <v>0</v>
      </c>
    </row>
    <row r="100" spans="1:17" ht="28.5" hidden="1" x14ac:dyDescent="0.25">
      <c r="A100" s="34"/>
      <c r="B100" s="594">
        <v>41</v>
      </c>
      <c r="C100" s="595" t="s">
        <v>191</v>
      </c>
      <c r="D100" s="512" t="s">
        <v>33</v>
      </c>
      <c r="E100" s="596"/>
      <c r="F100" s="502"/>
      <c r="G100" s="502"/>
      <c r="H100" s="598"/>
      <c r="I100" s="598"/>
      <c r="J100" s="598"/>
      <c r="K100" s="598"/>
      <c r="L100" s="598"/>
      <c r="M100" s="598"/>
      <c r="N100" s="598"/>
      <c r="O100" s="598"/>
      <c r="P100" s="593">
        <f t="shared" si="1"/>
        <v>0</v>
      </c>
    </row>
    <row r="101" spans="1:17" ht="28.5" hidden="1" x14ac:dyDescent="0.25">
      <c r="A101" s="34"/>
      <c r="B101" s="594">
        <v>42</v>
      </c>
      <c r="C101" s="595" t="s">
        <v>192</v>
      </c>
      <c r="D101" s="512" t="s">
        <v>33</v>
      </c>
      <c r="E101" s="596"/>
      <c r="F101" s="502"/>
      <c r="G101" s="502"/>
      <c r="H101" s="598"/>
      <c r="I101" s="598"/>
      <c r="J101" s="598"/>
      <c r="K101" s="598"/>
      <c r="L101" s="598"/>
      <c r="M101" s="598"/>
      <c r="N101" s="598"/>
      <c r="O101" s="598"/>
      <c r="P101" s="593">
        <f t="shared" si="1"/>
        <v>0</v>
      </c>
    </row>
    <row r="102" spans="1:17" hidden="1" x14ac:dyDescent="0.25">
      <c r="A102" s="34"/>
      <c r="B102" s="594">
        <v>43</v>
      </c>
      <c r="C102" s="595" t="s">
        <v>193</v>
      </c>
      <c r="D102" s="512" t="s">
        <v>33</v>
      </c>
      <c r="E102" s="596"/>
      <c r="F102" s="502"/>
      <c r="G102" s="502"/>
      <c r="H102" s="598"/>
      <c r="I102" s="598"/>
      <c r="J102" s="598"/>
      <c r="K102" s="598"/>
      <c r="L102" s="598"/>
      <c r="M102" s="598"/>
      <c r="N102" s="598"/>
      <c r="O102" s="598"/>
      <c r="P102" s="593">
        <f t="shared" si="1"/>
        <v>0</v>
      </c>
    </row>
    <row r="103" spans="1:17" ht="42.75" hidden="1" x14ac:dyDescent="0.25">
      <c r="A103" s="34"/>
      <c r="B103" s="594">
        <v>44</v>
      </c>
      <c r="C103" s="595" t="s">
        <v>194</v>
      </c>
      <c r="D103" s="512" t="s">
        <v>33</v>
      </c>
      <c r="E103" s="596"/>
      <c r="F103" s="502"/>
      <c r="G103" s="502"/>
      <c r="H103" s="598"/>
      <c r="I103" s="598"/>
      <c r="J103" s="598"/>
      <c r="K103" s="598"/>
      <c r="L103" s="598"/>
      <c r="M103" s="598"/>
      <c r="N103" s="598"/>
      <c r="O103" s="598"/>
      <c r="P103" s="593">
        <f t="shared" si="1"/>
        <v>0</v>
      </c>
    </row>
    <row r="104" spans="1:17" ht="28.5" hidden="1" x14ac:dyDescent="0.25">
      <c r="A104" s="34"/>
      <c r="B104" s="594">
        <v>45</v>
      </c>
      <c r="C104" s="595" t="s">
        <v>195</v>
      </c>
      <c r="D104" s="512" t="s">
        <v>33</v>
      </c>
      <c r="E104" s="596"/>
      <c r="F104" s="502"/>
      <c r="G104" s="502"/>
      <c r="H104" s="598"/>
      <c r="I104" s="598"/>
      <c r="J104" s="598"/>
      <c r="K104" s="598"/>
      <c r="L104" s="598"/>
      <c r="M104" s="598"/>
      <c r="N104" s="598"/>
      <c r="O104" s="598"/>
      <c r="P104" s="593">
        <f t="shared" si="1"/>
        <v>0</v>
      </c>
    </row>
    <row r="105" spans="1:17" ht="28.5" hidden="1" x14ac:dyDescent="0.25">
      <c r="A105" s="34"/>
      <c r="B105" s="594">
        <v>46</v>
      </c>
      <c r="C105" s="595" t="s">
        <v>196</v>
      </c>
      <c r="D105" s="512" t="s">
        <v>33</v>
      </c>
      <c r="E105" s="596"/>
      <c r="F105" s="502"/>
      <c r="G105" s="502"/>
      <c r="H105" s="598"/>
      <c r="I105" s="598"/>
      <c r="J105" s="598"/>
      <c r="K105" s="598"/>
      <c r="L105" s="598"/>
      <c r="M105" s="598"/>
      <c r="N105" s="598"/>
      <c r="O105" s="598"/>
      <c r="P105" s="593">
        <f t="shared" si="1"/>
        <v>0</v>
      </c>
    </row>
    <row r="106" spans="1:17" ht="28.5" hidden="1" x14ac:dyDescent="0.25">
      <c r="A106" s="34"/>
      <c r="B106" s="594">
        <v>47</v>
      </c>
      <c r="C106" s="595" t="s">
        <v>197</v>
      </c>
      <c r="D106" s="512" t="s">
        <v>33</v>
      </c>
      <c r="E106" s="596"/>
      <c r="F106" s="502"/>
      <c r="G106" s="502"/>
      <c r="H106" s="598"/>
      <c r="I106" s="598"/>
      <c r="J106" s="598"/>
      <c r="K106" s="598"/>
      <c r="L106" s="598"/>
      <c r="M106" s="598"/>
      <c r="N106" s="598"/>
      <c r="O106" s="598"/>
      <c r="P106" s="593">
        <f t="shared" si="1"/>
        <v>0</v>
      </c>
    </row>
    <row r="107" spans="1:17" ht="28.5" hidden="1" x14ac:dyDescent="0.25">
      <c r="A107" s="34"/>
      <c r="B107" s="594">
        <v>48</v>
      </c>
      <c r="C107" s="595" t="s">
        <v>198</v>
      </c>
      <c r="D107" s="512" t="s">
        <v>33</v>
      </c>
      <c r="E107" s="596"/>
      <c r="F107" s="502"/>
      <c r="G107" s="502"/>
      <c r="H107" s="598"/>
      <c r="I107" s="598"/>
      <c r="J107" s="598"/>
      <c r="K107" s="598"/>
      <c r="L107" s="598"/>
      <c r="M107" s="598"/>
      <c r="N107" s="598"/>
      <c r="O107" s="598"/>
      <c r="P107" s="593">
        <f t="shared" si="1"/>
        <v>0</v>
      </c>
    </row>
    <row r="108" spans="1:17" ht="28.5" hidden="1" x14ac:dyDescent="0.25">
      <c r="A108" s="34"/>
      <c r="B108" s="594">
        <v>49</v>
      </c>
      <c r="C108" s="595" t="s">
        <v>199</v>
      </c>
      <c r="D108" s="512" t="s">
        <v>33</v>
      </c>
      <c r="E108" s="596"/>
      <c r="F108" s="502"/>
      <c r="G108" s="502"/>
      <c r="H108" s="598"/>
      <c r="I108" s="598"/>
      <c r="J108" s="598"/>
      <c r="K108" s="598"/>
      <c r="L108" s="598"/>
      <c r="M108" s="598"/>
      <c r="N108" s="598"/>
      <c r="O108" s="598"/>
      <c r="P108" s="593">
        <f t="shared" si="1"/>
        <v>0</v>
      </c>
    </row>
    <row r="109" spans="1:17" hidden="1" x14ac:dyDescent="0.25">
      <c r="A109" s="34"/>
      <c r="B109" s="597" t="s">
        <v>259</v>
      </c>
      <c r="C109" s="595"/>
      <c r="D109" s="512" t="s">
        <v>254</v>
      </c>
      <c r="E109" s="596"/>
      <c r="F109" s="502"/>
      <c r="G109" s="502"/>
      <c r="H109" s="598"/>
      <c r="I109" s="598"/>
      <c r="J109" s="598"/>
      <c r="K109" s="598"/>
      <c r="L109" s="598"/>
      <c r="M109" s="598"/>
      <c r="N109" s="598"/>
      <c r="O109" s="598"/>
      <c r="P109" s="593"/>
    </row>
    <row r="110" spans="1:17" hidden="1" x14ac:dyDescent="0.25">
      <c r="A110" s="34"/>
      <c r="B110" s="594"/>
      <c r="C110" s="707"/>
      <c r="D110" s="707"/>
      <c r="E110" s="562"/>
      <c r="F110" s="502"/>
      <c r="G110" s="502"/>
      <c r="H110" s="598"/>
      <c r="I110" s="598"/>
      <c r="J110" s="598"/>
      <c r="K110" s="598"/>
      <c r="L110" s="598"/>
      <c r="M110" s="598"/>
      <c r="N110" s="598"/>
      <c r="O110" s="598"/>
      <c r="P110" s="593"/>
    </row>
    <row r="111" spans="1:17" hidden="1" x14ac:dyDescent="0.25">
      <c r="A111" s="34"/>
      <c r="B111" s="594"/>
      <c r="C111" s="707"/>
      <c r="D111" s="707"/>
      <c r="E111" s="562"/>
      <c r="F111" s="502"/>
      <c r="G111" s="502"/>
      <c r="H111" s="598"/>
      <c r="I111" s="598"/>
      <c r="J111" s="598"/>
      <c r="K111" s="598"/>
      <c r="L111" s="598"/>
      <c r="M111" s="598"/>
      <c r="N111" s="598"/>
      <c r="O111" s="598"/>
      <c r="P111" s="593"/>
      <c r="Q111" s="528" t="s">
        <v>523</v>
      </c>
    </row>
    <row r="112" spans="1:17" hidden="1" x14ac:dyDescent="0.25">
      <c r="A112" s="34"/>
      <c r="B112" s="599"/>
      <c r="C112" s="707"/>
      <c r="D112" s="707"/>
      <c r="E112" s="562"/>
      <c r="F112" s="590"/>
      <c r="G112" s="590"/>
      <c r="H112" s="600"/>
      <c r="I112" s="600"/>
      <c r="J112" s="600"/>
      <c r="K112" s="600"/>
      <c r="L112" s="600"/>
      <c r="M112" s="600"/>
      <c r="N112" s="600"/>
      <c r="O112" s="600"/>
      <c r="P112" s="601"/>
      <c r="Q112" s="622">
        <f>1-P31</f>
        <v>4.9600000000000088E-2</v>
      </c>
    </row>
    <row r="113" spans="2:19" x14ac:dyDescent="0.25">
      <c r="B113" s="338"/>
      <c r="C113" s="697" t="s">
        <v>222</v>
      </c>
      <c r="D113" s="697"/>
      <c r="E113" s="339"/>
      <c r="F113" s="340">
        <f>SUM(F19:F28,F30:F38,F40:F46,F48:F52,F54:F61,F65:F72,F74:F85,F87:F93,F95:F112)</f>
        <v>3000226</v>
      </c>
      <c r="G113" s="519"/>
      <c r="H113" s="341">
        <f>SUMPRODUCT(F19:F112,H19:H112)</f>
        <v>304194</v>
      </c>
      <c r="I113" s="341">
        <f>SUMPRODUCT(F19:F112,I19:I112)</f>
        <v>381854.6066</v>
      </c>
      <c r="J113" s="517"/>
      <c r="K113" s="517"/>
      <c r="L113" s="517"/>
      <c r="M113" s="517"/>
      <c r="N113" s="517"/>
      <c r="O113" s="339">
        <f>SUMPRODUCT(F19:F112,O19:O112)</f>
        <v>2229678.9822</v>
      </c>
      <c r="P113" s="343">
        <f>SUM(H113:O113)</f>
        <v>2915727.5888</v>
      </c>
      <c r="Q113" s="624">
        <f>F113-P113-Q112*F31</f>
        <v>-1.7462298274040222E-10</v>
      </c>
    </row>
    <row r="114" spans="2:19" x14ac:dyDescent="0.25">
      <c r="B114" s="268"/>
      <c r="C114" s="698" t="s">
        <v>261</v>
      </c>
      <c r="D114" s="698"/>
      <c r="E114" s="262"/>
      <c r="F114" s="260"/>
      <c r="G114" s="260"/>
      <c r="H114" s="262"/>
      <c r="I114" s="262"/>
      <c r="J114" s="516">
        <f>SUM($E$30*$G$30*J30,$E$31*$G$31*J31,$E$32*$G$32*J32,$E$33*$G$33*J33,$E$34*$G$34*J34,$E$40*$G$40*J40,$E$41*$G$41*J41,$E$42*$G$42*J42,$E$74*$G$74*J74,$E$75*$G$75*J75,$E$76*$G$76*J76,$E$77*$G$77*J77,$E$78*$G$78*J78,$E$79*$G$79*J79,$E$80*$G$80*J80,$E$81*$G$81*J81)</f>
        <v>0</v>
      </c>
      <c r="K114" s="516">
        <f>SUM($E$30*$G$30*K30,$E$31*$G$31*K31,$E$32*$G$32*K32,$E$33*$G$33*K33,$E$34*$G$34*K34,$E$40*$G$40*K40,$E$41*$G$41*K41,$E$42*$G$42*K42,$E$74*$G$74*K74,$E$75*$G$75*K75,$E$76*$G$76*K76,$E$77*$G$77*K77,$E$78*$G$78*K78,$E$79*$G$79*K79,$E$80*$G$80*K80,$E$81*$G$81*K81)</f>
        <v>0</v>
      </c>
      <c r="L114" s="516"/>
      <c r="M114" s="516"/>
      <c r="N114" s="516"/>
      <c r="O114" s="262">
        <f>SUMPRODUCT(E19:E112,G19:G112,O19:O112)</f>
        <v>3922.2887999999998</v>
      </c>
      <c r="P114" s="269">
        <f>SUM(H114:O114)</f>
        <v>3922.2887999999998</v>
      </c>
      <c r="S114" s="544">
        <f>P114-SUM(S30:S42)</f>
        <v>0</v>
      </c>
    </row>
    <row r="115" spans="2:19" x14ac:dyDescent="0.25">
      <c r="B115" s="268"/>
      <c r="C115" s="698" t="s">
        <v>498</v>
      </c>
      <c r="D115" s="698"/>
      <c r="E115" s="262"/>
      <c r="F115" s="260"/>
      <c r="G115" s="260"/>
      <c r="H115" s="262"/>
      <c r="I115" s="262"/>
      <c r="J115" s="516">
        <f>J114-SUM($E$34*$G$34*J34,$E$78*$G$78*J78)</f>
        <v>0</v>
      </c>
      <c r="K115" s="516">
        <f>K114-SUM($E$34*$G$34*K34,$E$78*$G$78*K78)</f>
        <v>0</v>
      </c>
      <c r="L115" s="516"/>
      <c r="M115" s="516"/>
      <c r="N115" s="516"/>
      <c r="O115" s="262">
        <f>O114-SUM($E$34*$G$34*O34,$E$78*$G$78*O78)</f>
        <v>3868.2887999999998</v>
      </c>
      <c r="P115" s="269">
        <f>SUM(H115:O115)</f>
        <v>3868.2887999999998</v>
      </c>
      <c r="S115" s="544">
        <f>P115-SUM(S30:S33,S42)</f>
        <v>0</v>
      </c>
    </row>
    <row r="116" spans="2:19" x14ac:dyDescent="0.25">
      <c r="B116" s="270"/>
      <c r="C116" s="699"/>
      <c r="D116" s="699"/>
      <c r="E116" s="255"/>
      <c r="F116" s="253"/>
      <c r="G116" s="253"/>
      <c r="H116" s="545" t="s">
        <v>35</v>
      </c>
      <c r="I116" s="545" t="s">
        <v>35</v>
      </c>
      <c r="J116" s="572"/>
      <c r="K116" s="524"/>
      <c r="L116" s="524"/>
      <c r="M116" s="524"/>
      <c r="N116" s="524"/>
      <c r="O116" s="545" t="s">
        <v>36</v>
      </c>
      <c r="P116" s="271"/>
    </row>
    <row r="117" spans="2:19" x14ac:dyDescent="0.25">
      <c r="B117" s="270"/>
      <c r="C117" s="477"/>
      <c r="D117" s="255"/>
      <c r="E117" s="255"/>
      <c r="F117" s="253"/>
      <c r="G117" s="253"/>
      <c r="H117" s="255"/>
      <c r="I117" s="255"/>
      <c r="J117" s="524"/>
      <c r="K117" s="524"/>
      <c r="L117" s="524"/>
      <c r="M117" s="524"/>
      <c r="N117" s="524"/>
      <c r="O117" s="255"/>
      <c r="P117" s="271"/>
    </row>
    <row r="118" spans="2:19" x14ac:dyDescent="0.25">
      <c r="B118" s="366"/>
      <c r="C118" s="700" t="s">
        <v>324</v>
      </c>
      <c r="D118" s="700"/>
      <c r="E118" s="247"/>
      <c r="F118" s="257"/>
      <c r="G118" s="247"/>
      <c r="H118" s="258">
        <f>'3.  Distribution Rates'!I33</f>
        <v>1.2733333333333333E-2</v>
      </c>
      <c r="I118" s="258">
        <f>'3.  Distribution Rates'!I34</f>
        <v>1.1266666666666666E-2</v>
      </c>
      <c r="J118" s="522">
        <f>'3.  Distribution Rates'!I35</f>
        <v>0</v>
      </c>
      <c r="K118" s="522">
        <f>'3.  Distribution Rates'!I36</f>
        <v>0</v>
      </c>
      <c r="L118" s="522">
        <f>'3.  Distribution Rates'!I37</f>
        <v>0</v>
      </c>
      <c r="M118" s="522">
        <f>'3.  Distribution Rates'!I38</f>
        <v>29.285399999999999</v>
      </c>
      <c r="N118" s="522">
        <f>'3.  Distribution Rates'!I39</f>
        <v>6.0666666666666673E-3</v>
      </c>
      <c r="O118" s="258">
        <f>'3.  Distribution Rates'!I40</f>
        <v>2.1206999999999998</v>
      </c>
      <c r="P118" s="367"/>
    </row>
    <row r="119" spans="2:19" x14ac:dyDescent="0.25">
      <c r="B119" s="366"/>
      <c r="C119" s="700" t="s">
        <v>229</v>
      </c>
      <c r="D119" s="700"/>
      <c r="E119" s="255"/>
      <c r="F119" s="257"/>
      <c r="G119" s="257"/>
      <c r="H119" s="363">
        <f>'4.  2011-14 LRAM'!H$77*H118</f>
        <v>2064.3551680670043</v>
      </c>
      <c r="I119" s="363">
        <f>'4.  2011-14 LRAM'!I$77*I118</f>
        <v>4430.2953397480496</v>
      </c>
      <c r="J119" s="531">
        <f>'4.  2011-14 LRAM'!J$77*J118</f>
        <v>0</v>
      </c>
      <c r="K119" s="531">
        <f>'4.  2011-14 LRAM'!K$77*K118</f>
        <v>0</v>
      </c>
      <c r="L119" s="531">
        <f>'4.  2011-14 LRAM'!L$77*L118</f>
        <v>0</v>
      </c>
      <c r="M119" s="531">
        <f>'4.  2011-14 LRAM'!M$77*M118</f>
        <v>0</v>
      </c>
      <c r="N119" s="531">
        <f>'4.  2011-14 LRAM'!N$77*N118</f>
        <v>0</v>
      </c>
      <c r="O119" s="363">
        <f>'4.  2011-14 LRAM'!O$77*O118</f>
        <v>208.20298105340302</v>
      </c>
      <c r="P119" s="272">
        <f>SUM(H119:O119)</f>
        <v>6702.8534888684571</v>
      </c>
      <c r="Q119" s="17"/>
    </row>
    <row r="120" spans="2:19" x14ac:dyDescent="0.25">
      <c r="B120" s="366"/>
      <c r="C120" s="700" t="s">
        <v>230</v>
      </c>
      <c r="D120" s="700"/>
      <c r="E120" s="255"/>
      <c r="F120" s="257"/>
      <c r="G120" s="257"/>
      <c r="H120" s="363">
        <f>'4.  2011-14 LRAM'!H$156*H118</f>
        <v>1418.6364048456994</v>
      </c>
      <c r="I120" s="363">
        <f>'4.  2011-14 LRAM'!I$156*I118</f>
        <v>4912.9231809487756</v>
      </c>
      <c r="J120" s="531">
        <f>'4.  2011-14 LRAM'!J$156*J118</f>
        <v>0</v>
      </c>
      <c r="K120" s="531">
        <f>'4.  2011-14 LRAM'!K$156*K118</f>
        <v>0</v>
      </c>
      <c r="L120" s="531">
        <f>'4.  2011-14 LRAM'!L$156*L118</f>
        <v>0</v>
      </c>
      <c r="M120" s="531">
        <f>'4.  2011-14 LRAM'!M$156*M118</f>
        <v>0</v>
      </c>
      <c r="N120" s="531">
        <f>'4.  2011-14 LRAM'!N$156*N118</f>
        <v>0</v>
      </c>
      <c r="O120" s="363">
        <f>'4.  2011-14 LRAM'!O$156*O118</f>
        <v>1117.0835471668611</v>
      </c>
      <c r="P120" s="272">
        <f>SUM(H120:O120)</f>
        <v>7448.643132961337</v>
      </c>
    </row>
    <row r="121" spans="2:19" x14ac:dyDescent="0.25">
      <c r="B121" s="366"/>
      <c r="C121" s="700" t="s">
        <v>231</v>
      </c>
      <c r="D121" s="700"/>
      <c r="E121" s="255"/>
      <c r="F121" s="257"/>
      <c r="G121" s="257"/>
      <c r="H121" s="363">
        <f>'4.  2011-14 LRAM'!H$236*H118</f>
        <v>1549.6059954062848</v>
      </c>
      <c r="I121" s="363">
        <f>'4.  2011-14 LRAM'!I$236*I118</f>
        <v>3586.939034900337</v>
      </c>
      <c r="J121" s="531">
        <f>'4.  2011-14 LRAM'!J$236*J118</f>
        <v>0</v>
      </c>
      <c r="K121" s="531">
        <f>'4.  2011-14 LRAM'!K$236*K118</f>
        <v>0</v>
      </c>
      <c r="L121" s="531">
        <f>'4.  2011-14 LRAM'!L$236*L118</f>
        <v>0</v>
      </c>
      <c r="M121" s="531">
        <f>'4.  2011-14 LRAM'!M$236*M118</f>
        <v>0</v>
      </c>
      <c r="N121" s="531">
        <f>'4.  2011-14 LRAM'!N$236*N118</f>
        <v>0</v>
      </c>
      <c r="O121" s="363">
        <f>'4.  2011-14 LRAM'!O$236*O118</f>
        <v>1219.4195223289412</v>
      </c>
      <c r="P121" s="272">
        <f t="shared" ref="P121" si="2">SUM(H121:O121)</f>
        <v>6355.9645526355635</v>
      </c>
    </row>
    <row r="122" spans="2:19" x14ac:dyDescent="0.25">
      <c r="B122" s="366"/>
      <c r="C122" s="700" t="s">
        <v>232</v>
      </c>
      <c r="D122" s="700"/>
      <c r="E122" s="255"/>
      <c r="F122" s="257"/>
      <c r="G122" s="257"/>
      <c r="H122" s="363">
        <f>'4.  2011-14 LRAM'!H$317*H118</f>
        <v>3900.551381992881</v>
      </c>
      <c r="I122" s="363">
        <f>'4.  2011-14 LRAM'!I$317*I118</f>
        <v>5981.1949226391162</v>
      </c>
      <c r="J122" s="531">
        <f>'4.  2011-14 LRAM'!J$317*J118</f>
        <v>0</v>
      </c>
      <c r="K122" s="531">
        <f>'4.  2011-14 LRAM'!K$317*K118</f>
        <v>0</v>
      </c>
      <c r="L122" s="531">
        <f>'4.  2011-14 LRAM'!L$317*L118</f>
        <v>0</v>
      </c>
      <c r="M122" s="531">
        <f>'4.  2011-14 LRAM'!M$317*M118</f>
        <v>0</v>
      </c>
      <c r="N122" s="531">
        <f>'4.  2011-14 LRAM'!N$317*N118</f>
        <v>0</v>
      </c>
      <c r="O122" s="363">
        <f>'4.  2011-14 LRAM'!O$317*O118</f>
        <v>1244.5468786347187</v>
      </c>
      <c r="P122" s="272">
        <f>SUM(H122:O122)</f>
        <v>11126.293183266716</v>
      </c>
    </row>
    <row r="123" spans="2:19" x14ac:dyDescent="0.25">
      <c r="B123" s="366"/>
      <c r="C123" s="700" t="s">
        <v>233</v>
      </c>
      <c r="D123" s="700"/>
      <c r="E123" s="255"/>
      <c r="F123" s="257"/>
      <c r="G123" s="257"/>
      <c r="H123" s="363">
        <f>H113*H118</f>
        <v>3873.4035999999996</v>
      </c>
      <c r="I123" s="363">
        <f>I113*I118</f>
        <v>4302.2285676933334</v>
      </c>
      <c r="J123" s="531">
        <f>J114*J118</f>
        <v>0</v>
      </c>
      <c r="K123" s="531">
        <f>K114*K118</f>
        <v>0</v>
      </c>
      <c r="L123" s="531">
        <f>L114*L118</f>
        <v>0</v>
      </c>
      <c r="M123" s="531">
        <f>M114*M118</f>
        <v>0</v>
      </c>
      <c r="N123" s="531">
        <f>N113*N118</f>
        <v>0</v>
      </c>
      <c r="O123" s="363">
        <f>O114*O118</f>
        <v>8317.9978581599989</v>
      </c>
      <c r="P123" s="272">
        <f>SUM(H123:O123)</f>
        <v>16493.63002585333</v>
      </c>
    </row>
    <row r="124" spans="2:19" x14ac:dyDescent="0.25">
      <c r="B124" s="270"/>
      <c r="C124" s="364" t="s">
        <v>223</v>
      </c>
      <c r="D124" s="255"/>
      <c r="E124" s="255"/>
      <c r="F124" s="253"/>
      <c r="G124" s="253"/>
      <c r="H124" s="259">
        <f>SUM(H119:H123)</f>
        <v>12806.552550311868</v>
      </c>
      <c r="I124" s="259">
        <f>SUM(I119:I123)</f>
        <v>23213.581045929612</v>
      </c>
      <c r="J124" s="523">
        <f t="shared" ref="J124:O124" si="3">SUM(J119:J123)</f>
        <v>0</v>
      </c>
      <c r="K124" s="523">
        <f t="shared" si="3"/>
        <v>0</v>
      </c>
      <c r="L124" s="523">
        <f t="shared" si="3"/>
        <v>0</v>
      </c>
      <c r="M124" s="523">
        <f t="shared" si="3"/>
        <v>0</v>
      </c>
      <c r="N124" s="523">
        <f t="shared" si="3"/>
        <v>0</v>
      </c>
      <c r="O124" s="259">
        <f t="shared" si="3"/>
        <v>12107.250787343923</v>
      </c>
      <c r="P124" s="273">
        <f>SUM(P119:P123)</f>
        <v>48127.384383585406</v>
      </c>
    </row>
    <row r="125" spans="2:19" x14ac:dyDescent="0.25">
      <c r="B125" s="274"/>
      <c r="C125" s="424"/>
      <c r="D125" s="275"/>
      <c r="E125" s="275"/>
      <c r="F125" s="276"/>
      <c r="G125" s="276"/>
      <c r="H125" s="425"/>
      <c r="I125" s="425"/>
      <c r="J125" s="625"/>
      <c r="K125" s="625"/>
      <c r="L125" s="625"/>
      <c r="M125" s="625"/>
      <c r="N125" s="625"/>
      <c r="O125" s="275"/>
      <c r="P125" s="426"/>
    </row>
    <row r="126" spans="2:19" x14ac:dyDescent="0.25">
      <c r="B126" s="397"/>
      <c r="C126" s="700" t="s">
        <v>224</v>
      </c>
      <c r="D126" s="700"/>
      <c r="E126" s="389"/>
      <c r="F126" s="154"/>
      <c r="G126" s="154"/>
      <c r="H126" s="468">
        <f>$H$113*'6.  Persistence Rates'!$E$44</f>
        <v>302065.41074172413</v>
      </c>
      <c r="I126" s="468">
        <f>I113*'6.  Persistence Rates'!$E$44</f>
        <v>379182.58935497899</v>
      </c>
      <c r="J126" s="502">
        <f>$J$115*'6.  Persistence Rates'!$R$44</f>
        <v>0</v>
      </c>
      <c r="K126" s="502">
        <f>$K$115*'6.  Persistence Rates'!$R$44</f>
        <v>0</v>
      </c>
      <c r="L126" s="502">
        <f>$L$114*'6.  Persistence Rates'!$R$44</f>
        <v>0</v>
      </c>
      <c r="M126" s="502">
        <f>$M$114*'6.  Persistence Rates'!$R$44</f>
        <v>0</v>
      </c>
      <c r="N126" s="502">
        <f>$N$113*'6.  Persistence Rates'!$E$44</f>
        <v>0</v>
      </c>
      <c r="O126" s="468">
        <f>$O$115*'6.  Persistence Rates'!$R$44</f>
        <v>3835.7137364210521</v>
      </c>
      <c r="P126" s="336"/>
      <c r="Q126" s="17"/>
    </row>
    <row r="127" spans="2:19" x14ac:dyDescent="0.25">
      <c r="B127" s="397"/>
      <c r="C127" s="700" t="s">
        <v>225</v>
      </c>
      <c r="D127" s="700"/>
      <c r="E127" s="389"/>
      <c r="F127" s="154"/>
      <c r="G127" s="154"/>
      <c r="H127" s="468">
        <f>H113*'6.  Persistence Rates'!F$44</f>
        <v>276834.01361497433</v>
      </c>
      <c r="I127" s="468">
        <f>I113*'6.  Persistence Rates'!F$44</f>
        <v>347509.62662789226</v>
      </c>
      <c r="J127" s="502">
        <f>$J$115*'6.  Persistence Rates'!$S$44</f>
        <v>0</v>
      </c>
      <c r="K127" s="502">
        <f>$K$115*'6.  Persistence Rates'!$S$44</f>
        <v>0</v>
      </c>
      <c r="L127" s="502">
        <f>$L$114*'6.  Persistence Rates'!$S$44</f>
        <v>0</v>
      </c>
      <c r="M127" s="502">
        <f>$M$114*'6.  Persistence Rates'!$S$44</f>
        <v>0</v>
      </c>
      <c r="N127" s="502">
        <f>$N$113*'6.  Persistence Rates'!$F$44</f>
        <v>0</v>
      </c>
      <c r="O127" s="468">
        <f>$O$115*'6.  Persistence Rates'!$S$44</f>
        <v>3509.963100631579</v>
      </c>
      <c r="P127" s="336"/>
    </row>
    <row r="128" spans="2:19" x14ac:dyDescent="0.25">
      <c r="B128" s="397"/>
      <c r="C128" s="700" t="s">
        <v>226</v>
      </c>
      <c r="D128" s="700"/>
      <c r="E128" s="389"/>
      <c r="F128" s="154"/>
      <c r="G128" s="154"/>
      <c r="H128" s="468">
        <f>H113*'6.  Persistence Rates'!G$44</f>
        <v>270980.3424595347</v>
      </c>
      <c r="I128" s="468">
        <f>I113*'6.  Persistence Rates'!G$44</f>
        <v>340161.51556644414</v>
      </c>
      <c r="J128" s="502">
        <f>$J$115*'6.  Persistence Rates'!$T$44</f>
        <v>0</v>
      </c>
      <c r="K128" s="502">
        <f>$K$115*'6.  Persistence Rates'!$T$44</f>
        <v>0</v>
      </c>
      <c r="L128" s="502">
        <f>$L$114*'6.  Persistence Rates'!$T$44</f>
        <v>0</v>
      </c>
      <c r="M128" s="502">
        <f>$M$114*'6.  Persistence Rates'!$T$44</f>
        <v>0</v>
      </c>
      <c r="N128" s="502">
        <f>$N$113*'6.  Persistence Rates'!$G$44</f>
        <v>0</v>
      </c>
      <c r="O128" s="468">
        <f>$O$115*'6.  Persistence Rates'!$T$44</f>
        <v>3363.3753145263154</v>
      </c>
      <c r="P128" s="336"/>
    </row>
    <row r="129" spans="2:16" x14ac:dyDescent="0.25">
      <c r="B129" s="397"/>
      <c r="C129" s="700" t="s">
        <v>227</v>
      </c>
      <c r="D129" s="700"/>
      <c r="E129" s="389"/>
      <c r="F129" s="154"/>
      <c r="G129" s="154"/>
      <c r="H129" s="468">
        <f>H113*'6.  Persistence Rates'!H$44</f>
        <v>263661.78335498722</v>
      </c>
      <c r="I129" s="468">
        <f>I113*'6.  Persistence Rates'!H$44</f>
        <v>330974.53124806233</v>
      </c>
      <c r="J129" s="502">
        <f>$J$115*'6.  Persistence Rates'!$U$44</f>
        <v>0</v>
      </c>
      <c r="K129" s="502">
        <f>$K$115*'6.  Persistence Rates'!$U$44</f>
        <v>0</v>
      </c>
      <c r="L129" s="502">
        <f>$L$114*'6.  Persistence Rates'!$U$44</f>
        <v>0</v>
      </c>
      <c r="M129" s="502">
        <f>$M$114*'6.  Persistence Rates'!$U$44</f>
        <v>0</v>
      </c>
      <c r="N129" s="502">
        <f>$N$113*'6.  Persistence Rates'!$H$44</f>
        <v>0</v>
      </c>
      <c r="O129" s="468">
        <f>$O$115*'6.  Persistence Rates'!$U$44</f>
        <v>3233.0750602105268</v>
      </c>
      <c r="P129" s="336"/>
    </row>
    <row r="130" spans="2:16" x14ac:dyDescent="0.25">
      <c r="B130" s="398"/>
      <c r="C130" s="728" t="s">
        <v>228</v>
      </c>
      <c r="D130" s="728"/>
      <c r="E130" s="399"/>
      <c r="F130" s="317"/>
      <c r="G130" s="317"/>
      <c r="H130" s="468">
        <f>H113*'6.  Persistence Rates'!I$44</f>
        <v>263414.18809116381</v>
      </c>
      <c r="I130" s="468">
        <f>I113*'6.  Persistence Rates'!I$44</f>
        <v>330663.72501235973</v>
      </c>
      <c r="J130" s="502">
        <f>$J$115*'6.  Persistence Rates'!$V$44</f>
        <v>0</v>
      </c>
      <c r="K130" s="502">
        <f>$K$115*'6.  Persistence Rates'!$V$44</f>
        <v>0</v>
      </c>
      <c r="L130" s="502">
        <f>$L$114*'6.  Persistence Rates'!$V$44</f>
        <v>0</v>
      </c>
      <c r="M130" s="502">
        <f>$M$114*'6.  Persistence Rates'!$V$44</f>
        <v>0</v>
      </c>
      <c r="N130" s="502">
        <f>$N$113*'6.  Persistence Rates'!$I$44</f>
        <v>0</v>
      </c>
      <c r="O130" s="468">
        <f>$O$115*'6.  Persistence Rates'!$V$44</f>
        <v>3233.0750602105268</v>
      </c>
      <c r="P130" s="382"/>
    </row>
  </sheetData>
  <mergeCells count="54">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C50:D50"/>
    <mergeCell ref="C51:D51"/>
    <mergeCell ref="C72:D72"/>
    <mergeCell ref="C59:D59"/>
    <mergeCell ref="C110:D110"/>
    <mergeCell ref="C111:D111"/>
    <mergeCell ref="C112:D112"/>
    <mergeCell ref="C91:D91"/>
    <mergeCell ref="C92:D92"/>
    <mergeCell ref="C93:D93"/>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E4:P4"/>
    <mergeCell ref="B15:B16"/>
    <mergeCell ref="C15:C16"/>
    <mergeCell ref="H15:P15"/>
    <mergeCell ref="B2:P2"/>
    <mergeCell ref="E11:F11"/>
    <mergeCell ref="E12:F12"/>
    <mergeCell ref="C83:D83"/>
    <mergeCell ref="C84:D84"/>
    <mergeCell ref="C85:D85"/>
    <mergeCell ref="C70:D70"/>
    <mergeCell ref="C71:D71"/>
  </mergeCells>
  <printOptions headings="1" gridLines="1"/>
  <pageMargins left="0.7" right="0.7" top="0.75" bottom="0.75" header="0.3" footer="0.3"/>
  <pageSetup scale="52" orientation="portrait" r:id="rId1"/>
  <headerFooter>
    <oddHeader>&amp;L&amp;Z&amp;F&amp;A
&amp;D&amp;T</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726" t="s">
        <v>266</v>
      </c>
      <c r="C2" s="726"/>
      <c r="D2" s="726"/>
      <c r="E2" s="726"/>
      <c r="F2" s="726"/>
      <c r="G2" s="726"/>
      <c r="H2" s="726"/>
      <c r="I2" s="726"/>
      <c r="J2" s="726"/>
      <c r="K2" s="726"/>
      <c r="L2" s="726"/>
      <c r="M2" s="726"/>
      <c r="N2" s="726"/>
      <c r="O2" s="726"/>
      <c r="P2" s="726"/>
    </row>
    <row r="3" spans="1:18" ht="18.75" customHeight="1" outlineLevel="1" x14ac:dyDescent="0.3">
      <c r="B3" s="63"/>
      <c r="C3" s="172"/>
      <c r="D3" s="63"/>
      <c r="E3" s="63"/>
      <c r="F3" s="63"/>
      <c r="G3" s="63"/>
      <c r="H3" s="63"/>
      <c r="I3" s="63"/>
      <c r="J3" s="63"/>
      <c r="K3" s="63"/>
      <c r="L3" s="63"/>
      <c r="M3" s="63"/>
      <c r="N3" s="63"/>
      <c r="O3" s="63"/>
      <c r="P3" s="63"/>
    </row>
    <row r="4" spans="1:18" ht="35.25" customHeight="1" outlineLevel="1" x14ac:dyDescent="0.3">
      <c r="A4" s="237"/>
      <c r="B4" s="375"/>
      <c r="C4" s="354" t="s">
        <v>399</v>
      </c>
      <c r="D4" s="375"/>
      <c r="E4" s="680" t="s">
        <v>362</v>
      </c>
      <c r="F4" s="680"/>
      <c r="G4" s="680"/>
      <c r="H4" s="680"/>
      <c r="I4" s="680"/>
      <c r="J4" s="680"/>
      <c r="K4" s="680"/>
      <c r="L4" s="680"/>
      <c r="M4" s="680"/>
      <c r="N4" s="680"/>
      <c r="O4" s="680"/>
      <c r="P4" s="680"/>
    </row>
    <row r="5" spans="1:18" ht="18.75" customHeight="1" outlineLevel="1" x14ac:dyDescent="0.3">
      <c r="A5" s="47"/>
      <c r="B5" s="375"/>
      <c r="C5" s="376"/>
      <c r="D5" s="375"/>
      <c r="E5" s="357" t="s">
        <v>356</v>
      </c>
      <c r="F5" s="375"/>
      <c r="G5" s="375"/>
      <c r="H5" s="375"/>
      <c r="I5" s="375"/>
      <c r="J5" s="375"/>
      <c r="K5" s="375"/>
      <c r="L5" s="375"/>
      <c r="M5" s="375"/>
      <c r="N5" s="375"/>
      <c r="O5" s="375"/>
      <c r="P5" s="375"/>
    </row>
    <row r="6" spans="1:18" ht="18.75" customHeight="1" outlineLevel="1" x14ac:dyDescent="0.3">
      <c r="A6" s="47"/>
      <c r="B6" s="375"/>
      <c r="C6" s="376"/>
      <c r="D6" s="375"/>
      <c r="E6" s="357" t="s">
        <v>357</v>
      </c>
      <c r="F6" s="375"/>
      <c r="G6" s="375"/>
      <c r="H6" s="375"/>
      <c r="I6" s="375"/>
      <c r="J6" s="375"/>
      <c r="K6" s="375"/>
      <c r="L6" s="375"/>
      <c r="M6" s="375"/>
      <c r="N6" s="375"/>
      <c r="O6" s="375"/>
      <c r="P6" s="375"/>
    </row>
    <row r="7" spans="1:18" ht="18.75" customHeight="1" outlineLevel="1" x14ac:dyDescent="0.3">
      <c r="A7" s="47"/>
      <c r="B7" s="375"/>
      <c r="C7" s="376"/>
      <c r="D7" s="375"/>
      <c r="E7" s="357" t="s">
        <v>416</v>
      </c>
      <c r="F7" s="375"/>
      <c r="G7" s="375"/>
      <c r="H7" s="375"/>
      <c r="I7" s="375"/>
      <c r="J7" s="375"/>
      <c r="K7" s="375"/>
      <c r="L7" s="375"/>
      <c r="M7" s="375"/>
      <c r="N7" s="375"/>
      <c r="O7" s="375"/>
      <c r="P7" s="375"/>
    </row>
    <row r="8" spans="1:18" ht="18.75" customHeight="1" outlineLevel="1" x14ac:dyDescent="0.3">
      <c r="A8" s="47"/>
      <c r="B8" s="375"/>
      <c r="C8" s="376"/>
      <c r="D8" s="375"/>
      <c r="E8" s="357"/>
      <c r="F8" s="375"/>
      <c r="G8" s="375"/>
      <c r="H8" s="375"/>
      <c r="I8" s="375"/>
      <c r="J8" s="375"/>
      <c r="K8" s="375"/>
      <c r="L8" s="375"/>
      <c r="M8" s="375"/>
      <c r="N8" s="375"/>
      <c r="O8" s="375"/>
      <c r="P8" s="375"/>
    </row>
    <row r="9" spans="1:18" ht="18.75" customHeight="1" outlineLevel="1" x14ac:dyDescent="0.3">
      <c r="A9" s="47"/>
      <c r="B9" s="375"/>
      <c r="C9" s="377" t="s">
        <v>337</v>
      </c>
      <c r="D9" s="375"/>
      <c r="E9" s="736" t="s">
        <v>363</v>
      </c>
      <c r="F9" s="736"/>
      <c r="G9" s="375"/>
      <c r="H9" s="375"/>
      <c r="I9" s="375"/>
      <c r="J9" s="375"/>
      <c r="K9" s="375"/>
      <c r="L9" s="375"/>
      <c r="M9" s="375"/>
      <c r="N9" s="375"/>
      <c r="O9" s="375"/>
      <c r="P9" s="375"/>
      <c r="R9" s="82"/>
    </row>
    <row r="10" spans="1:18" ht="18.75" customHeight="1" outlineLevel="1" x14ac:dyDescent="0.3">
      <c r="A10" s="47"/>
      <c r="B10" s="375"/>
      <c r="C10" s="376"/>
      <c r="D10" s="375"/>
      <c r="E10" s="737" t="s">
        <v>338</v>
      </c>
      <c r="F10" s="737"/>
      <c r="G10" s="375"/>
      <c r="H10" s="375"/>
      <c r="I10" s="375"/>
      <c r="J10" s="375"/>
      <c r="K10" s="375"/>
      <c r="L10" s="375"/>
      <c r="M10" s="375"/>
      <c r="N10" s="375"/>
      <c r="O10" s="375"/>
      <c r="P10" s="375"/>
    </row>
    <row r="11" spans="1:18" ht="18.75" customHeight="1" x14ac:dyDescent="0.3">
      <c r="B11" s="63"/>
      <c r="C11" s="63"/>
      <c r="D11" s="63"/>
      <c r="E11" s="135"/>
      <c r="G11" s="63"/>
      <c r="H11" s="63"/>
      <c r="I11" s="63"/>
      <c r="J11" s="63"/>
      <c r="K11" s="63"/>
      <c r="L11" s="63"/>
      <c r="M11" s="63"/>
      <c r="N11" s="63"/>
      <c r="O11" s="63"/>
      <c r="P11" s="63"/>
    </row>
    <row r="12" spans="1:18" ht="18.75" customHeight="1" x14ac:dyDescent="0.3">
      <c r="B12" s="186" t="s">
        <v>473</v>
      </c>
      <c r="C12" s="63"/>
      <c r="D12" s="63"/>
      <c r="E12" s="165"/>
      <c r="F12" s="63"/>
      <c r="G12" s="63"/>
      <c r="H12" s="63"/>
      <c r="I12" s="63"/>
      <c r="J12" s="63"/>
      <c r="K12" s="63"/>
      <c r="L12" s="63"/>
      <c r="M12" s="63"/>
      <c r="N12" s="63"/>
      <c r="O12" s="63"/>
      <c r="P12" s="63"/>
    </row>
    <row r="13" spans="1:18" ht="45" x14ac:dyDescent="0.25">
      <c r="B13" s="730" t="s">
        <v>58</v>
      </c>
      <c r="C13" s="732" t="s">
        <v>0</v>
      </c>
      <c r="D13" s="732" t="s">
        <v>44</v>
      </c>
      <c r="E13" s="732" t="s">
        <v>206</v>
      </c>
      <c r="F13" s="232" t="s">
        <v>203</v>
      </c>
      <c r="G13" s="232" t="s">
        <v>45</v>
      </c>
      <c r="H13" s="734" t="s">
        <v>59</v>
      </c>
      <c r="I13" s="734"/>
      <c r="J13" s="734"/>
      <c r="K13" s="734"/>
      <c r="L13" s="734"/>
      <c r="M13" s="734"/>
      <c r="N13" s="734"/>
      <c r="O13" s="734"/>
      <c r="P13" s="735"/>
    </row>
    <row r="14" spans="1:18" ht="60" x14ac:dyDescent="0.25">
      <c r="B14" s="731"/>
      <c r="C14" s="733"/>
      <c r="D14" s="733"/>
      <c r="E14" s="733"/>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38" t="s">
        <v>142</v>
      </c>
      <c r="C15" s="739"/>
      <c r="D15" s="739"/>
      <c r="E15" s="739"/>
      <c r="F15" s="739"/>
      <c r="G15" s="739"/>
      <c r="H15" s="739"/>
      <c r="I15" s="739"/>
      <c r="J15" s="739"/>
      <c r="K15" s="739"/>
      <c r="L15" s="739"/>
      <c r="M15" s="739"/>
      <c r="N15" s="739"/>
      <c r="O15" s="739"/>
      <c r="P15" s="740"/>
    </row>
    <row r="16" spans="1:18" ht="26.25" customHeight="1" x14ac:dyDescent="0.25">
      <c r="A16" s="50"/>
      <c r="B16" s="741" t="s">
        <v>143</v>
      </c>
      <c r="C16" s="742"/>
      <c r="D16" s="742"/>
      <c r="E16" s="742"/>
      <c r="F16" s="742"/>
      <c r="G16" s="742"/>
      <c r="H16" s="742"/>
      <c r="I16" s="742"/>
      <c r="J16" s="742"/>
      <c r="K16" s="742"/>
      <c r="L16" s="742"/>
      <c r="M16" s="742"/>
      <c r="N16" s="742"/>
      <c r="O16" s="742"/>
      <c r="P16" s="743"/>
    </row>
    <row r="17" spans="1:16" x14ac:dyDescent="0.25">
      <c r="A17" s="34"/>
      <c r="B17" s="403">
        <v>1</v>
      </c>
      <c r="C17" s="388" t="s">
        <v>144</v>
      </c>
      <c r="D17" s="247" t="s">
        <v>33</v>
      </c>
      <c r="E17" s="389"/>
      <c r="F17" s="290"/>
      <c r="G17" s="290"/>
      <c r="H17" s="400">
        <v>1</v>
      </c>
      <c r="I17" s="390"/>
      <c r="J17" s="390"/>
      <c r="K17" s="390"/>
      <c r="L17" s="390"/>
      <c r="M17" s="390"/>
      <c r="N17" s="390"/>
      <c r="O17" s="390"/>
      <c r="P17" s="404">
        <f>SUM(H17:O17)</f>
        <v>1</v>
      </c>
    </row>
    <row r="18" spans="1:16" x14ac:dyDescent="0.25">
      <c r="A18" s="8"/>
      <c r="B18" s="403">
        <v>2</v>
      </c>
      <c r="C18" s="388" t="s">
        <v>145</v>
      </c>
      <c r="D18" s="247" t="s">
        <v>33</v>
      </c>
      <c r="E18" s="391"/>
      <c r="F18" s="290"/>
      <c r="G18" s="290"/>
      <c r="H18" s="400">
        <v>1</v>
      </c>
      <c r="I18" s="390"/>
      <c r="J18" s="390"/>
      <c r="K18" s="390"/>
      <c r="L18" s="390"/>
      <c r="M18" s="390"/>
      <c r="N18" s="390"/>
      <c r="O18" s="390"/>
      <c r="P18" s="404">
        <f t="shared" ref="P18:P79" si="0">SUM(H18:O18)</f>
        <v>1</v>
      </c>
    </row>
    <row r="19" spans="1:16" x14ac:dyDescent="0.25">
      <c r="A19" s="34"/>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34"/>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34"/>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34"/>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34"/>
      <c r="B23" s="405" t="s">
        <v>264</v>
      </c>
      <c r="C23" s="388"/>
      <c r="D23" s="247" t="s">
        <v>254</v>
      </c>
      <c r="E23" s="391"/>
      <c r="F23" s="290"/>
      <c r="G23" s="290"/>
      <c r="H23" s="400"/>
      <c r="I23" s="390"/>
      <c r="J23" s="390"/>
      <c r="K23" s="390"/>
      <c r="L23" s="390"/>
      <c r="M23" s="390"/>
      <c r="N23" s="390"/>
      <c r="O23" s="390"/>
      <c r="P23" s="404">
        <f t="shared" si="0"/>
        <v>0</v>
      </c>
    </row>
    <row r="24" spans="1:16" x14ac:dyDescent="0.25">
      <c r="A24" s="34"/>
      <c r="B24" s="403"/>
      <c r="C24" s="698"/>
      <c r="D24" s="698"/>
      <c r="E24" s="261"/>
      <c r="F24" s="290"/>
      <c r="G24" s="290"/>
      <c r="H24" s="400"/>
      <c r="I24" s="390"/>
      <c r="J24" s="390"/>
      <c r="K24" s="390"/>
      <c r="L24" s="390"/>
      <c r="M24" s="390"/>
      <c r="N24" s="390"/>
      <c r="O24" s="390"/>
      <c r="P24" s="404">
        <f t="shared" si="0"/>
        <v>0</v>
      </c>
    </row>
    <row r="25" spans="1:16" x14ac:dyDescent="0.25">
      <c r="A25" s="34"/>
      <c r="B25" s="403"/>
      <c r="C25" s="698"/>
      <c r="D25" s="698"/>
      <c r="E25" s="261"/>
      <c r="F25" s="290"/>
      <c r="G25" s="290"/>
      <c r="H25" s="400"/>
      <c r="I25" s="390"/>
      <c r="J25" s="390"/>
      <c r="K25" s="390"/>
      <c r="L25" s="390"/>
      <c r="M25" s="390"/>
      <c r="N25" s="390"/>
      <c r="O25" s="390"/>
      <c r="P25" s="404">
        <f t="shared" si="0"/>
        <v>0</v>
      </c>
    </row>
    <row r="26" spans="1:16" x14ac:dyDescent="0.25">
      <c r="A26" s="34"/>
      <c r="B26" s="403"/>
      <c r="C26" s="698"/>
      <c r="D26" s="698"/>
      <c r="E26" s="261"/>
      <c r="F26" s="290"/>
      <c r="G26" s="290"/>
      <c r="H26" s="400"/>
      <c r="I26" s="390"/>
      <c r="J26" s="390"/>
      <c r="K26" s="390"/>
      <c r="L26" s="390"/>
      <c r="M26" s="390"/>
      <c r="N26" s="390"/>
      <c r="O26" s="390"/>
      <c r="P26" s="404">
        <f t="shared" si="0"/>
        <v>0</v>
      </c>
    </row>
    <row r="27" spans="1:16" ht="25.5" customHeight="1" x14ac:dyDescent="0.25">
      <c r="A27" s="50"/>
      <c r="B27" s="741" t="s">
        <v>150</v>
      </c>
      <c r="C27" s="742"/>
      <c r="D27" s="742"/>
      <c r="E27" s="742"/>
      <c r="F27" s="742"/>
      <c r="G27" s="742"/>
      <c r="H27" s="742"/>
      <c r="I27" s="742"/>
      <c r="J27" s="742"/>
      <c r="K27" s="742"/>
      <c r="L27" s="742"/>
      <c r="M27" s="742"/>
      <c r="N27" s="742"/>
      <c r="O27" s="742"/>
      <c r="P27" s="743"/>
    </row>
    <row r="28" spans="1:16" x14ac:dyDescent="0.25">
      <c r="A28" s="34"/>
      <c r="B28" s="403">
        <v>7</v>
      </c>
      <c r="C28" s="388" t="s">
        <v>151</v>
      </c>
      <c r="D28" s="247" t="s">
        <v>33</v>
      </c>
      <c r="E28" s="391">
        <v>12</v>
      </c>
      <c r="F28" s="290"/>
      <c r="G28" s="290">
        <v>50</v>
      </c>
      <c r="H28" s="390"/>
      <c r="I28" s="400">
        <v>0.2</v>
      </c>
      <c r="J28" s="400">
        <v>0.5</v>
      </c>
      <c r="K28" s="400">
        <v>0.3</v>
      </c>
      <c r="L28" s="390"/>
      <c r="M28" s="390"/>
      <c r="N28" s="390"/>
      <c r="O28" s="390"/>
      <c r="P28" s="404">
        <f t="shared" si="0"/>
        <v>1</v>
      </c>
    </row>
    <row r="29" spans="1:16" ht="28.5" x14ac:dyDescent="0.25">
      <c r="A29" s="34"/>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34"/>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34"/>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34"/>
      <c r="B32" s="403">
        <v>11</v>
      </c>
      <c r="C32" s="388" t="s">
        <v>155</v>
      </c>
      <c r="D32" s="247" t="s">
        <v>33</v>
      </c>
      <c r="E32" s="391">
        <v>3</v>
      </c>
      <c r="F32" s="290"/>
      <c r="G32" s="290"/>
      <c r="H32" s="390"/>
      <c r="I32" s="390"/>
      <c r="J32" s="400">
        <v>0.9</v>
      </c>
      <c r="K32" s="400">
        <v>0.1</v>
      </c>
      <c r="L32" s="390"/>
      <c r="M32" s="390"/>
      <c r="N32" s="390"/>
      <c r="O32" s="390"/>
      <c r="P32" s="404">
        <f t="shared" si="0"/>
        <v>1</v>
      </c>
    </row>
    <row r="33" spans="1:16" x14ac:dyDescent="0.25">
      <c r="A33" s="34"/>
      <c r="B33" s="405" t="s">
        <v>264</v>
      </c>
      <c r="C33" s="388"/>
      <c r="D33" s="247" t="s">
        <v>254</v>
      </c>
      <c r="E33" s="391"/>
      <c r="F33" s="290"/>
      <c r="G33" s="290"/>
      <c r="H33" s="390"/>
      <c r="I33" s="390"/>
      <c r="J33" s="390"/>
      <c r="K33" s="390"/>
      <c r="L33" s="390"/>
      <c r="M33" s="390"/>
      <c r="N33" s="390"/>
      <c r="O33" s="390"/>
      <c r="P33" s="404">
        <f t="shared" si="0"/>
        <v>0</v>
      </c>
    </row>
    <row r="34" spans="1:16" x14ac:dyDescent="0.25">
      <c r="A34" s="34"/>
      <c r="B34" s="403"/>
      <c r="C34" s="698"/>
      <c r="D34" s="698"/>
      <c r="E34" s="261"/>
      <c r="F34" s="290"/>
      <c r="G34" s="290"/>
      <c r="H34" s="390"/>
      <c r="I34" s="390"/>
      <c r="J34" s="390"/>
      <c r="K34" s="390"/>
      <c r="L34" s="390"/>
      <c r="M34" s="390"/>
      <c r="N34" s="390"/>
      <c r="O34" s="390"/>
      <c r="P34" s="404">
        <f t="shared" si="0"/>
        <v>0</v>
      </c>
    </row>
    <row r="35" spans="1:16" x14ac:dyDescent="0.25">
      <c r="A35" s="34"/>
      <c r="B35" s="403"/>
      <c r="C35" s="698"/>
      <c r="D35" s="698"/>
      <c r="E35" s="261"/>
      <c r="F35" s="290"/>
      <c r="G35" s="290"/>
      <c r="H35" s="390"/>
      <c r="I35" s="390"/>
      <c r="J35" s="390"/>
      <c r="K35" s="390"/>
      <c r="L35" s="390"/>
      <c r="M35" s="390"/>
      <c r="N35" s="390"/>
      <c r="O35" s="390"/>
      <c r="P35" s="404">
        <f t="shared" si="0"/>
        <v>0</v>
      </c>
    </row>
    <row r="36" spans="1:16" x14ac:dyDescent="0.25">
      <c r="A36" s="34"/>
      <c r="B36" s="403"/>
      <c r="C36" s="698"/>
      <c r="D36" s="698"/>
      <c r="E36" s="261"/>
      <c r="F36" s="290"/>
      <c r="G36" s="290"/>
      <c r="H36" s="390"/>
      <c r="I36" s="390"/>
      <c r="J36" s="390"/>
      <c r="K36" s="390"/>
      <c r="L36" s="390"/>
      <c r="M36" s="390"/>
      <c r="N36" s="390"/>
      <c r="O36" s="390"/>
      <c r="P36" s="404">
        <f t="shared" si="0"/>
        <v>0</v>
      </c>
    </row>
    <row r="37" spans="1:16" ht="26.25" customHeight="1" x14ac:dyDescent="0.25">
      <c r="A37" s="50"/>
      <c r="B37" s="741" t="s">
        <v>11</v>
      </c>
      <c r="C37" s="742"/>
      <c r="D37" s="742"/>
      <c r="E37" s="742"/>
      <c r="F37" s="742"/>
      <c r="G37" s="742"/>
      <c r="H37" s="742"/>
      <c r="I37" s="742"/>
      <c r="J37" s="742"/>
      <c r="K37" s="742"/>
      <c r="L37" s="742"/>
      <c r="M37" s="742"/>
      <c r="N37" s="742"/>
      <c r="O37" s="742"/>
      <c r="P37" s="743"/>
    </row>
    <row r="38" spans="1:16" ht="28.5" x14ac:dyDescent="0.25">
      <c r="A38" s="34"/>
      <c r="B38" s="403">
        <v>12</v>
      </c>
      <c r="C38" s="388" t="s">
        <v>156</v>
      </c>
      <c r="D38" s="247" t="s">
        <v>33</v>
      </c>
      <c r="E38" s="391">
        <v>12</v>
      </c>
      <c r="F38" s="290"/>
      <c r="G38" s="290"/>
      <c r="H38" s="390"/>
      <c r="I38" s="390"/>
      <c r="J38" s="400">
        <v>1</v>
      </c>
      <c r="K38" s="390"/>
      <c r="L38" s="390"/>
      <c r="M38" s="390"/>
      <c r="N38" s="390"/>
      <c r="O38" s="390"/>
      <c r="P38" s="404">
        <f t="shared" si="0"/>
        <v>1</v>
      </c>
    </row>
    <row r="39" spans="1:16" ht="28.5" x14ac:dyDescent="0.25">
      <c r="A39" s="34"/>
      <c r="B39" s="403">
        <v>13</v>
      </c>
      <c r="C39" s="388" t="s">
        <v>157</v>
      </c>
      <c r="D39" s="247" t="s">
        <v>33</v>
      </c>
      <c r="E39" s="391">
        <v>12</v>
      </c>
      <c r="F39" s="290"/>
      <c r="G39" s="290"/>
      <c r="H39" s="390"/>
      <c r="I39" s="390"/>
      <c r="J39" s="400">
        <v>1</v>
      </c>
      <c r="K39" s="390"/>
      <c r="L39" s="390"/>
      <c r="M39" s="390"/>
      <c r="N39" s="390"/>
      <c r="O39" s="390"/>
      <c r="P39" s="404">
        <f t="shared" si="0"/>
        <v>1</v>
      </c>
    </row>
    <row r="40" spans="1:16" ht="28.5" x14ac:dyDescent="0.25">
      <c r="A40" s="34"/>
      <c r="B40" s="403">
        <v>14</v>
      </c>
      <c r="C40" s="388" t="s">
        <v>158</v>
      </c>
      <c r="D40" s="247" t="s">
        <v>33</v>
      </c>
      <c r="E40" s="391">
        <v>12</v>
      </c>
      <c r="F40" s="290"/>
      <c r="G40" s="290"/>
      <c r="H40" s="390"/>
      <c r="I40" s="390"/>
      <c r="J40" s="400">
        <v>1</v>
      </c>
      <c r="K40" s="390"/>
      <c r="L40" s="390"/>
      <c r="M40" s="390"/>
      <c r="N40" s="390"/>
      <c r="O40" s="390"/>
      <c r="P40" s="404">
        <f t="shared" si="0"/>
        <v>1</v>
      </c>
    </row>
    <row r="41" spans="1:16" x14ac:dyDescent="0.25">
      <c r="A41" s="34"/>
      <c r="B41" s="405" t="s">
        <v>264</v>
      </c>
      <c r="C41" s="388"/>
      <c r="D41" s="247" t="s">
        <v>254</v>
      </c>
      <c r="E41" s="391"/>
      <c r="F41" s="290"/>
      <c r="G41" s="290"/>
      <c r="H41" s="390"/>
      <c r="I41" s="390"/>
      <c r="J41" s="390"/>
      <c r="K41" s="390"/>
      <c r="L41" s="390"/>
      <c r="M41" s="390"/>
      <c r="N41" s="390"/>
      <c r="O41" s="390"/>
      <c r="P41" s="404">
        <f t="shared" si="0"/>
        <v>0</v>
      </c>
    </row>
    <row r="42" spans="1:16" x14ac:dyDescent="0.25">
      <c r="A42" s="34"/>
      <c r="B42" s="403"/>
      <c r="C42" s="698"/>
      <c r="D42" s="698"/>
      <c r="E42" s="261"/>
      <c r="F42" s="290"/>
      <c r="G42" s="290"/>
      <c r="H42" s="390"/>
      <c r="I42" s="390"/>
      <c r="J42" s="390"/>
      <c r="K42" s="390"/>
      <c r="L42" s="390"/>
      <c r="M42" s="390"/>
      <c r="N42" s="390"/>
      <c r="O42" s="390"/>
      <c r="P42" s="404">
        <f t="shared" si="0"/>
        <v>0</v>
      </c>
    </row>
    <row r="43" spans="1:16" x14ac:dyDescent="0.25">
      <c r="A43" s="34"/>
      <c r="B43" s="403"/>
      <c r="C43" s="698"/>
      <c r="D43" s="698"/>
      <c r="E43" s="261"/>
      <c r="F43" s="290"/>
      <c r="G43" s="290"/>
      <c r="H43" s="390"/>
      <c r="I43" s="390"/>
      <c r="J43" s="390"/>
      <c r="K43" s="390"/>
      <c r="L43" s="390"/>
      <c r="M43" s="390"/>
      <c r="N43" s="390"/>
      <c r="O43" s="390"/>
      <c r="P43" s="404">
        <f t="shared" si="0"/>
        <v>0</v>
      </c>
    </row>
    <row r="44" spans="1:16" x14ac:dyDescent="0.25">
      <c r="A44" s="34"/>
      <c r="B44" s="403"/>
      <c r="C44" s="698"/>
      <c r="D44" s="698"/>
      <c r="E44" s="261"/>
      <c r="F44" s="290"/>
      <c r="G44" s="290"/>
      <c r="H44" s="390"/>
      <c r="I44" s="390"/>
      <c r="J44" s="390"/>
      <c r="K44" s="390"/>
      <c r="L44" s="390"/>
      <c r="M44" s="390"/>
      <c r="N44" s="390"/>
      <c r="O44" s="390"/>
      <c r="P44" s="404">
        <f t="shared" si="0"/>
        <v>0</v>
      </c>
    </row>
    <row r="45" spans="1:16" ht="24" customHeight="1" x14ac:dyDescent="0.25">
      <c r="A45" s="50"/>
      <c r="B45" s="741" t="s">
        <v>159</v>
      </c>
      <c r="C45" s="742"/>
      <c r="D45" s="742"/>
      <c r="E45" s="742"/>
      <c r="F45" s="742"/>
      <c r="G45" s="742"/>
      <c r="H45" s="742"/>
      <c r="I45" s="742"/>
      <c r="J45" s="742"/>
      <c r="K45" s="742"/>
      <c r="L45" s="742"/>
      <c r="M45" s="742"/>
      <c r="N45" s="742"/>
      <c r="O45" s="742"/>
      <c r="P45" s="743"/>
    </row>
    <row r="46" spans="1:16" x14ac:dyDescent="0.25">
      <c r="A46" s="34"/>
      <c r="B46" s="403">
        <v>15</v>
      </c>
      <c r="C46" s="388" t="s">
        <v>160</v>
      </c>
      <c r="D46" s="247" t="s">
        <v>33</v>
      </c>
      <c r="E46" s="391"/>
      <c r="F46" s="290"/>
      <c r="G46" s="290"/>
      <c r="H46" s="400">
        <v>1</v>
      </c>
      <c r="I46" s="390"/>
      <c r="J46" s="390"/>
      <c r="K46" s="390"/>
      <c r="L46" s="390"/>
      <c r="M46" s="390"/>
      <c r="N46" s="390"/>
      <c r="O46" s="390"/>
      <c r="P46" s="404">
        <f t="shared" si="0"/>
        <v>1</v>
      </c>
    </row>
    <row r="47" spans="1:16" x14ac:dyDescent="0.25">
      <c r="A47" s="34"/>
      <c r="B47" s="405" t="s">
        <v>264</v>
      </c>
      <c r="C47" s="388"/>
      <c r="D47" s="247" t="s">
        <v>254</v>
      </c>
      <c r="E47" s="391"/>
      <c r="F47" s="290"/>
      <c r="G47" s="290"/>
      <c r="H47" s="400"/>
      <c r="I47" s="390"/>
      <c r="J47" s="390"/>
      <c r="K47" s="390"/>
      <c r="L47" s="390"/>
      <c r="M47" s="390"/>
      <c r="N47" s="390"/>
      <c r="O47" s="390"/>
      <c r="P47" s="404">
        <f t="shared" si="0"/>
        <v>0</v>
      </c>
    </row>
    <row r="48" spans="1:16" x14ac:dyDescent="0.25">
      <c r="A48" s="34"/>
      <c r="B48" s="403"/>
      <c r="C48" s="698"/>
      <c r="D48" s="698"/>
      <c r="E48" s="261"/>
      <c r="F48" s="290"/>
      <c r="G48" s="290"/>
      <c r="H48" s="400"/>
      <c r="I48" s="390"/>
      <c r="J48" s="390"/>
      <c r="K48" s="390"/>
      <c r="L48" s="390"/>
      <c r="M48" s="390"/>
      <c r="N48" s="390"/>
      <c r="O48" s="390"/>
      <c r="P48" s="404">
        <f t="shared" si="0"/>
        <v>0</v>
      </c>
    </row>
    <row r="49" spans="1:16" x14ac:dyDescent="0.25">
      <c r="A49" s="34"/>
      <c r="B49" s="403"/>
      <c r="C49" s="698"/>
      <c r="D49" s="698"/>
      <c r="E49" s="261"/>
      <c r="F49" s="290"/>
      <c r="G49" s="290"/>
      <c r="H49" s="400"/>
      <c r="I49" s="390"/>
      <c r="J49" s="390"/>
      <c r="K49" s="390"/>
      <c r="L49" s="390"/>
      <c r="M49" s="390"/>
      <c r="N49" s="390"/>
      <c r="O49" s="390"/>
      <c r="P49" s="404"/>
    </row>
    <row r="50" spans="1:16" x14ac:dyDescent="0.25">
      <c r="A50" s="34"/>
      <c r="B50" s="403"/>
      <c r="C50" s="698"/>
      <c r="D50" s="698"/>
      <c r="E50" s="261"/>
      <c r="F50" s="290"/>
      <c r="G50" s="290"/>
      <c r="H50" s="400"/>
      <c r="I50" s="390"/>
      <c r="J50" s="390"/>
      <c r="K50" s="390"/>
      <c r="L50" s="390"/>
      <c r="M50" s="390"/>
      <c r="N50" s="390"/>
      <c r="O50" s="390"/>
      <c r="P50" s="404">
        <f t="shared" si="0"/>
        <v>0</v>
      </c>
    </row>
    <row r="51" spans="1:16" ht="21" customHeight="1" x14ac:dyDescent="0.25">
      <c r="A51" s="48"/>
      <c r="B51" s="741" t="s">
        <v>161</v>
      </c>
      <c r="C51" s="742"/>
      <c r="D51" s="742"/>
      <c r="E51" s="742"/>
      <c r="F51" s="742"/>
      <c r="G51" s="742"/>
      <c r="H51" s="742"/>
      <c r="I51" s="742"/>
      <c r="J51" s="742"/>
      <c r="K51" s="742"/>
      <c r="L51" s="742"/>
      <c r="M51" s="742"/>
      <c r="N51" s="742"/>
      <c r="O51" s="742"/>
      <c r="P51" s="743"/>
    </row>
    <row r="52" spans="1:16" x14ac:dyDescent="0.25">
      <c r="A52" s="34"/>
      <c r="B52" s="403">
        <v>16</v>
      </c>
      <c r="C52" s="388" t="s">
        <v>162</v>
      </c>
      <c r="D52" s="247" t="s">
        <v>33</v>
      </c>
      <c r="E52" s="391"/>
      <c r="F52" s="290"/>
      <c r="G52" s="290"/>
      <c r="H52" s="390"/>
      <c r="I52" s="390"/>
      <c r="J52" s="390"/>
      <c r="K52" s="390"/>
      <c r="L52" s="390"/>
      <c r="M52" s="390"/>
      <c r="N52" s="390"/>
      <c r="O52" s="390"/>
      <c r="P52" s="404">
        <f t="shared" si="0"/>
        <v>0</v>
      </c>
    </row>
    <row r="53" spans="1:16" x14ac:dyDescent="0.25">
      <c r="A53" s="34"/>
      <c r="B53" s="403">
        <v>17</v>
      </c>
      <c r="C53" s="388" t="s">
        <v>163</v>
      </c>
      <c r="D53" s="247" t="s">
        <v>33</v>
      </c>
      <c r="E53" s="391"/>
      <c r="F53" s="290"/>
      <c r="G53" s="290"/>
      <c r="H53" s="390"/>
      <c r="I53" s="390"/>
      <c r="J53" s="390"/>
      <c r="K53" s="390"/>
      <c r="L53" s="390"/>
      <c r="M53" s="390"/>
      <c r="N53" s="390"/>
      <c r="O53" s="390"/>
      <c r="P53" s="404">
        <f t="shared" si="0"/>
        <v>0</v>
      </c>
    </row>
    <row r="54" spans="1:16" x14ac:dyDescent="0.25">
      <c r="A54" s="34"/>
      <c r="B54" s="403">
        <v>18</v>
      </c>
      <c r="C54" s="388" t="s">
        <v>164</v>
      </c>
      <c r="D54" s="247" t="s">
        <v>33</v>
      </c>
      <c r="E54" s="391"/>
      <c r="F54" s="290"/>
      <c r="G54" s="290"/>
      <c r="H54" s="390"/>
      <c r="I54" s="390"/>
      <c r="J54" s="390"/>
      <c r="K54" s="390"/>
      <c r="L54" s="390"/>
      <c r="M54" s="390"/>
      <c r="N54" s="390"/>
      <c r="O54" s="390"/>
      <c r="P54" s="404">
        <f t="shared" si="0"/>
        <v>0</v>
      </c>
    </row>
    <row r="55" spans="1:16" x14ac:dyDescent="0.25">
      <c r="A55" s="34"/>
      <c r="B55" s="403">
        <v>19</v>
      </c>
      <c r="C55" s="388" t="s">
        <v>165</v>
      </c>
      <c r="D55" s="247" t="s">
        <v>33</v>
      </c>
      <c r="E55" s="391"/>
      <c r="F55" s="290"/>
      <c r="G55" s="290"/>
      <c r="H55" s="390"/>
      <c r="I55" s="390"/>
      <c r="J55" s="390"/>
      <c r="K55" s="390"/>
      <c r="L55" s="390"/>
      <c r="M55" s="390"/>
      <c r="N55" s="390"/>
      <c r="O55" s="390"/>
      <c r="P55" s="404">
        <f t="shared" si="0"/>
        <v>0</v>
      </c>
    </row>
    <row r="56" spans="1:16" x14ac:dyDescent="0.25">
      <c r="A56" s="34"/>
      <c r="B56" s="405" t="s">
        <v>264</v>
      </c>
      <c r="C56" s="388"/>
      <c r="D56" s="247" t="s">
        <v>254</v>
      </c>
      <c r="E56" s="391"/>
      <c r="F56" s="290"/>
      <c r="G56" s="290"/>
      <c r="H56" s="390"/>
      <c r="I56" s="390"/>
      <c r="J56" s="390"/>
      <c r="K56" s="390"/>
      <c r="L56" s="390"/>
      <c r="M56" s="390"/>
      <c r="N56" s="390"/>
      <c r="O56" s="390"/>
      <c r="P56" s="404">
        <f t="shared" si="0"/>
        <v>0</v>
      </c>
    </row>
    <row r="57" spans="1:16" x14ac:dyDescent="0.25">
      <c r="A57" s="34"/>
      <c r="B57" s="405"/>
      <c r="C57" s="698"/>
      <c r="D57" s="698"/>
      <c r="E57" s="261"/>
      <c r="F57" s="290"/>
      <c r="G57" s="290"/>
      <c r="H57" s="390"/>
      <c r="I57" s="390"/>
      <c r="J57" s="390"/>
      <c r="K57" s="390"/>
      <c r="L57" s="390"/>
      <c r="M57" s="390"/>
      <c r="N57" s="390"/>
      <c r="O57" s="390"/>
      <c r="P57" s="404"/>
    </row>
    <row r="58" spans="1:16" x14ac:dyDescent="0.25">
      <c r="A58" s="34"/>
      <c r="B58" s="405"/>
      <c r="C58" s="698"/>
      <c r="D58" s="698"/>
      <c r="E58" s="261"/>
      <c r="F58" s="290"/>
      <c r="G58" s="290"/>
      <c r="H58" s="390"/>
      <c r="I58" s="390"/>
      <c r="J58" s="390"/>
      <c r="K58" s="390"/>
      <c r="L58" s="390"/>
      <c r="M58" s="390"/>
      <c r="N58" s="390"/>
      <c r="O58" s="390"/>
      <c r="P58" s="404"/>
    </row>
    <row r="59" spans="1:16" x14ac:dyDescent="0.25">
      <c r="A59" s="33"/>
      <c r="B59" s="406"/>
      <c r="C59" s="698"/>
      <c r="D59" s="698"/>
      <c r="E59" s="261"/>
      <c r="F59" s="290"/>
      <c r="G59" s="290"/>
      <c r="H59" s="394"/>
      <c r="I59" s="394"/>
      <c r="J59" s="394"/>
      <c r="K59" s="394"/>
      <c r="L59" s="394"/>
      <c r="M59" s="394"/>
      <c r="N59" s="394"/>
      <c r="O59" s="394"/>
      <c r="P59" s="404"/>
    </row>
    <row r="60" spans="1:16" ht="27" customHeight="1" x14ac:dyDescent="0.25">
      <c r="B60" s="738" t="s">
        <v>166</v>
      </c>
      <c r="C60" s="739"/>
      <c r="D60" s="739"/>
      <c r="E60" s="739"/>
      <c r="F60" s="739"/>
      <c r="G60" s="739"/>
      <c r="H60" s="739"/>
      <c r="I60" s="739"/>
      <c r="J60" s="739"/>
      <c r="K60" s="739"/>
      <c r="L60" s="739"/>
      <c r="M60" s="739"/>
      <c r="N60" s="739"/>
      <c r="O60" s="739"/>
      <c r="P60" s="740"/>
    </row>
    <row r="61" spans="1:16" ht="16.5" x14ac:dyDescent="0.25">
      <c r="B61" s="407"/>
      <c r="C61" s="388"/>
      <c r="D61" s="391"/>
      <c r="E61" s="391"/>
      <c r="F61" s="387"/>
      <c r="G61" s="387"/>
      <c r="H61" s="387"/>
      <c r="I61" s="387"/>
      <c r="J61" s="387"/>
      <c r="K61" s="387"/>
      <c r="L61" s="387"/>
      <c r="M61" s="387"/>
      <c r="N61" s="387"/>
      <c r="O61" s="387"/>
      <c r="P61" s="408"/>
    </row>
    <row r="62" spans="1:16" ht="25.5" customHeight="1" x14ac:dyDescent="0.25">
      <c r="A62" s="50"/>
      <c r="B62" s="744" t="s">
        <v>167</v>
      </c>
      <c r="C62" s="711"/>
      <c r="D62" s="711"/>
      <c r="E62" s="711"/>
      <c r="F62" s="711"/>
      <c r="G62" s="711"/>
      <c r="H62" s="711"/>
      <c r="I62" s="711"/>
      <c r="J62" s="711"/>
      <c r="K62" s="711"/>
      <c r="L62" s="711"/>
      <c r="M62" s="711"/>
      <c r="N62" s="711"/>
      <c r="O62" s="711"/>
      <c r="P62" s="745"/>
    </row>
    <row r="63" spans="1:16" x14ac:dyDescent="0.25">
      <c r="A63" s="34"/>
      <c r="B63" s="403">
        <v>21</v>
      </c>
      <c r="C63" s="388" t="s">
        <v>168</v>
      </c>
      <c r="D63" s="247" t="s">
        <v>33</v>
      </c>
      <c r="E63" s="391"/>
      <c r="F63" s="290"/>
      <c r="G63" s="290"/>
      <c r="H63" s="400">
        <v>1</v>
      </c>
      <c r="I63" s="390"/>
      <c r="J63" s="390"/>
      <c r="K63" s="390"/>
      <c r="L63" s="390"/>
      <c r="M63" s="390"/>
      <c r="N63" s="390"/>
      <c r="O63" s="390"/>
      <c r="P63" s="404">
        <f t="shared" si="0"/>
        <v>1</v>
      </c>
    </row>
    <row r="64" spans="1:16" ht="28.5" x14ac:dyDescent="0.25">
      <c r="A64" s="34"/>
      <c r="B64" s="403">
        <v>22</v>
      </c>
      <c r="C64" s="388" t="s">
        <v>169</v>
      </c>
      <c r="D64" s="247" t="s">
        <v>33</v>
      </c>
      <c r="E64" s="391"/>
      <c r="F64" s="290"/>
      <c r="G64" s="290"/>
      <c r="H64" s="400">
        <v>1</v>
      </c>
      <c r="I64" s="390"/>
      <c r="J64" s="390"/>
      <c r="K64" s="390"/>
      <c r="L64" s="390"/>
      <c r="M64" s="390"/>
      <c r="N64" s="390"/>
      <c r="O64" s="390"/>
      <c r="P64" s="404">
        <f t="shared" si="0"/>
        <v>1</v>
      </c>
    </row>
    <row r="65" spans="1:16" x14ac:dyDescent="0.25">
      <c r="A65" s="34"/>
      <c r="B65" s="403">
        <v>23</v>
      </c>
      <c r="C65" s="388" t="s">
        <v>170</v>
      </c>
      <c r="D65" s="247" t="s">
        <v>33</v>
      </c>
      <c r="E65" s="391"/>
      <c r="F65" s="290"/>
      <c r="G65" s="290"/>
      <c r="H65" s="400">
        <v>1</v>
      </c>
      <c r="I65" s="390"/>
      <c r="J65" s="390"/>
      <c r="K65" s="390"/>
      <c r="L65" s="390"/>
      <c r="M65" s="390"/>
      <c r="N65" s="390"/>
      <c r="O65" s="390"/>
      <c r="P65" s="404">
        <f t="shared" si="0"/>
        <v>1</v>
      </c>
    </row>
    <row r="66" spans="1:16" x14ac:dyDescent="0.25">
      <c r="A66" s="34"/>
      <c r="B66" s="403">
        <v>24</v>
      </c>
      <c r="C66" s="388" t="s">
        <v>171</v>
      </c>
      <c r="D66" s="247" t="s">
        <v>33</v>
      </c>
      <c r="E66" s="391"/>
      <c r="F66" s="290"/>
      <c r="G66" s="290"/>
      <c r="H66" s="400">
        <v>1</v>
      </c>
      <c r="I66" s="390"/>
      <c r="J66" s="390"/>
      <c r="K66" s="390"/>
      <c r="L66" s="390"/>
      <c r="M66" s="390"/>
      <c r="N66" s="390"/>
      <c r="O66" s="390"/>
      <c r="P66" s="404">
        <f t="shared" si="0"/>
        <v>1</v>
      </c>
    </row>
    <row r="67" spans="1:16" x14ac:dyDescent="0.25">
      <c r="A67" s="34"/>
      <c r="B67" s="405" t="s">
        <v>264</v>
      </c>
      <c r="C67" s="388"/>
      <c r="D67" s="247" t="s">
        <v>254</v>
      </c>
      <c r="E67" s="391"/>
      <c r="F67" s="290"/>
      <c r="G67" s="290"/>
      <c r="H67" s="400"/>
      <c r="I67" s="390"/>
      <c r="J67" s="390"/>
      <c r="K67" s="390"/>
      <c r="L67" s="390"/>
      <c r="M67" s="390"/>
      <c r="N67" s="390"/>
      <c r="O67" s="390"/>
      <c r="P67" s="404"/>
    </row>
    <row r="68" spans="1:16" x14ac:dyDescent="0.25">
      <c r="A68" s="34"/>
      <c r="B68" s="403"/>
      <c r="C68" s="698"/>
      <c r="D68" s="698"/>
      <c r="E68" s="261"/>
      <c r="F68" s="290"/>
      <c r="G68" s="290"/>
      <c r="H68" s="400"/>
      <c r="I68" s="390"/>
      <c r="J68" s="390"/>
      <c r="K68" s="390"/>
      <c r="L68" s="390"/>
      <c r="M68" s="390"/>
      <c r="N68" s="390"/>
      <c r="O68" s="390"/>
      <c r="P68" s="404"/>
    </row>
    <row r="69" spans="1:16" x14ac:dyDescent="0.25">
      <c r="A69" s="34"/>
      <c r="B69" s="403"/>
      <c r="C69" s="698"/>
      <c r="D69" s="698"/>
      <c r="E69" s="261"/>
      <c r="F69" s="290"/>
      <c r="G69" s="290"/>
      <c r="H69" s="400"/>
      <c r="I69" s="390"/>
      <c r="J69" s="390"/>
      <c r="K69" s="390"/>
      <c r="L69" s="390"/>
      <c r="M69" s="390"/>
      <c r="N69" s="390"/>
      <c r="O69" s="390"/>
      <c r="P69" s="404"/>
    </row>
    <row r="70" spans="1:16" x14ac:dyDescent="0.25">
      <c r="A70" s="34"/>
      <c r="B70" s="403"/>
      <c r="C70" s="698"/>
      <c r="D70" s="698"/>
      <c r="E70" s="261"/>
      <c r="F70" s="290"/>
      <c r="G70" s="290"/>
      <c r="H70" s="390"/>
      <c r="I70" s="390"/>
      <c r="J70" s="390"/>
      <c r="K70" s="390"/>
      <c r="L70" s="390"/>
      <c r="M70" s="390"/>
      <c r="N70" s="390"/>
      <c r="O70" s="390"/>
      <c r="P70" s="404">
        <f t="shared" si="0"/>
        <v>0</v>
      </c>
    </row>
    <row r="71" spans="1:16" ht="28.5" customHeight="1" x14ac:dyDescent="0.25">
      <c r="A71" s="50"/>
      <c r="B71" s="744" t="s">
        <v>172</v>
      </c>
      <c r="C71" s="711"/>
      <c r="D71" s="711"/>
      <c r="E71" s="711"/>
      <c r="F71" s="711"/>
      <c r="G71" s="711"/>
      <c r="H71" s="711"/>
      <c r="I71" s="711"/>
      <c r="J71" s="711"/>
      <c r="K71" s="711"/>
      <c r="L71" s="711"/>
      <c r="M71" s="711"/>
      <c r="N71" s="711"/>
      <c r="O71" s="711"/>
      <c r="P71" s="745"/>
    </row>
    <row r="72" spans="1:16" x14ac:dyDescent="0.25">
      <c r="A72" s="34"/>
      <c r="B72" s="403">
        <v>25</v>
      </c>
      <c r="C72" s="388" t="s">
        <v>173</v>
      </c>
      <c r="D72" s="247" t="s">
        <v>33</v>
      </c>
      <c r="E72" s="391"/>
      <c r="F72" s="290"/>
      <c r="G72" s="290"/>
      <c r="H72" s="390"/>
      <c r="I72" s="400">
        <v>1</v>
      </c>
      <c r="J72" s="390"/>
      <c r="K72" s="390"/>
      <c r="L72" s="390"/>
      <c r="M72" s="390"/>
      <c r="N72" s="390"/>
      <c r="O72" s="390"/>
      <c r="P72" s="404">
        <f t="shared" si="0"/>
        <v>1</v>
      </c>
    </row>
    <row r="73" spans="1:16" x14ac:dyDescent="0.25">
      <c r="A73" s="34"/>
      <c r="B73" s="403">
        <v>26</v>
      </c>
      <c r="C73" s="388" t="s">
        <v>174</v>
      </c>
      <c r="D73" s="247" t="s">
        <v>33</v>
      </c>
      <c r="E73" s="391"/>
      <c r="F73" s="290"/>
      <c r="G73" s="290"/>
      <c r="H73" s="390"/>
      <c r="I73" s="400">
        <v>1</v>
      </c>
      <c r="J73" s="390"/>
      <c r="K73" s="390"/>
      <c r="L73" s="390"/>
      <c r="M73" s="390"/>
      <c r="N73" s="390"/>
      <c r="O73" s="390"/>
      <c r="P73" s="404">
        <f t="shared" si="0"/>
        <v>1</v>
      </c>
    </row>
    <row r="74" spans="1:16" ht="28.5" x14ac:dyDescent="0.25">
      <c r="A74" s="34"/>
      <c r="B74" s="403">
        <v>27</v>
      </c>
      <c r="C74" s="388" t="s">
        <v>175</v>
      </c>
      <c r="D74" s="247" t="s">
        <v>33</v>
      </c>
      <c r="E74" s="391"/>
      <c r="F74" s="290"/>
      <c r="G74" s="290"/>
      <c r="H74" s="390"/>
      <c r="I74" s="400">
        <v>0.8</v>
      </c>
      <c r="J74" s="400">
        <v>0.2</v>
      </c>
      <c r="K74" s="390"/>
      <c r="L74" s="390"/>
      <c r="M74" s="390"/>
      <c r="N74" s="390"/>
      <c r="O74" s="390"/>
      <c r="P74" s="404">
        <f t="shared" si="0"/>
        <v>1</v>
      </c>
    </row>
    <row r="75" spans="1:16" ht="28.5" x14ac:dyDescent="0.25">
      <c r="A75" s="34"/>
      <c r="B75" s="403">
        <v>28</v>
      </c>
      <c r="C75" s="388" t="s">
        <v>176</v>
      </c>
      <c r="D75" s="247" t="s">
        <v>33</v>
      </c>
      <c r="E75" s="391"/>
      <c r="F75" s="290"/>
      <c r="G75" s="290"/>
      <c r="H75" s="390"/>
      <c r="I75" s="390"/>
      <c r="J75" s="390"/>
      <c r="K75" s="390"/>
      <c r="L75" s="390"/>
      <c r="M75" s="390"/>
      <c r="N75" s="390"/>
      <c r="O75" s="390"/>
      <c r="P75" s="404">
        <f t="shared" si="0"/>
        <v>0</v>
      </c>
    </row>
    <row r="76" spans="1:16" ht="28.5" x14ac:dyDescent="0.25">
      <c r="A76" s="34"/>
      <c r="B76" s="403">
        <v>29</v>
      </c>
      <c r="C76" s="388" t="s">
        <v>177</v>
      </c>
      <c r="D76" s="247" t="s">
        <v>33</v>
      </c>
      <c r="E76" s="391"/>
      <c r="F76" s="290"/>
      <c r="G76" s="290"/>
      <c r="H76" s="390"/>
      <c r="I76" s="390"/>
      <c r="J76" s="390"/>
      <c r="K76" s="390"/>
      <c r="L76" s="390"/>
      <c r="M76" s="390"/>
      <c r="N76" s="390"/>
      <c r="O76" s="390"/>
      <c r="P76" s="404">
        <f t="shared" si="0"/>
        <v>0</v>
      </c>
    </row>
    <row r="77" spans="1:16" ht="28.5" x14ac:dyDescent="0.25">
      <c r="A77" s="34"/>
      <c r="B77" s="403">
        <v>30</v>
      </c>
      <c r="C77" s="388" t="s">
        <v>178</v>
      </c>
      <c r="D77" s="247" t="s">
        <v>33</v>
      </c>
      <c r="E77" s="391"/>
      <c r="F77" s="290"/>
      <c r="G77" s="290"/>
      <c r="H77" s="390"/>
      <c r="I77" s="390"/>
      <c r="J77" s="390"/>
      <c r="K77" s="390"/>
      <c r="L77" s="390"/>
      <c r="M77" s="390"/>
      <c r="N77" s="390"/>
      <c r="O77" s="390"/>
      <c r="P77" s="404">
        <f t="shared" si="0"/>
        <v>0</v>
      </c>
    </row>
    <row r="78" spans="1:16" ht="28.5" x14ac:dyDescent="0.25">
      <c r="A78" s="34"/>
      <c r="B78" s="403">
        <v>31</v>
      </c>
      <c r="C78" s="388" t="s">
        <v>179</v>
      </c>
      <c r="D78" s="247" t="s">
        <v>33</v>
      </c>
      <c r="E78" s="391"/>
      <c r="F78" s="290"/>
      <c r="G78" s="290"/>
      <c r="H78" s="390"/>
      <c r="I78" s="390"/>
      <c r="J78" s="390"/>
      <c r="K78" s="390"/>
      <c r="L78" s="390"/>
      <c r="M78" s="390"/>
      <c r="N78" s="390"/>
      <c r="O78" s="390"/>
      <c r="P78" s="404">
        <f t="shared" si="0"/>
        <v>0</v>
      </c>
    </row>
    <row r="79" spans="1:16" x14ac:dyDescent="0.25">
      <c r="A79" s="34"/>
      <c r="B79" s="403">
        <v>32</v>
      </c>
      <c r="C79" s="388" t="s">
        <v>180</v>
      </c>
      <c r="D79" s="247" t="s">
        <v>33</v>
      </c>
      <c r="E79" s="391"/>
      <c r="F79" s="290"/>
      <c r="G79" s="290"/>
      <c r="H79" s="390"/>
      <c r="I79" s="390"/>
      <c r="J79" s="390"/>
      <c r="K79" s="390"/>
      <c r="L79" s="390"/>
      <c r="M79" s="390"/>
      <c r="N79" s="390"/>
      <c r="O79" s="390"/>
      <c r="P79" s="404">
        <f t="shared" si="0"/>
        <v>0</v>
      </c>
    </row>
    <row r="80" spans="1:16" x14ac:dyDescent="0.25">
      <c r="A80" s="34"/>
      <c r="B80" s="405" t="s">
        <v>264</v>
      </c>
      <c r="C80" s="388"/>
      <c r="D80" s="247" t="s">
        <v>254</v>
      </c>
      <c r="E80" s="391"/>
      <c r="F80" s="290"/>
      <c r="G80" s="290"/>
      <c r="H80" s="390"/>
      <c r="I80" s="390"/>
      <c r="J80" s="390"/>
      <c r="K80" s="390"/>
      <c r="L80" s="390"/>
      <c r="M80" s="390"/>
      <c r="N80" s="390"/>
      <c r="O80" s="390"/>
      <c r="P80" s="404"/>
    </row>
    <row r="81" spans="1:16" x14ac:dyDescent="0.25">
      <c r="A81" s="34"/>
      <c r="B81" s="403"/>
      <c r="C81" s="698"/>
      <c r="D81" s="698"/>
      <c r="E81" s="261"/>
      <c r="F81" s="290"/>
      <c r="G81" s="290"/>
      <c r="H81" s="390"/>
      <c r="I81" s="390"/>
      <c r="J81" s="390"/>
      <c r="K81" s="390"/>
      <c r="L81" s="390"/>
      <c r="M81" s="390"/>
      <c r="N81" s="390"/>
      <c r="O81" s="390"/>
      <c r="P81" s="404"/>
    </row>
    <row r="82" spans="1:16" x14ac:dyDescent="0.25">
      <c r="A82" s="34"/>
      <c r="B82" s="403"/>
      <c r="C82" s="698"/>
      <c r="D82" s="698"/>
      <c r="E82" s="261"/>
      <c r="F82" s="290"/>
      <c r="G82" s="290"/>
      <c r="H82" s="390"/>
      <c r="I82" s="390"/>
      <c r="J82" s="390"/>
      <c r="K82" s="390"/>
      <c r="L82" s="390"/>
      <c r="M82" s="390"/>
      <c r="N82" s="390"/>
      <c r="O82" s="390"/>
      <c r="P82" s="404"/>
    </row>
    <row r="83" spans="1:16" x14ac:dyDescent="0.25">
      <c r="A83" s="34"/>
      <c r="B83" s="403"/>
      <c r="C83" s="698"/>
      <c r="D83" s="698"/>
      <c r="E83" s="261"/>
      <c r="F83" s="290"/>
      <c r="G83" s="290"/>
      <c r="H83" s="390"/>
      <c r="I83" s="390"/>
      <c r="J83" s="390"/>
      <c r="K83" s="390"/>
      <c r="L83" s="390"/>
      <c r="M83" s="390"/>
      <c r="N83" s="390"/>
      <c r="O83" s="390"/>
      <c r="P83" s="404">
        <f t="shared" ref="P83:P106" si="1">SUM(H83:O83)</f>
        <v>0</v>
      </c>
    </row>
    <row r="84" spans="1:16" ht="25.5" customHeight="1" x14ac:dyDescent="0.25">
      <c r="A84" s="50"/>
      <c r="B84" s="744" t="s">
        <v>181</v>
      </c>
      <c r="C84" s="711"/>
      <c r="D84" s="711"/>
      <c r="E84" s="711"/>
      <c r="F84" s="711"/>
      <c r="G84" s="711"/>
      <c r="H84" s="711"/>
      <c r="I84" s="711"/>
      <c r="J84" s="711"/>
      <c r="K84" s="711"/>
      <c r="L84" s="711"/>
      <c r="M84" s="711"/>
      <c r="N84" s="711"/>
      <c r="O84" s="711"/>
      <c r="P84" s="745"/>
    </row>
    <row r="85" spans="1:16" x14ac:dyDescent="0.25">
      <c r="A85" s="34"/>
      <c r="B85" s="403">
        <v>33</v>
      </c>
      <c r="C85" s="388" t="s">
        <v>182</v>
      </c>
      <c r="D85" s="247" t="s">
        <v>33</v>
      </c>
      <c r="E85" s="391"/>
      <c r="F85" s="290"/>
      <c r="G85" s="290"/>
      <c r="H85" s="396"/>
      <c r="I85" s="396"/>
      <c r="J85" s="396"/>
      <c r="K85" s="396"/>
      <c r="L85" s="396"/>
      <c r="M85" s="396"/>
      <c r="N85" s="396"/>
      <c r="O85" s="396"/>
      <c r="P85" s="404">
        <f t="shared" si="1"/>
        <v>0</v>
      </c>
    </row>
    <row r="86" spans="1:16" x14ac:dyDescent="0.25">
      <c r="A86" s="34"/>
      <c r="B86" s="403">
        <v>34</v>
      </c>
      <c r="C86" s="388" t="s">
        <v>183</v>
      </c>
      <c r="D86" s="247" t="s">
        <v>33</v>
      </c>
      <c r="E86" s="391"/>
      <c r="F86" s="290"/>
      <c r="G86" s="290"/>
      <c r="H86" s="396"/>
      <c r="I86" s="396"/>
      <c r="J86" s="396"/>
      <c r="K86" s="396"/>
      <c r="L86" s="396"/>
      <c r="M86" s="396"/>
      <c r="N86" s="396"/>
      <c r="O86" s="396"/>
      <c r="P86" s="404">
        <f t="shared" si="1"/>
        <v>0</v>
      </c>
    </row>
    <row r="87" spans="1:16" x14ac:dyDescent="0.25">
      <c r="A87" s="34"/>
      <c r="B87" s="403">
        <v>35</v>
      </c>
      <c r="C87" s="388" t="s">
        <v>184</v>
      </c>
      <c r="D87" s="247" t="s">
        <v>33</v>
      </c>
      <c r="E87" s="391"/>
      <c r="F87" s="290"/>
      <c r="G87" s="290"/>
      <c r="H87" s="396"/>
      <c r="I87" s="396"/>
      <c r="J87" s="396"/>
      <c r="K87" s="396"/>
      <c r="L87" s="396"/>
      <c r="M87" s="396"/>
      <c r="N87" s="396"/>
      <c r="O87" s="396"/>
      <c r="P87" s="404">
        <f t="shared" si="1"/>
        <v>0</v>
      </c>
    </row>
    <row r="88" spans="1:16" x14ac:dyDescent="0.25">
      <c r="A88" s="34"/>
      <c r="B88" s="405" t="s">
        <v>264</v>
      </c>
      <c r="C88" s="388"/>
      <c r="D88" s="247" t="s">
        <v>254</v>
      </c>
      <c r="E88" s="391"/>
      <c r="F88" s="290"/>
      <c r="G88" s="290"/>
      <c r="H88" s="396"/>
      <c r="I88" s="396"/>
      <c r="J88" s="396"/>
      <c r="K88" s="396"/>
      <c r="L88" s="396"/>
      <c r="M88" s="396"/>
      <c r="N88" s="396"/>
      <c r="O88" s="396"/>
      <c r="P88" s="404"/>
    </row>
    <row r="89" spans="1:16" x14ac:dyDescent="0.25">
      <c r="A89" s="34"/>
      <c r="B89" s="403"/>
      <c r="C89" s="698"/>
      <c r="D89" s="698"/>
      <c r="E89" s="261"/>
      <c r="F89" s="290"/>
      <c r="G89" s="290"/>
      <c r="H89" s="396"/>
      <c r="I89" s="396"/>
      <c r="J89" s="396"/>
      <c r="K89" s="396"/>
      <c r="L89" s="396"/>
      <c r="M89" s="396"/>
      <c r="N89" s="396"/>
      <c r="O89" s="396"/>
      <c r="P89" s="404"/>
    </row>
    <row r="90" spans="1:16" x14ac:dyDescent="0.25">
      <c r="A90" s="34"/>
      <c r="B90" s="403"/>
      <c r="C90" s="698"/>
      <c r="D90" s="698"/>
      <c r="E90" s="261"/>
      <c r="F90" s="290"/>
      <c r="G90" s="290"/>
      <c r="H90" s="396"/>
      <c r="I90" s="396"/>
      <c r="J90" s="396"/>
      <c r="K90" s="396"/>
      <c r="L90" s="396"/>
      <c r="M90" s="396"/>
      <c r="N90" s="396"/>
      <c r="O90" s="396"/>
      <c r="P90" s="404"/>
    </row>
    <row r="91" spans="1:16" x14ac:dyDescent="0.25">
      <c r="A91" s="34"/>
      <c r="B91" s="403"/>
      <c r="C91" s="698"/>
      <c r="D91" s="698"/>
      <c r="E91" s="261"/>
      <c r="F91" s="290"/>
      <c r="G91" s="290"/>
      <c r="H91" s="396"/>
      <c r="I91" s="396"/>
      <c r="J91" s="396"/>
      <c r="K91" s="396"/>
      <c r="L91" s="396"/>
      <c r="M91" s="396"/>
      <c r="N91" s="396"/>
      <c r="O91" s="396"/>
      <c r="P91" s="404">
        <f t="shared" si="1"/>
        <v>0</v>
      </c>
    </row>
    <row r="92" spans="1:16" ht="24" customHeight="1" x14ac:dyDescent="0.25">
      <c r="A92" s="50"/>
      <c r="B92" s="744" t="s">
        <v>185</v>
      </c>
      <c r="C92" s="711"/>
      <c r="D92" s="711"/>
      <c r="E92" s="711"/>
      <c r="F92" s="711"/>
      <c r="G92" s="711"/>
      <c r="H92" s="711"/>
      <c r="I92" s="711"/>
      <c r="J92" s="711"/>
      <c r="K92" s="711"/>
      <c r="L92" s="711"/>
      <c r="M92" s="711"/>
      <c r="N92" s="711"/>
      <c r="O92" s="711"/>
      <c r="P92" s="745"/>
    </row>
    <row r="93" spans="1:16" ht="42.75" x14ac:dyDescent="0.25">
      <c r="A93" s="34"/>
      <c r="B93" s="403">
        <v>36</v>
      </c>
      <c r="C93" s="388" t="s">
        <v>186</v>
      </c>
      <c r="D93" s="247" t="s">
        <v>33</v>
      </c>
      <c r="E93" s="391"/>
      <c r="F93" s="290"/>
      <c r="G93" s="290"/>
      <c r="H93" s="396"/>
      <c r="I93" s="396"/>
      <c r="J93" s="396"/>
      <c r="K93" s="396"/>
      <c r="L93" s="396"/>
      <c r="M93" s="396"/>
      <c r="N93" s="396"/>
      <c r="O93" s="396"/>
      <c r="P93" s="404">
        <f t="shared" si="1"/>
        <v>0</v>
      </c>
    </row>
    <row r="94" spans="1:16" ht="28.5" x14ac:dyDescent="0.25">
      <c r="A94" s="34"/>
      <c r="B94" s="403">
        <v>37</v>
      </c>
      <c r="C94" s="388" t="s">
        <v>187</v>
      </c>
      <c r="D94" s="247" t="s">
        <v>33</v>
      </c>
      <c r="E94" s="391"/>
      <c r="F94" s="290"/>
      <c r="G94" s="290"/>
      <c r="H94" s="396"/>
      <c r="I94" s="396"/>
      <c r="J94" s="396"/>
      <c r="K94" s="396"/>
      <c r="L94" s="396"/>
      <c r="M94" s="396"/>
      <c r="N94" s="396"/>
      <c r="O94" s="396"/>
      <c r="P94" s="404">
        <f t="shared" si="1"/>
        <v>0</v>
      </c>
    </row>
    <row r="95" spans="1:16" x14ac:dyDescent="0.25">
      <c r="A95" s="34"/>
      <c r="B95" s="403">
        <v>38</v>
      </c>
      <c r="C95" s="388" t="s">
        <v>188</v>
      </c>
      <c r="D95" s="247" t="s">
        <v>33</v>
      </c>
      <c r="E95" s="391"/>
      <c r="F95" s="290"/>
      <c r="G95" s="290"/>
      <c r="H95" s="396"/>
      <c r="I95" s="396"/>
      <c r="J95" s="396"/>
      <c r="K95" s="396"/>
      <c r="L95" s="396"/>
      <c r="M95" s="396"/>
      <c r="N95" s="396"/>
      <c r="O95" s="396"/>
      <c r="P95" s="404">
        <f t="shared" si="1"/>
        <v>0</v>
      </c>
    </row>
    <row r="96" spans="1:16" ht="28.5" x14ac:dyDescent="0.25">
      <c r="A96" s="34"/>
      <c r="B96" s="403">
        <v>39</v>
      </c>
      <c r="C96" s="388" t="s">
        <v>189</v>
      </c>
      <c r="D96" s="247" t="s">
        <v>33</v>
      </c>
      <c r="E96" s="391"/>
      <c r="F96" s="290"/>
      <c r="G96" s="290"/>
      <c r="H96" s="396"/>
      <c r="I96" s="396"/>
      <c r="J96" s="396"/>
      <c r="K96" s="396"/>
      <c r="L96" s="396"/>
      <c r="M96" s="396"/>
      <c r="N96" s="396"/>
      <c r="O96" s="396"/>
      <c r="P96" s="404">
        <f t="shared" si="1"/>
        <v>0</v>
      </c>
    </row>
    <row r="97" spans="1:16" ht="28.5" x14ac:dyDescent="0.25">
      <c r="A97" s="34"/>
      <c r="B97" s="403">
        <v>40</v>
      </c>
      <c r="C97" s="388" t="s">
        <v>190</v>
      </c>
      <c r="D97" s="247" t="s">
        <v>33</v>
      </c>
      <c r="E97" s="391"/>
      <c r="F97" s="290"/>
      <c r="G97" s="290"/>
      <c r="H97" s="396"/>
      <c r="I97" s="396"/>
      <c r="J97" s="396"/>
      <c r="K97" s="396"/>
      <c r="L97" s="396"/>
      <c r="M97" s="396"/>
      <c r="N97" s="396"/>
      <c r="O97" s="396"/>
      <c r="P97" s="404">
        <f t="shared" si="1"/>
        <v>0</v>
      </c>
    </row>
    <row r="98" spans="1:16" ht="28.5" x14ac:dyDescent="0.25">
      <c r="A98" s="34"/>
      <c r="B98" s="403">
        <v>41</v>
      </c>
      <c r="C98" s="388" t="s">
        <v>191</v>
      </c>
      <c r="D98" s="247" t="s">
        <v>33</v>
      </c>
      <c r="E98" s="391"/>
      <c r="F98" s="290"/>
      <c r="G98" s="290"/>
      <c r="H98" s="396"/>
      <c r="I98" s="396"/>
      <c r="J98" s="396"/>
      <c r="K98" s="396"/>
      <c r="L98" s="396"/>
      <c r="M98" s="396"/>
      <c r="N98" s="396"/>
      <c r="O98" s="396"/>
      <c r="P98" s="404">
        <f t="shared" si="1"/>
        <v>0</v>
      </c>
    </row>
    <row r="99" spans="1:16" ht="28.5" x14ac:dyDescent="0.25">
      <c r="A99" s="34"/>
      <c r="B99" s="403">
        <v>42</v>
      </c>
      <c r="C99" s="388" t="s">
        <v>192</v>
      </c>
      <c r="D99" s="247" t="s">
        <v>33</v>
      </c>
      <c r="E99" s="391"/>
      <c r="F99" s="290"/>
      <c r="G99" s="290"/>
      <c r="H99" s="396"/>
      <c r="I99" s="396"/>
      <c r="J99" s="396"/>
      <c r="K99" s="396"/>
      <c r="L99" s="396"/>
      <c r="M99" s="396"/>
      <c r="N99" s="396"/>
      <c r="O99" s="396"/>
      <c r="P99" s="404">
        <f t="shared" si="1"/>
        <v>0</v>
      </c>
    </row>
    <row r="100" spans="1:16" x14ac:dyDescent="0.25">
      <c r="A100" s="34"/>
      <c r="B100" s="403">
        <v>43</v>
      </c>
      <c r="C100" s="388" t="s">
        <v>193</v>
      </c>
      <c r="D100" s="247" t="s">
        <v>33</v>
      </c>
      <c r="E100" s="391"/>
      <c r="F100" s="290"/>
      <c r="G100" s="290"/>
      <c r="H100" s="396"/>
      <c r="I100" s="396"/>
      <c r="J100" s="396"/>
      <c r="K100" s="396"/>
      <c r="L100" s="396"/>
      <c r="M100" s="396"/>
      <c r="N100" s="396"/>
      <c r="O100" s="396"/>
      <c r="P100" s="404">
        <f t="shared" si="1"/>
        <v>0</v>
      </c>
    </row>
    <row r="101" spans="1:16" ht="42.75" x14ac:dyDescent="0.25">
      <c r="A101" s="34"/>
      <c r="B101" s="403">
        <v>44</v>
      </c>
      <c r="C101" s="388" t="s">
        <v>194</v>
      </c>
      <c r="D101" s="247" t="s">
        <v>33</v>
      </c>
      <c r="E101" s="391"/>
      <c r="F101" s="290"/>
      <c r="G101" s="290"/>
      <c r="H101" s="396"/>
      <c r="I101" s="396"/>
      <c r="J101" s="396"/>
      <c r="K101" s="396"/>
      <c r="L101" s="396"/>
      <c r="M101" s="396"/>
      <c r="N101" s="396"/>
      <c r="O101" s="396"/>
      <c r="P101" s="404">
        <f t="shared" si="1"/>
        <v>0</v>
      </c>
    </row>
    <row r="102" spans="1:16" ht="28.5" x14ac:dyDescent="0.25">
      <c r="A102" s="34"/>
      <c r="B102" s="403">
        <v>45</v>
      </c>
      <c r="C102" s="388" t="s">
        <v>195</v>
      </c>
      <c r="D102" s="247" t="s">
        <v>33</v>
      </c>
      <c r="E102" s="391"/>
      <c r="F102" s="290"/>
      <c r="G102" s="290"/>
      <c r="H102" s="396"/>
      <c r="I102" s="396"/>
      <c r="J102" s="396"/>
      <c r="K102" s="396"/>
      <c r="L102" s="396"/>
      <c r="M102" s="396"/>
      <c r="N102" s="396"/>
      <c r="O102" s="396"/>
      <c r="P102" s="404">
        <f t="shared" si="1"/>
        <v>0</v>
      </c>
    </row>
    <row r="103" spans="1:16" ht="28.5" x14ac:dyDescent="0.25">
      <c r="A103" s="34"/>
      <c r="B103" s="403">
        <v>46</v>
      </c>
      <c r="C103" s="388" t="s">
        <v>196</v>
      </c>
      <c r="D103" s="247" t="s">
        <v>33</v>
      </c>
      <c r="E103" s="391"/>
      <c r="F103" s="290"/>
      <c r="G103" s="290"/>
      <c r="H103" s="396"/>
      <c r="I103" s="396"/>
      <c r="J103" s="396"/>
      <c r="K103" s="396"/>
      <c r="L103" s="396"/>
      <c r="M103" s="396"/>
      <c r="N103" s="396"/>
      <c r="O103" s="396"/>
      <c r="P103" s="404">
        <f t="shared" si="1"/>
        <v>0</v>
      </c>
    </row>
    <row r="104" spans="1:16" ht="28.5" x14ac:dyDescent="0.25">
      <c r="A104" s="34"/>
      <c r="B104" s="403">
        <v>47</v>
      </c>
      <c r="C104" s="388" t="s">
        <v>197</v>
      </c>
      <c r="D104" s="247" t="s">
        <v>33</v>
      </c>
      <c r="E104" s="391"/>
      <c r="F104" s="290"/>
      <c r="G104" s="290"/>
      <c r="H104" s="396"/>
      <c r="I104" s="396"/>
      <c r="J104" s="396"/>
      <c r="K104" s="396"/>
      <c r="L104" s="396"/>
      <c r="M104" s="396"/>
      <c r="N104" s="396"/>
      <c r="O104" s="396"/>
      <c r="P104" s="404">
        <f t="shared" si="1"/>
        <v>0</v>
      </c>
    </row>
    <row r="105" spans="1:16" ht="28.5" x14ac:dyDescent="0.25">
      <c r="A105" s="34"/>
      <c r="B105" s="403">
        <v>48</v>
      </c>
      <c r="C105" s="388" t="s">
        <v>198</v>
      </c>
      <c r="D105" s="247" t="s">
        <v>33</v>
      </c>
      <c r="E105" s="391"/>
      <c r="F105" s="290"/>
      <c r="G105" s="290"/>
      <c r="H105" s="396"/>
      <c r="I105" s="396"/>
      <c r="J105" s="396"/>
      <c r="K105" s="396"/>
      <c r="L105" s="396"/>
      <c r="M105" s="396"/>
      <c r="N105" s="396"/>
      <c r="O105" s="396"/>
      <c r="P105" s="404">
        <f t="shared" si="1"/>
        <v>0</v>
      </c>
    </row>
    <row r="106" spans="1:16" ht="28.5" x14ac:dyDescent="0.25">
      <c r="A106" s="34"/>
      <c r="B106" s="403">
        <v>49</v>
      </c>
      <c r="C106" s="388" t="s">
        <v>199</v>
      </c>
      <c r="D106" s="247" t="s">
        <v>33</v>
      </c>
      <c r="E106" s="391"/>
      <c r="F106" s="290"/>
      <c r="G106" s="290"/>
      <c r="H106" s="396"/>
      <c r="I106" s="396"/>
      <c r="J106" s="396"/>
      <c r="K106" s="396"/>
      <c r="L106" s="396"/>
      <c r="M106" s="396"/>
      <c r="N106" s="396"/>
      <c r="O106" s="396"/>
      <c r="P106" s="404">
        <f t="shared" si="1"/>
        <v>0</v>
      </c>
    </row>
    <row r="107" spans="1:16" x14ac:dyDescent="0.25">
      <c r="A107" s="34"/>
      <c r="B107" s="405" t="s">
        <v>264</v>
      </c>
      <c r="C107" s="388"/>
      <c r="D107" s="247" t="s">
        <v>254</v>
      </c>
      <c r="E107" s="391"/>
      <c r="F107" s="290"/>
      <c r="G107" s="290"/>
      <c r="H107" s="396"/>
      <c r="I107" s="396"/>
      <c r="J107" s="396"/>
      <c r="K107" s="396"/>
      <c r="L107" s="396"/>
      <c r="M107" s="396"/>
      <c r="N107" s="396"/>
      <c r="O107" s="396"/>
      <c r="P107" s="404"/>
    </row>
    <row r="108" spans="1:16" x14ac:dyDescent="0.25">
      <c r="A108" s="34"/>
      <c r="B108" s="403"/>
      <c r="C108" s="698"/>
      <c r="D108" s="698"/>
      <c r="E108" s="261"/>
      <c r="F108" s="290"/>
      <c r="G108" s="290"/>
      <c r="H108" s="396"/>
      <c r="I108" s="396"/>
      <c r="J108" s="396"/>
      <c r="K108" s="396"/>
      <c r="L108" s="396"/>
      <c r="M108" s="396"/>
      <c r="N108" s="396"/>
      <c r="O108" s="396"/>
      <c r="P108" s="404"/>
    </row>
    <row r="109" spans="1:16" x14ac:dyDescent="0.25">
      <c r="A109" s="34"/>
      <c r="B109" s="403"/>
      <c r="C109" s="698"/>
      <c r="D109" s="698"/>
      <c r="E109" s="261"/>
      <c r="F109" s="290"/>
      <c r="G109" s="290"/>
      <c r="H109" s="396"/>
      <c r="I109" s="396"/>
      <c r="J109" s="396"/>
      <c r="K109" s="396"/>
      <c r="L109" s="396"/>
      <c r="M109" s="396"/>
      <c r="N109" s="396"/>
      <c r="O109" s="396"/>
      <c r="P109" s="404"/>
    </row>
    <row r="110" spans="1:16" x14ac:dyDescent="0.25">
      <c r="A110" s="34"/>
      <c r="B110" s="403"/>
      <c r="C110" s="698"/>
      <c r="D110" s="698"/>
      <c r="E110" s="261"/>
      <c r="F110" s="290"/>
      <c r="G110" s="290"/>
      <c r="H110" s="396"/>
      <c r="I110" s="396"/>
      <c r="J110" s="396"/>
      <c r="K110" s="396"/>
      <c r="L110" s="396"/>
      <c r="M110" s="396"/>
      <c r="N110" s="396"/>
      <c r="O110" s="396"/>
      <c r="P110" s="404"/>
    </row>
    <row r="111" spans="1:16" x14ac:dyDescent="0.25">
      <c r="B111" s="338"/>
      <c r="C111" s="697" t="s">
        <v>222</v>
      </c>
      <c r="D111" s="697"/>
      <c r="E111" s="339"/>
      <c r="F111" s="340"/>
      <c r="G111" s="340"/>
      <c r="H111" s="341">
        <f>SUM(F17*H17,F18*H18,F19*H19,F20*H20,F21*H21,F22*H22,F46*H46,F63*H63,F64*H64,F65*H65,F66*H66)</f>
        <v>0</v>
      </c>
      <c r="I111" s="341">
        <f>SUM(F28*I28,F29*I29,F30*I30,F31*I31,F32*I32,F72*I72,F73*I73,F74*I74,F75*I75,F76*I76,F77*I77,F78*I78,F79*I79,F85*I85,F86*I86,F87*I87)</f>
        <v>0</v>
      </c>
      <c r="J111" s="342"/>
      <c r="K111" s="339"/>
      <c r="L111" s="339"/>
      <c r="M111" s="339"/>
      <c r="N111" s="341"/>
      <c r="O111" s="339"/>
      <c r="P111" s="343">
        <f>SUM(H111:O111)</f>
        <v>0</v>
      </c>
    </row>
    <row r="112" spans="1:16" x14ac:dyDescent="0.25">
      <c r="B112" s="268"/>
      <c r="C112" s="698" t="s">
        <v>261</v>
      </c>
      <c r="D112" s="698"/>
      <c r="E112" s="262"/>
      <c r="F112" s="260"/>
      <c r="G112" s="260"/>
      <c r="H112" s="262"/>
      <c r="I112" s="262"/>
      <c r="J112" s="263">
        <f>SUM(E28*G28*J28,E29*G29*J29,E30*G30*J30,E31*G31,J31*E32*G32*J32,E38*G38*J38,E39*G39*J39,E40*G40*J40)</f>
        <v>300</v>
      </c>
      <c r="K112" s="263">
        <f>SUM(E28*G28*K28,E29*G29*K29,E30*G30*K30,E31*G31*K31,E32*G32*K32,E38*G38*K38,E39*G39*K39,E40*G40*K40)</f>
        <v>180</v>
      </c>
      <c r="L112" s="263"/>
      <c r="M112" s="263"/>
      <c r="N112" s="262"/>
      <c r="O112" s="262"/>
      <c r="P112" s="269">
        <f>SUM(H112:O112)</f>
        <v>480</v>
      </c>
    </row>
    <row r="113" spans="2:16" x14ac:dyDescent="0.25">
      <c r="B113" s="268"/>
      <c r="C113" s="698" t="s">
        <v>262</v>
      </c>
      <c r="D113" s="698"/>
      <c r="E113" s="262"/>
      <c r="F113" s="260"/>
      <c r="G113" s="260"/>
      <c r="H113" s="262"/>
      <c r="I113" s="262"/>
      <c r="J113" s="263">
        <f>J112-(E32*G32*J32)</f>
        <v>300</v>
      </c>
      <c r="K113" s="262">
        <f>K112-(E32*G32*K32)</f>
        <v>180</v>
      </c>
      <c r="L113" s="262"/>
      <c r="M113" s="262"/>
      <c r="N113" s="262"/>
      <c r="O113" s="262"/>
      <c r="P113" s="269"/>
    </row>
    <row r="114" spans="2:16" x14ac:dyDescent="0.25">
      <c r="B114" s="270"/>
      <c r="C114" s="699"/>
      <c r="D114" s="699"/>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66"/>
      <c r="C116" s="700" t="s">
        <v>325</v>
      </c>
      <c r="D116" s="700"/>
      <c r="E116" s="247"/>
      <c r="F116" s="257"/>
      <c r="G116" s="247"/>
      <c r="H116" s="258">
        <f>'3.  Distribution Rates'!$J33</f>
        <v>1.0799999999999999E-2</v>
      </c>
      <c r="I116" s="258">
        <f>'3.  Distribution Rates'!J34</f>
        <v>1.1433333333333332E-2</v>
      </c>
      <c r="J116" s="258">
        <f>'3.  Distribution Rates'!J35</f>
        <v>0</v>
      </c>
      <c r="K116" s="258">
        <f>'3.  Distribution Rates'!J36</f>
        <v>0</v>
      </c>
      <c r="L116" s="258">
        <f>'3.  Distribution Rates'!J37</f>
        <v>0</v>
      </c>
      <c r="M116" s="258">
        <f>'3.  Distribution Rates'!J38</f>
        <v>29.764133333333334</v>
      </c>
      <c r="N116" s="258">
        <f>'3.  Distribution Rates'!J39</f>
        <v>6.1666666666666667E-3</v>
      </c>
      <c r="O116" s="258"/>
      <c r="P116" s="367"/>
    </row>
    <row r="117" spans="2:16" x14ac:dyDescent="0.25">
      <c r="B117" s="366"/>
      <c r="C117" s="700" t="s">
        <v>243</v>
      </c>
      <c r="D117" s="700"/>
      <c r="E117" s="255"/>
      <c r="F117" s="257"/>
      <c r="G117" s="257"/>
      <c r="H117" s="290"/>
      <c r="I117" s="290"/>
      <c r="J117" s="290"/>
      <c r="K117" s="290"/>
      <c r="L117" s="290"/>
      <c r="M117" s="290"/>
      <c r="N117" s="290"/>
      <c r="O117" s="247"/>
      <c r="P117" s="272">
        <f>SUM(H117:O117)</f>
        <v>0</v>
      </c>
    </row>
    <row r="118" spans="2:16" x14ac:dyDescent="0.25">
      <c r="B118" s="366"/>
      <c r="C118" s="700" t="s">
        <v>244</v>
      </c>
      <c r="D118" s="700"/>
      <c r="E118" s="255"/>
      <c r="F118" s="257"/>
      <c r="G118" s="257"/>
      <c r="H118" s="290"/>
      <c r="I118" s="290"/>
      <c r="J118" s="290"/>
      <c r="K118" s="290"/>
      <c r="L118" s="290"/>
      <c r="M118" s="290"/>
      <c r="N118" s="290"/>
      <c r="O118" s="247"/>
      <c r="P118" s="272">
        <f>SUM(H118:O118)</f>
        <v>0</v>
      </c>
    </row>
    <row r="119" spans="2:16" x14ac:dyDescent="0.25">
      <c r="B119" s="366"/>
      <c r="C119" s="700" t="s">
        <v>245</v>
      </c>
      <c r="D119" s="700"/>
      <c r="E119" s="255"/>
      <c r="F119" s="257"/>
      <c r="G119" s="257"/>
      <c r="H119" s="290"/>
      <c r="I119" s="290"/>
      <c r="J119" s="290"/>
      <c r="K119" s="290"/>
      <c r="L119" s="290"/>
      <c r="M119" s="290"/>
      <c r="N119" s="290"/>
      <c r="O119" s="247"/>
      <c r="P119" s="272">
        <f>SUM(H119:O119)</f>
        <v>0</v>
      </c>
    </row>
    <row r="120" spans="2:16" x14ac:dyDescent="0.25">
      <c r="B120" s="366"/>
      <c r="C120" s="700" t="s">
        <v>246</v>
      </c>
      <c r="D120" s="700"/>
      <c r="E120" s="255"/>
      <c r="F120" s="257"/>
      <c r="G120" s="257"/>
      <c r="H120" s="290"/>
      <c r="I120" s="290"/>
      <c r="J120" s="290"/>
      <c r="K120" s="290"/>
      <c r="L120" s="290"/>
      <c r="M120" s="290"/>
      <c r="N120" s="290"/>
      <c r="O120" s="247"/>
      <c r="P120" s="272">
        <f>SUM(H120:O120)</f>
        <v>0</v>
      </c>
    </row>
    <row r="121" spans="2:16" x14ac:dyDescent="0.25">
      <c r="B121" s="366"/>
      <c r="C121" s="700" t="s">
        <v>247</v>
      </c>
      <c r="D121" s="700"/>
      <c r="E121" s="255"/>
      <c r="F121" s="257"/>
      <c r="G121" s="257"/>
      <c r="H121" s="363">
        <f>'5.  2015 LRAM'!H126*H116</f>
        <v>3262.3064360106205</v>
      </c>
      <c r="I121" s="363">
        <f>'5.  2015 LRAM'!I126*I116</f>
        <v>4335.3209382919258</v>
      </c>
      <c r="J121" s="363">
        <f>'5.  2015 LRAM'!J126*J116</f>
        <v>0</v>
      </c>
      <c r="K121" s="363">
        <f>'5.  2015 LRAM'!K126*K116</f>
        <v>0</v>
      </c>
      <c r="L121" s="363">
        <f>'5.  2015 LRAM'!L126*L116</f>
        <v>0</v>
      </c>
      <c r="M121" s="363">
        <f>'5.  2015 LRAM'!M126*M116</f>
        <v>0</v>
      </c>
      <c r="N121" s="363">
        <f>'5.  2015 LRAM'!N126*N116</f>
        <v>0</v>
      </c>
      <c r="O121" s="247"/>
      <c r="P121" s="272">
        <f t="shared" ref="P121:P122" si="2">SUM(H121:O121)</f>
        <v>7597.6273743025467</v>
      </c>
    </row>
    <row r="122" spans="2:16" x14ac:dyDescent="0.25">
      <c r="B122" s="366"/>
      <c r="C122" s="700" t="s">
        <v>253</v>
      </c>
      <c r="D122" s="700"/>
      <c r="E122" s="255"/>
      <c r="F122" s="257"/>
      <c r="G122" s="257"/>
      <c r="H122" s="363">
        <f>H111*H116</f>
        <v>0</v>
      </c>
      <c r="I122" s="363">
        <f>I111*I116</f>
        <v>0</v>
      </c>
      <c r="J122" s="363">
        <f>J112*J116</f>
        <v>0</v>
      </c>
      <c r="K122" s="363">
        <f>K112*K116</f>
        <v>0</v>
      </c>
      <c r="L122" s="363">
        <f>L112*L116</f>
        <v>0</v>
      </c>
      <c r="M122" s="363">
        <f>M112*M116</f>
        <v>0</v>
      </c>
      <c r="N122" s="363">
        <f>N111*N116</f>
        <v>0</v>
      </c>
      <c r="O122" s="247"/>
      <c r="P122" s="272">
        <f t="shared" si="2"/>
        <v>0</v>
      </c>
    </row>
    <row r="123" spans="2:16" x14ac:dyDescent="0.25">
      <c r="B123" s="270"/>
      <c r="C123" s="364" t="s">
        <v>248</v>
      </c>
      <c r="D123" s="255"/>
      <c r="E123" s="255"/>
      <c r="F123" s="253"/>
      <c r="G123" s="253"/>
      <c r="H123" s="259">
        <f t="shared" ref="H123:N123" si="3">SUM(H117:H122)</f>
        <v>3262.3064360106205</v>
      </c>
      <c r="I123" s="259">
        <f t="shared" si="3"/>
        <v>4335.3209382919258</v>
      </c>
      <c r="J123" s="259">
        <f t="shared" si="3"/>
        <v>0</v>
      </c>
      <c r="K123" s="259">
        <f t="shared" si="3"/>
        <v>0</v>
      </c>
      <c r="L123" s="259">
        <f t="shared" si="3"/>
        <v>0</v>
      </c>
      <c r="M123" s="259">
        <f t="shared" si="3"/>
        <v>0</v>
      </c>
      <c r="N123" s="259">
        <f t="shared" si="3"/>
        <v>0</v>
      </c>
      <c r="O123" s="255"/>
      <c r="P123" s="273">
        <f>SUM(P117:P122)</f>
        <v>7597.6273743025467</v>
      </c>
    </row>
    <row r="124" spans="2:16" x14ac:dyDescent="0.25">
      <c r="B124" s="270"/>
      <c r="C124" s="364"/>
      <c r="D124" s="255"/>
      <c r="E124" s="255"/>
      <c r="F124" s="253"/>
      <c r="G124" s="253"/>
      <c r="H124" s="259"/>
      <c r="I124" s="259"/>
      <c r="J124" s="259"/>
      <c r="K124" s="259"/>
      <c r="L124" s="259"/>
      <c r="M124" s="259"/>
      <c r="N124" s="259"/>
      <c r="O124" s="255"/>
      <c r="P124" s="273"/>
    </row>
    <row r="125" spans="2:16" x14ac:dyDescent="0.25">
      <c r="B125" s="397"/>
      <c r="C125" s="700" t="s">
        <v>249</v>
      </c>
      <c r="D125" s="700"/>
      <c r="E125" s="389"/>
      <c r="F125" s="154"/>
      <c r="G125" s="154"/>
      <c r="H125" s="290" t="e">
        <f>H111*'6.  Persistence Rates'!$F$45</f>
        <v>#DIV/0!</v>
      </c>
      <c r="I125" s="290" t="e">
        <f>I111*'6.  Persistence Rates'!$F$45</f>
        <v>#DIV/0!</v>
      </c>
      <c r="J125" s="290" t="e">
        <f>J112*'6.  Persistence Rates'!S$45</f>
        <v>#DIV/0!</v>
      </c>
      <c r="K125" s="290" t="e">
        <f>K112*'6.  Persistence Rates'!$S$45</f>
        <v>#DIV/0!</v>
      </c>
      <c r="L125" s="290">
        <f>L112*'6.  Persistence Rates'!$R$44</f>
        <v>0</v>
      </c>
      <c r="M125" s="290">
        <f>M112*'6.  Persistence Rates'!$R$44</f>
        <v>0</v>
      </c>
      <c r="N125" s="290" t="e">
        <f>N111*'6.  Persistence Rates'!$F$45</f>
        <v>#DIV/0!</v>
      </c>
      <c r="O125" s="154"/>
      <c r="P125" s="336"/>
    </row>
    <row r="126" spans="2:16" x14ac:dyDescent="0.25">
      <c r="B126" s="397"/>
      <c r="C126" s="700" t="s">
        <v>250</v>
      </c>
      <c r="D126" s="700"/>
      <c r="E126" s="389"/>
      <c r="F126" s="154"/>
      <c r="G126" s="154"/>
      <c r="H126" s="290" t="e">
        <f>H111*'6.  Persistence Rates'!$G$45</f>
        <v>#DIV/0!</v>
      </c>
      <c r="I126" s="290" t="e">
        <f>I111*'6.  Persistence Rates'!$G$45</f>
        <v>#DIV/0!</v>
      </c>
      <c r="J126" s="290" t="e">
        <f>$J$113*'6.  Persistence Rates'!$T$45</f>
        <v>#DIV/0!</v>
      </c>
      <c r="K126" s="290" t="e">
        <f>$K$113*'6.  Persistence Rates'!$T$45</f>
        <v>#DIV/0!</v>
      </c>
      <c r="L126" s="290"/>
      <c r="M126" s="290"/>
      <c r="N126" s="290"/>
      <c r="O126" s="154"/>
      <c r="P126" s="336"/>
    </row>
    <row r="127" spans="2:16" x14ac:dyDescent="0.25">
      <c r="B127" s="397"/>
      <c r="C127" s="700" t="s">
        <v>251</v>
      </c>
      <c r="D127" s="700"/>
      <c r="E127" s="389"/>
      <c r="F127" s="154"/>
      <c r="G127" s="154"/>
      <c r="H127" s="290" t="e">
        <f>H111*'6.  Persistence Rates'!$H$45</f>
        <v>#DIV/0!</v>
      </c>
      <c r="I127" s="290" t="e">
        <f>I111*'6.  Persistence Rates'!$H$45</f>
        <v>#DIV/0!</v>
      </c>
      <c r="J127" s="290" t="e">
        <f>$J$113*'6.  Persistence Rates'!$U$45</f>
        <v>#DIV/0!</v>
      </c>
      <c r="K127" s="290" t="e">
        <f>$K$113*'6.  Persistence Rates'!$U$45</f>
        <v>#DIV/0!</v>
      </c>
      <c r="L127" s="290"/>
      <c r="M127" s="290"/>
      <c r="N127" s="290"/>
      <c r="O127" s="154"/>
      <c r="P127" s="336"/>
    </row>
    <row r="128" spans="2:16" x14ac:dyDescent="0.25">
      <c r="B128" s="398"/>
      <c r="C128" s="728" t="s">
        <v>252</v>
      </c>
      <c r="D128" s="728"/>
      <c r="E128" s="399"/>
      <c r="F128" s="317"/>
      <c r="G128" s="317"/>
      <c r="H128" s="290" t="e">
        <f>H111*'6.  Persistence Rates'!$I$45</f>
        <v>#DIV/0!</v>
      </c>
      <c r="I128" s="290" t="e">
        <f>I111*'6.  Persistence Rates'!$I$45</f>
        <v>#DIV/0!</v>
      </c>
      <c r="J128" s="290" t="e">
        <f>$J$113*'6.  Persistence Rates'!$V$45</f>
        <v>#DIV/0!</v>
      </c>
      <c r="K128" s="290" t="e">
        <f>$K$113*'6.  Persistence Rates'!$V$45</f>
        <v>#DIV/0!</v>
      </c>
      <c r="L128" s="290"/>
      <c r="M128" s="290"/>
      <c r="N128" s="290"/>
      <c r="O128" s="317"/>
      <c r="P128" s="382"/>
    </row>
    <row r="129" spans="2:16" x14ac:dyDescent="0.25">
      <c r="B129" s="68"/>
      <c r="C129" s="411"/>
      <c r="D129" s="412"/>
      <c r="E129" s="412"/>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726" t="s">
        <v>267</v>
      </c>
      <c r="C2" s="726"/>
      <c r="D2" s="726"/>
      <c r="E2" s="726"/>
      <c r="F2" s="726"/>
      <c r="G2" s="726"/>
      <c r="H2" s="726"/>
      <c r="I2" s="726"/>
      <c r="J2" s="726"/>
      <c r="K2" s="726"/>
      <c r="L2" s="726"/>
      <c r="M2" s="726"/>
      <c r="N2" s="726"/>
      <c r="O2" s="726"/>
      <c r="P2" s="726"/>
    </row>
    <row r="3" spans="1:18" ht="18.75" outlineLevel="1" x14ac:dyDescent="0.3">
      <c r="B3" s="375"/>
      <c r="C3" s="375"/>
      <c r="D3" s="375"/>
      <c r="E3" s="375"/>
      <c r="F3" s="375"/>
      <c r="G3" s="375"/>
      <c r="H3" s="375"/>
      <c r="I3" s="375"/>
      <c r="J3" s="375"/>
      <c r="K3" s="375"/>
      <c r="L3" s="375"/>
      <c r="M3" s="375"/>
      <c r="N3" s="375"/>
      <c r="O3" s="375"/>
      <c r="P3" s="375"/>
    </row>
    <row r="4" spans="1:18" ht="35.25" customHeight="1" outlineLevel="1" x14ac:dyDescent="0.3">
      <c r="A4" s="65"/>
      <c r="B4" s="375"/>
      <c r="C4" s="354" t="s">
        <v>399</v>
      </c>
      <c r="D4" s="375"/>
      <c r="E4" s="680" t="s">
        <v>362</v>
      </c>
      <c r="F4" s="680"/>
      <c r="G4" s="680"/>
      <c r="H4" s="680"/>
      <c r="I4" s="680"/>
      <c r="J4" s="680"/>
      <c r="K4" s="680"/>
      <c r="L4" s="680"/>
      <c r="M4" s="680"/>
      <c r="N4" s="680"/>
      <c r="O4" s="680"/>
      <c r="P4" s="680"/>
    </row>
    <row r="5" spans="1:18" ht="18.75" customHeight="1" outlineLevel="1" x14ac:dyDescent="0.3">
      <c r="B5" s="375"/>
      <c r="C5" s="376"/>
      <c r="D5" s="375"/>
      <c r="E5" s="357" t="s">
        <v>356</v>
      </c>
      <c r="F5" s="375"/>
      <c r="G5" s="375"/>
      <c r="H5" s="375"/>
      <c r="I5" s="375"/>
      <c r="J5" s="375"/>
      <c r="K5" s="375"/>
      <c r="L5" s="375"/>
      <c r="M5" s="375"/>
      <c r="N5" s="375"/>
      <c r="O5" s="375"/>
      <c r="P5" s="375"/>
    </row>
    <row r="6" spans="1:18" ht="18.75" customHeight="1" outlineLevel="1" x14ac:dyDescent="0.3">
      <c r="B6" s="375"/>
      <c r="C6" s="376"/>
      <c r="D6" s="375"/>
      <c r="E6" s="357" t="s">
        <v>357</v>
      </c>
      <c r="F6" s="375"/>
      <c r="G6" s="375"/>
      <c r="H6" s="375"/>
      <c r="I6" s="375"/>
      <c r="J6" s="375"/>
      <c r="K6" s="375"/>
      <c r="L6" s="375"/>
      <c r="M6" s="375"/>
      <c r="N6" s="375"/>
      <c r="O6" s="375"/>
      <c r="P6" s="375"/>
    </row>
    <row r="7" spans="1:18" ht="18.75" customHeight="1" outlineLevel="1" x14ac:dyDescent="0.3">
      <c r="B7" s="375"/>
      <c r="C7" s="376"/>
      <c r="D7" s="375"/>
      <c r="E7" s="357" t="s">
        <v>416</v>
      </c>
      <c r="F7" s="375"/>
      <c r="G7" s="375"/>
      <c r="H7" s="375"/>
      <c r="I7" s="375"/>
      <c r="J7" s="375"/>
      <c r="K7" s="375"/>
      <c r="L7" s="375"/>
      <c r="M7" s="375"/>
      <c r="N7" s="375"/>
      <c r="O7" s="375"/>
      <c r="P7" s="375"/>
    </row>
    <row r="8" spans="1:18" ht="18.75" customHeight="1" outlineLevel="1" x14ac:dyDescent="0.3">
      <c r="B8" s="375"/>
      <c r="C8" s="376"/>
      <c r="D8" s="375"/>
      <c r="E8" s="357"/>
      <c r="F8" s="375"/>
      <c r="G8" s="375"/>
      <c r="H8" s="375"/>
      <c r="I8" s="375"/>
      <c r="J8" s="375"/>
      <c r="K8" s="375"/>
      <c r="L8" s="375"/>
      <c r="M8" s="375"/>
      <c r="N8" s="375"/>
      <c r="O8" s="375"/>
      <c r="P8" s="375"/>
    </row>
    <row r="9" spans="1:18" ht="18.75" customHeight="1" outlineLevel="1" x14ac:dyDescent="0.3">
      <c r="B9" s="63"/>
      <c r="C9" s="84" t="s">
        <v>337</v>
      </c>
      <c r="D9" s="63"/>
      <c r="E9" s="727" t="s">
        <v>363</v>
      </c>
      <c r="F9" s="727"/>
      <c r="G9" s="63"/>
      <c r="H9" s="63"/>
      <c r="I9" s="63"/>
      <c r="J9" s="63"/>
      <c r="K9" s="63"/>
      <c r="L9" s="63"/>
      <c r="M9" s="63"/>
      <c r="N9" s="63"/>
      <c r="O9" s="63"/>
      <c r="P9" s="63"/>
      <c r="R9" s="82"/>
    </row>
    <row r="10" spans="1:18" ht="18.75" customHeight="1" outlineLevel="1" x14ac:dyDescent="0.3">
      <c r="B10" s="63"/>
      <c r="C10" s="63"/>
      <c r="D10" s="63"/>
      <c r="E10" s="662" t="s">
        <v>338</v>
      </c>
      <c r="F10" s="662"/>
      <c r="G10" s="63"/>
      <c r="H10" s="63"/>
      <c r="I10" s="63"/>
      <c r="J10" s="63"/>
      <c r="K10" s="63"/>
      <c r="L10" s="63"/>
      <c r="M10" s="63"/>
      <c r="N10" s="63"/>
      <c r="O10" s="63"/>
      <c r="P10" s="63"/>
    </row>
    <row r="11" spans="1:18" ht="18.75" customHeight="1" x14ac:dyDescent="0.3">
      <c r="B11" s="63"/>
      <c r="C11" s="63"/>
      <c r="D11" s="63"/>
      <c r="E11" s="135"/>
      <c r="G11" s="63"/>
      <c r="H11" s="63"/>
      <c r="I11" s="63"/>
      <c r="J11" s="63"/>
      <c r="K11" s="63"/>
      <c r="L11" s="63"/>
      <c r="M11" s="63"/>
      <c r="N11" s="63"/>
      <c r="O11" s="63"/>
      <c r="P11" s="63"/>
    </row>
    <row r="12" spans="1:18" ht="18.75" x14ac:dyDescent="0.3">
      <c r="B12" s="186" t="s">
        <v>474</v>
      </c>
      <c r="C12" s="46"/>
      <c r="D12" s="46"/>
      <c r="E12" s="46"/>
      <c r="F12" s="46"/>
      <c r="G12" s="46"/>
      <c r="H12" s="46"/>
      <c r="I12" s="46"/>
      <c r="J12" s="46"/>
      <c r="K12" s="46"/>
      <c r="L12" s="46"/>
      <c r="M12" s="46"/>
      <c r="N12" s="46"/>
      <c r="O12" s="46"/>
      <c r="P12" s="46"/>
    </row>
    <row r="13" spans="1:18" ht="45" x14ac:dyDescent="0.25">
      <c r="B13" s="730" t="s">
        <v>58</v>
      </c>
      <c r="C13" s="732" t="s">
        <v>0</v>
      </c>
      <c r="D13" s="732" t="s">
        <v>44</v>
      </c>
      <c r="E13" s="732" t="s">
        <v>206</v>
      </c>
      <c r="F13" s="232" t="s">
        <v>203</v>
      </c>
      <c r="G13" s="232" t="s">
        <v>45</v>
      </c>
      <c r="H13" s="734" t="s">
        <v>59</v>
      </c>
      <c r="I13" s="734"/>
      <c r="J13" s="734"/>
      <c r="K13" s="734"/>
      <c r="L13" s="734"/>
      <c r="M13" s="734"/>
      <c r="N13" s="734"/>
      <c r="O13" s="734"/>
      <c r="P13" s="735"/>
    </row>
    <row r="14" spans="1:18" ht="60" x14ac:dyDescent="0.25">
      <c r="B14" s="731"/>
      <c r="C14" s="733"/>
      <c r="D14" s="733"/>
      <c r="E14" s="733"/>
      <c r="F14" s="409" t="s">
        <v>214</v>
      </c>
      <c r="G14" s="409" t="s">
        <v>215</v>
      </c>
      <c r="H14" s="410" t="s">
        <v>37</v>
      </c>
      <c r="I14" s="410" t="s">
        <v>39</v>
      </c>
      <c r="J14" s="410" t="s">
        <v>107</v>
      </c>
      <c r="K14" s="410" t="s">
        <v>108</v>
      </c>
      <c r="L14" s="410" t="s">
        <v>40</v>
      </c>
      <c r="M14" s="410" t="s">
        <v>41</v>
      </c>
      <c r="N14" s="410" t="s">
        <v>42</v>
      </c>
      <c r="O14" s="410" t="s">
        <v>104</v>
      </c>
      <c r="P14" s="413" t="s">
        <v>34</v>
      </c>
    </row>
    <row r="15" spans="1:18" ht="29.25" customHeight="1" x14ac:dyDescent="0.25">
      <c r="B15" s="738" t="s">
        <v>142</v>
      </c>
      <c r="C15" s="739"/>
      <c r="D15" s="739"/>
      <c r="E15" s="739"/>
      <c r="F15" s="739"/>
      <c r="G15" s="739"/>
      <c r="H15" s="739"/>
      <c r="I15" s="739"/>
      <c r="J15" s="739"/>
      <c r="K15" s="739"/>
      <c r="L15" s="739"/>
      <c r="M15" s="739"/>
      <c r="N15" s="739"/>
      <c r="O15" s="739"/>
      <c r="P15" s="740"/>
    </row>
    <row r="16" spans="1:18" ht="26.25" customHeight="1" x14ac:dyDescent="0.25">
      <c r="A16" s="50"/>
      <c r="B16" s="741" t="s">
        <v>143</v>
      </c>
      <c r="C16" s="742"/>
      <c r="D16" s="742"/>
      <c r="E16" s="742"/>
      <c r="F16" s="742"/>
      <c r="G16" s="742"/>
      <c r="H16" s="742"/>
      <c r="I16" s="742"/>
      <c r="J16" s="742"/>
      <c r="K16" s="742"/>
      <c r="L16" s="742"/>
      <c r="M16" s="742"/>
      <c r="N16" s="742"/>
      <c r="O16" s="742"/>
      <c r="P16" s="743"/>
    </row>
    <row r="17" spans="1:16" x14ac:dyDescent="0.25">
      <c r="A17" s="50"/>
      <c r="B17" s="403">
        <v>1</v>
      </c>
      <c r="C17" s="388" t="s">
        <v>144</v>
      </c>
      <c r="D17" s="247" t="s">
        <v>33</v>
      </c>
      <c r="E17" s="389"/>
      <c r="F17" s="290"/>
      <c r="G17" s="290"/>
      <c r="H17" s="400">
        <v>1</v>
      </c>
      <c r="I17" s="390"/>
      <c r="J17" s="390"/>
      <c r="K17" s="390"/>
      <c r="L17" s="390"/>
      <c r="M17" s="390"/>
      <c r="N17" s="390"/>
      <c r="O17" s="390"/>
      <c r="P17" s="404">
        <f>SUM(H17:O17)</f>
        <v>1</v>
      </c>
    </row>
    <row r="18" spans="1:16" x14ac:dyDescent="0.25">
      <c r="A18" s="47"/>
      <c r="B18" s="403">
        <v>2</v>
      </c>
      <c r="C18" s="388" t="s">
        <v>145</v>
      </c>
      <c r="D18" s="247" t="s">
        <v>33</v>
      </c>
      <c r="E18" s="391"/>
      <c r="F18" s="290"/>
      <c r="G18" s="290"/>
      <c r="H18" s="400">
        <v>1</v>
      </c>
      <c r="I18" s="390"/>
      <c r="J18" s="390"/>
      <c r="K18" s="390"/>
      <c r="L18" s="390"/>
      <c r="M18" s="390"/>
      <c r="N18" s="390"/>
      <c r="O18" s="390"/>
      <c r="P18" s="404">
        <f t="shared" ref="P18:P80" si="0">SUM(H18:O18)</f>
        <v>1</v>
      </c>
    </row>
    <row r="19" spans="1:16" x14ac:dyDescent="0.25">
      <c r="A19" s="50"/>
      <c r="B19" s="403">
        <v>3</v>
      </c>
      <c r="C19" s="388" t="s">
        <v>146</v>
      </c>
      <c r="D19" s="247" t="s">
        <v>33</v>
      </c>
      <c r="E19" s="391"/>
      <c r="F19" s="290"/>
      <c r="G19" s="290"/>
      <c r="H19" s="400">
        <v>1</v>
      </c>
      <c r="I19" s="390"/>
      <c r="J19" s="390"/>
      <c r="K19" s="390"/>
      <c r="L19" s="390"/>
      <c r="M19" s="390"/>
      <c r="N19" s="390"/>
      <c r="O19" s="390"/>
      <c r="P19" s="404">
        <f t="shared" si="0"/>
        <v>1</v>
      </c>
    </row>
    <row r="20" spans="1:16" x14ac:dyDescent="0.25">
      <c r="A20" s="50"/>
      <c r="B20" s="403">
        <v>4</v>
      </c>
      <c r="C20" s="388" t="s">
        <v>147</v>
      </c>
      <c r="D20" s="247" t="s">
        <v>33</v>
      </c>
      <c r="E20" s="391"/>
      <c r="F20" s="290"/>
      <c r="G20" s="290"/>
      <c r="H20" s="400">
        <v>1</v>
      </c>
      <c r="I20" s="390"/>
      <c r="J20" s="390"/>
      <c r="K20" s="390"/>
      <c r="L20" s="390"/>
      <c r="M20" s="390"/>
      <c r="N20" s="390"/>
      <c r="O20" s="390"/>
      <c r="P20" s="404">
        <f t="shared" si="0"/>
        <v>1</v>
      </c>
    </row>
    <row r="21" spans="1:16" x14ac:dyDescent="0.25">
      <c r="A21" s="50"/>
      <c r="B21" s="403">
        <v>5</v>
      </c>
      <c r="C21" s="388" t="s">
        <v>148</v>
      </c>
      <c r="D21" s="247" t="s">
        <v>33</v>
      </c>
      <c r="E21" s="391"/>
      <c r="F21" s="290"/>
      <c r="G21" s="290"/>
      <c r="H21" s="400">
        <v>1</v>
      </c>
      <c r="I21" s="390"/>
      <c r="J21" s="390"/>
      <c r="K21" s="390"/>
      <c r="L21" s="390"/>
      <c r="M21" s="390"/>
      <c r="N21" s="390"/>
      <c r="O21" s="390"/>
      <c r="P21" s="404">
        <f t="shared" si="0"/>
        <v>1</v>
      </c>
    </row>
    <row r="22" spans="1:16" ht="28.5" x14ac:dyDescent="0.25">
      <c r="A22" s="50"/>
      <c r="B22" s="403">
        <v>6</v>
      </c>
      <c r="C22" s="388" t="s">
        <v>149</v>
      </c>
      <c r="D22" s="247" t="s">
        <v>33</v>
      </c>
      <c r="E22" s="391"/>
      <c r="F22" s="290"/>
      <c r="G22" s="290"/>
      <c r="H22" s="400">
        <v>1</v>
      </c>
      <c r="I22" s="390"/>
      <c r="J22" s="390"/>
      <c r="K22" s="390"/>
      <c r="L22" s="390"/>
      <c r="M22" s="390"/>
      <c r="N22" s="390"/>
      <c r="O22" s="390"/>
      <c r="P22" s="404">
        <f t="shared" si="0"/>
        <v>1</v>
      </c>
    </row>
    <row r="23" spans="1:16" x14ac:dyDescent="0.25">
      <c r="A23" s="50"/>
      <c r="B23" s="405" t="s">
        <v>268</v>
      </c>
      <c r="C23" s="388"/>
      <c r="D23" s="247" t="s">
        <v>254</v>
      </c>
      <c r="E23" s="391"/>
      <c r="F23" s="290"/>
      <c r="G23" s="290"/>
      <c r="H23" s="400"/>
      <c r="I23" s="390"/>
      <c r="J23" s="390"/>
      <c r="K23" s="390"/>
      <c r="L23" s="390"/>
      <c r="M23" s="390"/>
      <c r="N23" s="390"/>
      <c r="O23" s="390"/>
      <c r="P23" s="404">
        <f t="shared" si="0"/>
        <v>0</v>
      </c>
    </row>
    <row r="24" spans="1:16" x14ac:dyDescent="0.25">
      <c r="A24" s="50"/>
      <c r="B24" s="403"/>
      <c r="C24" s="698"/>
      <c r="D24" s="698"/>
      <c r="E24" s="261"/>
      <c r="F24" s="290"/>
      <c r="G24" s="290"/>
      <c r="H24" s="400"/>
      <c r="I24" s="390"/>
      <c r="J24" s="390"/>
      <c r="K24" s="390"/>
      <c r="L24" s="390"/>
      <c r="M24" s="390"/>
      <c r="N24" s="390"/>
      <c r="O24" s="390"/>
      <c r="P24" s="404">
        <f t="shared" si="0"/>
        <v>0</v>
      </c>
    </row>
    <row r="25" spans="1:16" x14ac:dyDescent="0.25">
      <c r="A25" s="50"/>
      <c r="B25" s="403"/>
      <c r="C25" s="698"/>
      <c r="D25" s="698"/>
      <c r="E25" s="261"/>
      <c r="F25" s="290"/>
      <c r="G25" s="290"/>
      <c r="H25" s="400"/>
      <c r="I25" s="390"/>
      <c r="J25" s="390"/>
      <c r="K25" s="390"/>
      <c r="L25" s="390"/>
      <c r="M25" s="390"/>
      <c r="N25" s="390"/>
      <c r="O25" s="390"/>
      <c r="P25" s="404">
        <f t="shared" si="0"/>
        <v>0</v>
      </c>
    </row>
    <row r="26" spans="1:16" x14ac:dyDescent="0.25">
      <c r="A26" s="50"/>
      <c r="B26" s="403"/>
      <c r="C26" s="698"/>
      <c r="D26" s="698"/>
      <c r="E26" s="261"/>
      <c r="F26" s="290"/>
      <c r="G26" s="290"/>
      <c r="H26" s="400"/>
      <c r="I26" s="390"/>
      <c r="J26" s="390"/>
      <c r="K26" s="390"/>
      <c r="L26" s="390"/>
      <c r="M26" s="390"/>
      <c r="N26" s="390"/>
      <c r="O26" s="390"/>
      <c r="P26" s="404">
        <f t="shared" si="0"/>
        <v>0</v>
      </c>
    </row>
    <row r="27" spans="1:16" ht="25.5" customHeight="1" x14ac:dyDescent="0.25">
      <c r="A27" s="50"/>
      <c r="B27" s="741" t="s">
        <v>150</v>
      </c>
      <c r="C27" s="742"/>
      <c r="D27" s="742"/>
      <c r="E27" s="742"/>
      <c r="F27" s="742"/>
      <c r="G27" s="742"/>
      <c r="H27" s="742"/>
      <c r="I27" s="742"/>
      <c r="J27" s="742"/>
      <c r="K27" s="742"/>
      <c r="L27" s="742"/>
      <c r="M27" s="742"/>
      <c r="N27" s="742"/>
      <c r="O27" s="742"/>
      <c r="P27" s="743"/>
    </row>
    <row r="28" spans="1:16" x14ac:dyDescent="0.25">
      <c r="A28" s="50"/>
      <c r="B28" s="403">
        <v>7</v>
      </c>
      <c r="C28" s="388" t="s">
        <v>151</v>
      </c>
      <c r="D28" s="247" t="s">
        <v>33</v>
      </c>
      <c r="E28" s="391">
        <v>12</v>
      </c>
      <c r="F28" s="290"/>
      <c r="G28" s="290">
        <v>50</v>
      </c>
      <c r="H28" s="390"/>
      <c r="I28" s="400">
        <v>0.2</v>
      </c>
      <c r="J28" s="400">
        <v>0.5</v>
      </c>
      <c r="K28" s="400">
        <v>0.3</v>
      </c>
      <c r="L28" s="390"/>
      <c r="M28" s="390"/>
      <c r="N28" s="390"/>
      <c r="O28" s="390"/>
      <c r="P28" s="404">
        <f t="shared" si="0"/>
        <v>1</v>
      </c>
    </row>
    <row r="29" spans="1:16" ht="28.5" x14ac:dyDescent="0.25">
      <c r="A29" s="50"/>
      <c r="B29" s="403">
        <v>8</v>
      </c>
      <c r="C29" s="388" t="s">
        <v>152</v>
      </c>
      <c r="D29" s="247" t="s">
        <v>33</v>
      </c>
      <c r="E29" s="391">
        <v>12</v>
      </c>
      <c r="F29" s="290"/>
      <c r="G29" s="290"/>
      <c r="H29" s="390"/>
      <c r="I29" s="400">
        <v>0.8</v>
      </c>
      <c r="J29" s="400">
        <v>0.2</v>
      </c>
      <c r="K29" s="390"/>
      <c r="L29" s="390"/>
      <c r="M29" s="390"/>
      <c r="N29" s="390"/>
      <c r="O29" s="390"/>
      <c r="P29" s="404">
        <f t="shared" si="0"/>
        <v>1</v>
      </c>
    </row>
    <row r="30" spans="1:16" ht="28.5" x14ac:dyDescent="0.25">
      <c r="A30" s="50"/>
      <c r="B30" s="403">
        <v>9</v>
      </c>
      <c r="C30" s="388" t="s">
        <v>153</v>
      </c>
      <c r="D30" s="247" t="s">
        <v>33</v>
      </c>
      <c r="E30" s="391">
        <v>12</v>
      </c>
      <c r="F30" s="290"/>
      <c r="G30" s="290"/>
      <c r="H30" s="390"/>
      <c r="I30" s="400">
        <v>0.5</v>
      </c>
      <c r="J30" s="400">
        <v>0.5</v>
      </c>
      <c r="K30" s="390"/>
      <c r="L30" s="390"/>
      <c r="M30" s="390"/>
      <c r="N30" s="390"/>
      <c r="O30" s="390"/>
      <c r="P30" s="404">
        <f t="shared" si="0"/>
        <v>1</v>
      </c>
    </row>
    <row r="31" spans="1:16" ht="28.5" x14ac:dyDescent="0.25">
      <c r="A31" s="50"/>
      <c r="B31" s="403">
        <v>10</v>
      </c>
      <c r="C31" s="388" t="s">
        <v>154</v>
      </c>
      <c r="D31" s="247" t="s">
        <v>33</v>
      </c>
      <c r="E31" s="391">
        <v>12</v>
      </c>
      <c r="F31" s="290"/>
      <c r="G31" s="290"/>
      <c r="H31" s="390"/>
      <c r="I31" s="400">
        <v>1</v>
      </c>
      <c r="J31" s="390"/>
      <c r="K31" s="390"/>
      <c r="L31" s="390"/>
      <c r="M31" s="390"/>
      <c r="N31" s="390"/>
      <c r="O31" s="390"/>
      <c r="P31" s="404">
        <f t="shared" si="0"/>
        <v>1</v>
      </c>
    </row>
    <row r="32" spans="1:16" ht="28.5" x14ac:dyDescent="0.25">
      <c r="A32" s="50"/>
      <c r="B32" s="403">
        <v>11</v>
      </c>
      <c r="C32" s="388" t="s">
        <v>155</v>
      </c>
      <c r="D32" s="247" t="s">
        <v>33</v>
      </c>
      <c r="E32" s="391">
        <v>3</v>
      </c>
      <c r="F32" s="290"/>
      <c r="G32" s="290"/>
      <c r="H32" s="390"/>
      <c r="I32" s="390"/>
      <c r="J32" s="400">
        <v>1</v>
      </c>
      <c r="K32" s="390"/>
      <c r="L32" s="390"/>
      <c r="M32" s="390"/>
      <c r="N32" s="390"/>
      <c r="O32" s="390"/>
      <c r="P32" s="404">
        <f t="shared" si="0"/>
        <v>1</v>
      </c>
    </row>
    <row r="33" spans="1:16" x14ac:dyDescent="0.25">
      <c r="A33" s="50"/>
      <c r="B33" s="405" t="s">
        <v>268</v>
      </c>
      <c r="C33" s="388"/>
      <c r="D33" s="247" t="s">
        <v>254</v>
      </c>
      <c r="E33" s="391"/>
      <c r="F33" s="290"/>
      <c r="G33" s="290"/>
      <c r="H33" s="390"/>
      <c r="I33" s="390"/>
      <c r="J33" s="390"/>
      <c r="K33" s="390"/>
      <c r="L33" s="390"/>
      <c r="M33" s="390"/>
      <c r="N33" s="390"/>
      <c r="O33" s="390"/>
      <c r="P33" s="404">
        <f t="shared" si="0"/>
        <v>0</v>
      </c>
    </row>
    <row r="34" spans="1:16" x14ac:dyDescent="0.25">
      <c r="A34" s="50"/>
      <c r="B34" s="403"/>
      <c r="C34" s="698"/>
      <c r="D34" s="698"/>
      <c r="E34" s="261"/>
      <c r="F34" s="290"/>
      <c r="G34" s="290"/>
      <c r="H34" s="390"/>
      <c r="I34" s="390"/>
      <c r="J34" s="390"/>
      <c r="K34" s="390"/>
      <c r="L34" s="390"/>
      <c r="M34" s="390"/>
      <c r="N34" s="390"/>
      <c r="O34" s="390"/>
      <c r="P34" s="404">
        <f t="shared" si="0"/>
        <v>0</v>
      </c>
    </row>
    <row r="35" spans="1:16" x14ac:dyDescent="0.25">
      <c r="A35" s="50"/>
      <c r="B35" s="403"/>
      <c r="C35" s="698"/>
      <c r="D35" s="698"/>
      <c r="E35" s="261"/>
      <c r="F35" s="290"/>
      <c r="G35" s="290"/>
      <c r="H35" s="390"/>
      <c r="I35" s="390"/>
      <c r="J35" s="390"/>
      <c r="K35" s="390"/>
      <c r="L35" s="390"/>
      <c r="M35" s="390"/>
      <c r="N35" s="390"/>
      <c r="O35" s="390"/>
      <c r="P35" s="404">
        <f t="shared" si="0"/>
        <v>0</v>
      </c>
    </row>
    <row r="36" spans="1:16" x14ac:dyDescent="0.25">
      <c r="A36" s="50"/>
      <c r="B36" s="403"/>
      <c r="C36" s="698"/>
      <c r="D36" s="698"/>
      <c r="E36" s="261"/>
      <c r="F36" s="290"/>
      <c r="G36" s="290"/>
      <c r="H36" s="390"/>
      <c r="I36" s="390"/>
      <c r="J36" s="390"/>
      <c r="K36" s="390"/>
      <c r="L36" s="390"/>
      <c r="M36" s="390"/>
      <c r="N36" s="390"/>
      <c r="O36" s="390"/>
      <c r="P36" s="404">
        <f t="shared" si="0"/>
        <v>0</v>
      </c>
    </row>
    <row r="37" spans="1:16" ht="26.25" customHeight="1" x14ac:dyDescent="0.25">
      <c r="A37" s="50"/>
      <c r="B37" s="741" t="s">
        <v>11</v>
      </c>
      <c r="C37" s="742"/>
      <c r="D37" s="742"/>
      <c r="E37" s="742"/>
      <c r="F37" s="742"/>
      <c r="G37" s="742"/>
      <c r="H37" s="742"/>
      <c r="I37" s="742"/>
      <c r="J37" s="742"/>
      <c r="K37" s="742"/>
      <c r="L37" s="742"/>
      <c r="M37" s="742"/>
      <c r="N37" s="742"/>
      <c r="O37" s="742"/>
      <c r="P37" s="743"/>
    </row>
    <row r="38" spans="1:16" x14ac:dyDescent="0.25">
      <c r="A38" s="50"/>
      <c r="B38" s="405" t="s">
        <v>11</v>
      </c>
      <c r="C38" s="388"/>
      <c r="D38" s="391"/>
      <c r="E38" s="391"/>
      <c r="F38" s="290"/>
      <c r="G38" s="290"/>
      <c r="H38" s="395"/>
      <c r="I38" s="395"/>
      <c r="J38" s="395"/>
      <c r="K38" s="395"/>
      <c r="L38" s="395"/>
      <c r="M38" s="395"/>
      <c r="N38" s="395"/>
      <c r="O38" s="395"/>
      <c r="P38" s="404">
        <f t="shared" si="0"/>
        <v>0</v>
      </c>
    </row>
    <row r="39" spans="1:16" ht="28.5" x14ac:dyDescent="0.25">
      <c r="A39" s="50"/>
      <c r="B39" s="403">
        <v>12</v>
      </c>
      <c r="C39" s="388" t="s">
        <v>156</v>
      </c>
      <c r="D39" s="247" t="s">
        <v>33</v>
      </c>
      <c r="E39" s="391">
        <v>12</v>
      </c>
      <c r="F39" s="290"/>
      <c r="G39" s="290"/>
      <c r="H39" s="390"/>
      <c r="I39" s="390"/>
      <c r="J39" s="400">
        <v>1</v>
      </c>
      <c r="K39" s="390"/>
      <c r="L39" s="390"/>
      <c r="M39" s="390"/>
      <c r="N39" s="390"/>
      <c r="O39" s="390"/>
      <c r="P39" s="404">
        <f t="shared" si="0"/>
        <v>1</v>
      </c>
    </row>
    <row r="40" spans="1:16" ht="28.5" x14ac:dyDescent="0.25">
      <c r="A40" s="50"/>
      <c r="B40" s="403">
        <v>13</v>
      </c>
      <c r="C40" s="388" t="s">
        <v>157</v>
      </c>
      <c r="D40" s="247" t="s">
        <v>33</v>
      </c>
      <c r="E40" s="391">
        <v>12</v>
      </c>
      <c r="F40" s="290"/>
      <c r="G40" s="290"/>
      <c r="H40" s="390"/>
      <c r="I40" s="390"/>
      <c r="J40" s="400">
        <v>1</v>
      </c>
      <c r="K40" s="390"/>
      <c r="L40" s="390"/>
      <c r="M40" s="390"/>
      <c r="N40" s="390"/>
      <c r="O40" s="390"/>
      <c r="P40" s="404">
        <f t="shared" si="0"/>
        <v>1</v>
      </c>
    </row>
    <row r="41" spans="1:16" ht="28.5" x14ac:dyDescent="0.25">
      <c r="A41" s="50"/>
      <c r="B41" s="403">
        <v>14</v>
      </c>
      <c r="C41" s="388" t="s">
        <v>158</v>
      </c>
      <c r="D41" s="247" t="s">
        <v>33</v>
      </c>
      <c r="E41" s="391">
        <v>12</v>
      </c>
      <c r="F41" s="290"/>
      <c r="G41" s="290"/>
      <c r="H41" s="390"/>
      <c r="I41" s="390"/>
      <c r="J41" s="400">
        <v>1</v>
      </c>
      <c r="K41" s="390"/>
      <c r="L41" s="390"/>
      <c r="M41" s="390"/>
      <c r="N41" s="390"/>
      <c r="O41" s="390"/>
      <c r="P41" s="404">
        <f t="shared" si="0"/>
        <v>1</v>
      </c>
    </row>
    <row r="42" spans="1:16" x14ac:dyDescent="0.25">
      <c r="A42" s="50"/>
      <c r="B42" s="405" t="s">
        <v>268</v>
      </c>
      <c r="C42" s="388"/>
      <c r="D42" s="247" t="s">
        <v>254</v>
      </c>
      <c r="E42" s="391"/>
      <c r="F42" s="290"/>
      <c r="G42" s="290"/>
      <c r="H42" s="390"/>
      <c r="I42" s="390"/>
      <c r="J42" s="390"/>
      <c r="K42" s="390"/>
      <c r="L42" s="390"/>
      <c r="M42" s="390"/>
      <c r="N42" s="390"/>
      <c r="O42" s="390"/>
      <c r="P42" s="404">
        <f t="shared" si="0"/>
        <v>0</v>
      </c>
    </row>
    <row r="43" spans="1:16" x14ac:dyDescent="0.25">
      <c r="A43" s="50"/>
      <c r="B43" s="403"/>
      <c r="C43" s="698"/>
      <c r="D43" s="698"/>
      <c r="E43" s="261"/>
      <c r="F43" s="290"/>
      <c r="G43" s="290"/>
      <c r="H43" s="390"/>
      <c r="I43" s="390"/>
      <c r="J43" s="390"/>
      <c r="K43" s="390"/>
      <c r="L43" s="390"/>
      <c r="M43" s="390"/>
      <c r="N43" s="390"/>
      <c r="O43" s="390"/>
      <c r="P43" s="404">
        <f t="shared" si="0"/>
        <v>0</v>
      </c>
    </row>
    <row r="44" spans="1:16" x14ac:dyDescent="0.25">
      <c r="A44" s="50"/>
      <c r="B44" s="403"/>
      <c r="C44" s="698"/>
      <c r="D44" s="698"/>
      <c r="E44" s="261"/>
      <c r="F44" s="290"/>
      <c r="G44" s="290"/>
      <c r="H44" s="390"/>
      <c r="I44" s="390"/>
      <c r="J44" s="390"/>
      <c r="K44" s="390"/>
      <c r="L44" s="390"/>
      <c r="M44" s="390"/>
      <c r="N44" s="390"/>
      <c r="O44" s="390"/>
      <c r="P44" s="404">
        <f t="shared" si="0"/>
        <v>0</v>
      </c>
    </row>
    <row r="45" spans="1:16" x14ac:dyDescent="0.25">
      <c r="A45" s="50"/>
      <c r="B45" s="403"/>
      <c r="C45" s="698"/>
      <c r="D45" s="698"/>
      <c r="E45" s="261"/>
      <c r="F45" s="290"/>
      <c r="G45" s="290"/>
      <c r="H45" s="390"/>
      <c r="I45" s="390"/>
      <c r="J45" s="390"/>
      <c r="K45" s="390"/>
      <c r="L45" s="390"/>
      <c r="M45" s="390"/>
      <c r="N45" s="390"/>
      <c r="O45" s="390"/>
      <c r="P45" s="404">
        <f t="shared" si="0"/>
        <v>0</v>
      </c>
    </row>
    <row r="46" spans="1:16" ht="24" customHeight="1" x14ac:dyDescent="0.25">
      <c r="A46" s="50"/>
      <c r="B46" s="741" t="s">
        <v>159</v>
      </c>
      <c r="C46" s="742"/>
      <c r="D46" s="742"/>
      <c r="E46" s="742"/>
      <c r="F46" s="742"/>
      <c r="G46" s="742"/>
      <c r="H46" s="742"/>
      <c r="I46" s="742"/>
      <c r="J46" s="742"/>
      <c r="K46" s="742"/>
      <c r="L46" s="742"/>
      <c r="M46" s="742"/>
      <c r="N46" s="742"/>
      <c r="O46" s="742"/>
      <c r="P46" s="743"/>
    </row>
    <row r="47" spans="1:16" x14ac:dyDescent="0.25">
      <c r="A47" s="50"/>
      <c r="B47" s="403">
        <v>15</v>
      </c>
      <c r="C47" s="388" t="s">
        <v>160</v>
      </c>
      <c r="D47" s="247" t="s">
        <v>33</v>
      </c>
      <c r="E47" s="391"/>
      <c r="F47" s="290"/>
      <c r="G47" s="290"/>
      <c r="H47" s="400">
        <v>1</v>
      </c>
      <c r="I47" s="390"/>
      <c r="J47" s="390"/>
      <c r="K47" s="390"/>
      <c r="L47" s="390"/>
      <c r="M47" s="390"/>
      <c r="N47" s="390"/>
      <c r="O47" s="390"/>
      <c r="P47" s="404">
        <f t="shared" si="0"/>
        <v>1</v>
      </c>
    </row>
    <row r="48" spans="1:16" x14ac:dyDescent="0.25">
      <c r="A48" s="50"/>
      <c r="B48" s="405" t="s">
        <v>268</v>
      </c>
      <c r="C48" s="388"/>
      <c r="D48" s="247" t="s">
        <v>254</v>
      </c>
      <c r="E48" s="391"/>
      <c r="F48" s="290"/>
      <c r="G48" s="290"/>
      <c r="H48" s="400"/>
      <c r="I48" s="390"/>
      <c r="J48" s="390"/>
      <c r="K48" s="390"/>
      <c r="L48" s="390"/>
      <c r="M48" s="390"/>
      <c r="N48" s="390"/>
      <c r="O48" s="390"/>
      <c r="P48" s="404">
        <f t="shared" si="0"/>
        <v>0</v>
      </c>
    </row>
    <row r="49" spans="1:16" x14ac:dyDescent="0.25">
      <c r="A49" s="50"/>
      <c r="B49" s="403"/>
      <c r="C49" s="698"/>
      <c r="D49" s="698"/>
      <c r="E49" s="261"/>
      <c r="F49" s="290"/>
      <c r="G49" s="290"/>
      <c r="H49" s="400"/>
      <c r="I49" s="390"/>
      <c r="J49" s="390"/>
      <c r="K49" s="390"/>
      <c r="L49" s="390"/>
      <c r="M49" s="390"/>
      <c r="N49" s="390"/>
      <c r="O49" s="390"/>
      <c r="P49" s="404">
        <f t="shared" si="0"/>
        <v>0</v>
      </c>
    </row>
    <row r="50" spans="1:16" x14ac:dyDescent="0.25">
      <c r="A50" s="50"/>
      <c r="B50" s="403"/>
      <c r="C50" s="698"/>
      <c r="D50" s="698"/>
      <c r="E50" s="261"/>
      <c r="F50" s="290"/>
      <c r="G50" s="290"/>
      <c r="H50" s="400"/>
      <c r="I50" s="390"/>
      <c r="J50" s="390"/>
      <c r="K50" s="390"/>
      <c r="L50" s="390"/>
      <c r="M50" s="390"/>
      <c r="N50" s="390"/>
      <c r="O50" s="390"/>
      <c r="P50" s="404"/>
    </row>
    <row r="51" spans="1:16" x14ac:dyDescent="0.25">
      <c r="A51" s="50"/>
      <c r="B51" s="403"/>
      <c r="C51" s="698"/>
      <c r="D51" s="698"/>
      <c r="E51" s="261"/>
      <c r="F51" s="290"/>
      <c r="G51" s="290"/>
      <c r="H51" s="400"/>
      <c r="I51" s="390"/>
      <c r="J51" s="390"/>
      <c r="K51" s="390"/>
      <c r="L51" s="390"/>
      <c r="M51" s="390"/>
      <c r="N51" s="390"/>
      <c r="O51" s="390"/>
      <c r="P51" s="404">
        <f t="shared" si="0"/>
        <v>0</v>
      </c>
    </row>
    <row r="52" spans="1:16" ht="21" customHeight="1" x14ac:dyDescent="0.25">
      <c r="A52" s="48"/>
      <c r="B52" s="741" t="s">
        <v>161</v>
      </c>
      <c r="C52" s="742"/>
      <c r="D52" s="742"/>
      <c r="E52" s="742"/>
      <c r="F52" s="742"/>
      <c r="G52" s="742"/>
      <c r="H52" s="742"/>
      <c r="I52" s="742"/>
      <c r="J52" s="742"/>
      <c r="K52" s="742"/>
      <c r="L52" s="742"/>
      <c r="M52" s="742"/>
      <c r="N52" s="742"/>
      <c r="O52" s="742"/>
      <c r="P52" s="743"/>
    </row>
    <row r="53" spans="1:16" x14ac:dyDescent="0.25">
      <c r="A53" s="50"/>
      <c r="B53" s="403">
        <v>16</v>
      </c>
      <c r="C53" s="388" t="s">
        <v>162</v>
      </c>
      <c r="D53" s="247" t="s">
        <v>33</v>
      </c>
      <c r="E53" s="391"/>
      <c r="F53" s="290"/>
      <c r="G53" s="290"/>
      <c r="H53" s="390"/>
      <c r="I53" s="390"/>
      <c r="J53" s="390"/>
      <c r="K53" s="390"/>
      <c r="L53" s="390"/>
      <c r="M53" s="390"/>
      <c r="N53" s="390"/>
      <c r="O53" s="390"/>
      <c r="P53" s="404">
        <f t="shared" si="0"/>
        <v>0</v>
      </c>
    </row>
    <row r="54" spans="1:16" x14ac:dyDescent="0.25">
      <c r="A54" s="50"/>
      <c r="B54" s="403">
        <v>17</v>
      </c>
      <c r="C54" s="388" t="s">
        <v>163</v>
      </c>
      <c r="D54" s="247" t="s">
        <v>33</v>
      </c>
      <c r="E54" s="391"/>
      <c r="F54" s="290"/>
      <c r="G54" s="290"/>
      <c r="H54" s="390"/>
      <c r="I54" s="390"/>
      <c r="J54" s="390"/>
      <c r="K54" s="390"/>
      <c r="L54" s="390"/>
      <c r="M54" s="390"/>
      <c r="N54" s="390"/>
      <c r="O54" s="390"/>
      <c r="P54" s="404">
        <f t="shared" si="0"/>
        <v>0</v>
      </c>
    </row>
    <row r="55" spans="1:16" x14ac:dyDescent="0.25">
      <c r="A55" s="50"/>
      <c r="B55" s="403">
        <v>18</v>
      </c>
      <c r="C55" s="388" t="s">
        <v>164</v>
      </c>
      <c r="D55" s="247" t="s">
        <v>33</v>
      </c>
      <c r="E55" s="391"/>
      <c r="F55" s="290"/>
      <c r="G55" s="290"/>
      <c r="H55" s="390"/>
      <c r="I55" s="390"/>
      <c r="J55" s="390"/>
      <c r="K55" s="390"/>
      <c r="L55" s="390"/>
      <c r="M55" s="390"/>
      <c r="N55" s="390"/>
      <c r="O55" s="390"/>
      <c r="P55" s="404">
        <f t="shared" si="0"/>
        <v>0</v>
      </c>
    </row>
    <row r="56" spans="1:16" x14ac:dyDescent="0.25">
      <c r="A56" s="50"/>
      <c r="B56" s="403">
        <v>19</v>
      </c>
      <c r="C56" s="388" t="s">
        <v>165</v>
      </c>
      <c r="D56" s="247" t="s">
        <v>33</v>
      </c>
      <c r="E56" s="391"/>
      <c r="F56" s="290"/>
      <c r="G56" s="290"/>
      <c r="H56" s="390"/>
      <c r="I56" s="390"/>
      <c r="J56" s="390"/>
      <c r="K56" s="390"/>
      <c r="L56" s="390"/>
      <c r="M56" s="390"/>
      <c r="N56" s="390"/>
      <c r="O56" s="390"/>
      <c r="P56" s="404">
        <f t="shared" si="0"/>
        <v>0</v>
      </c>
    </row>
    <row r="57" spans="1:16" x14ac:dyDescent="0.25">
      <c r="A57" s="50"/>
      <c r="B57" s="405" t="s">
        <v>268</v>
      </c>
      <c r="C57" s="388"/>
      <c r="D57" s="247" t="s">
        <v>254</v>
      </c>
      <c r="E57" s="391"/>
      <c r="F57" s="290"/>
      <c r="G57" s="290"/>
      <c r="H57" s="390"/>
      <c r="I57" s="390"/>
      <c r="J57" s="390"/>
      <c r="K57" s="390"/>
      <c r="L57" s="390"/>
      <c r="M57" s="390"/>
      <c r="N57" s="390"/>
      <c r="O57" s="390"/>
      <c r="P57" s="404">
        <f t="shared" si="0"/>
        <v>0</v>
      </c>
    </row>
    <row r="58" spans="1:16" x14ac:dyDescent="0.25">
      <c r="A58" s="50"/>
      <c r="B58" s="405"/>
      <c r="C58" s="698"/>
      <c r="D58" s="698"/>
      <c r="E58" s="261"/>
      <c r="F58" s="290"/>
      <c r="G58" s="290"/>
      <c r="H58" s="390"/>
      <c r="I58" s="390"/>
      <c r="J58" s="390"/>
      <c r="K58" s="390"/>
      <c r="L58" s="390"/>
      <c r="M58" s="390"/>
      <c r="N58" s="390"/>
      <c r="O58" s="390"/>
      <c r="P58" s="404"/>
    </row>
    <row r="59" spans="1:16" x14ac:dyDescent="0.25">
      <c r="A59" s="50"/>
      <c r="B59" s="405"/>
      <c r="C59" s="698"/>
      <c r="D59" s="698"/>
      <c r="E59" s="261"/>
      <c r="F59" s="290"/>
      <c r="G59" s="290"/>
      <c r="H59" s="390"/>
      <c r="I59" s="390"/>
      <c r="J59" s="390"/>
      <c r="K59" s="390"/>
      <c r="L59" s="390"/>
      <c r="M59" s="390"/>
      <c r="N59" s="390"/>
      <c r="O59" s="390"/>
      <c r="P59" s="404"/>
    </row>
    <row r="60" spans="1:16" x14ac:dyDescent="0.25">
      <c r="A60" s="48"/>
      <c r="B60" s="406"/>
      <c r="C60" s="698"/>
      <c r="D60" s="698"/>
      <c r="E60" s="261"/>
      <c r="F60" s="290"/>
      <c r="G60" s="290"/>
      <c r="H60" s="394"/>
      <c r="I60" s="394"/>
      <c r="J60" s="394"/>
      <c r="K60" s="394"/>
      <c r="L60" s="394"/>
      <c r="M60" s="394"/>
      <c r="N60" s="394"/>
      <c r="O60" s="394"/>
      <c r="P60" s="404"/>
    </row>
    <row r="61" spans="1:16" ht="27" customHeight="1" x14ac:dyDescent="0.25">
      <c r="B61" s="738" t="s">
        <v>166</v>
      </c>
      <c r="C61" s="739"/>
      <c r="D61" s="739"/>
      <c r="E61" s="739"/>
      <c r="F61" s="739"/>
      <c r="G61" s="739"/>
      <c r="H61" s="739"/>
      <c r="I61" s="739"/>
      <c r="J61" s="739"/>
      <c r="K61" s="739"/>
      <c r="L61" s="739"/>
      <c r="M61" s="739"/>
      <c r="N61" s="739"/>
      <c r="O61" s="739"/>
      <c r="P61" s="740"/>
    </row>
    <row r="62" spans="1:16" ht="16.5" x14ac:dyDescent="0.25">
      <c r="B62" s="407"/>
      <c r="C62" s="388"/>
      <c r="D62" s="391"/>
      <c r="E62" s="391"/>
      <c r="F62" s="387"/>
      <c r="G62" s="387"/>
      <c r="H62" s="387"/>
      <c r="I62" s="387"/>
      <c r="J62" s="387"/>
      <c r="K62" s="387"/>
      <c r="L62" s="387"/>
      <c r="M62" s="387"/>
      <c r="N62" s="387"/>
      <c r="O62" s="387"/>
      <c r="P62" s="408"/>
    </row>
    <row r="63" spans="1:16" ht="25.5" customHeight="1" x14ac:dyDescent="0.25">
      <c r="A63" s="50"/>
      <c r="B63" s="744" t="s">
        <v>167</v>
      </c>
      <c r="C63" s="711"/>
      <c r="D63" s="711"/>
      <c r="E63" s="711"/>
      <c r="F63" s="711"/>
      <c r="G63" s="711"/>
      <c r="H63" s="711"/>
      <c r="I63" s="711"/>
      <c r="J63" s="711"/>
      <c r="K63" s="711"/>
      <c r="L63" s="711"/>
      <c r="M63" s="711"/>
      <c r="N63" s="711"/>
      <c r="O63" s="711"/>
      <c r="P63" s="745"/>
    </row>
    <row r="64" spans="1:16" x14ac:dyDescent="0.25">
      <c r="A64" s="50"/>
      <c r="B64" s="403">
        <v>21</v>
      </c>
      <c r="C64" s="388" t="s">
        <v>168</v>
      </c>
      <c r="D64" s="247" t="s">
        <v>33</v>
      </c>
      <c r="E64" s="391"/>
      <c r="F64" s="290"/>
      <c r="G64" s="290"/>
      <c r="H64" s="400">
        <v>1</v>
      </c>
      <c r="I64" s="390"/>
      <c r="J64" s="390"/>
      <c r="K64" s="390"/>
      <c r="L64" s="390"/>
      <c r="M64" s="390"/>
      <c r="N64" s="390"/>
      <c r="O64" s="390"/>
      <c r="P64" s="404">
        <f t="shared" si="0"/>
        <v>1</v>
      </c>
    </row>
    <row r="65" spans="1:16" ht="28.5" x14ac:dyDescent="0.25">
      <c r="A65" s="50"/>
      <c r="B65" s="403">
        <v>22</v>
      </c>
      <c r="C65" s="388" t="s">
        <v>169</v>
      </c>
      <c r="D65" s="247" t="s">
        <v>33</v>
      </c>
      <c r="E65" s="391"/>
      <c r="F65" s="290"/>
      <c r="G65" s="290"/>
      <c r="H65" s="400">
        <v>1</v>
      </c>
      <c r="I65" s="390"/>
      <c r="J65" s="390"/>
      <c r="K65" s="390"/>
      <c r="L65" s="390"/>
      <c r="M65" s="390"/>
      <c r="N65" s="390"/>
      <c r="O65" s="390"/>
      <c r="P65" s="404">
        <f t="shared" si="0"/>
        <v>1</v>
      </c>
    </row>
    <row r="66" spans="1:16" x14ac:dyDescent="0.25">
      <c r="A66" s="50"/>
      <c r="B66" s="403">
        <v>23</v>
      </c>
      <c r="C66" s="388" t="s">
        <v>170</v>
      </c>
      <c r="D66" s="247" t="s">
        <v>33</v>
      </c>
      <c r="E66" s="391"/>
      <c r="F66" s="290"/>
      <c r="G66" s="290"/>
      <c r="H66" s="400">
        <v>1</v>
      </c>
      <c r="I66" s="390"/>
      <c r="J66" s="390"/>
      <c r="K66" s="390"/>
      <c r="L66" s="390"/>
      <c r="M66" s="390"/>
      <c r="N66" s="390"/>
      <c r="O66" s="390"/>
      <c r="P66" s="404">
        <f t="shared" si="0"/>
        <v>1</v>
      </c>
    </row>
    <row r="67" spans="1:16" x14ac:dyDescent="0.25">
      <c r="A67" s="50"/>
      <c r="B67" s="403">
        <v>24</v>
      </c>
      <c r="C67" s="388" t="s">
        <v>171</v>
      </c>
      <c r="D67" s="247" t="s">
        <v>33</v>
      </c>
      <c r="E67" s="391"/>
      <c r="F67" s="290"/>
      <c r="G67" s="290"/>
      <c r="H67" s="400">
        <v>1</v>
      </c>
      <c r="I67" s="390"/>
      <c r="J67" s="390"/>
      <c r="K67" s="390"/>
      <c r="L67" s="390"/>
      <c r="M67" s="390"/>
      <c r="N67" s="390"/>
      <c r="O67" s="390"/>
      <c r="P67" s="404">
        <f t="shared" si="0"/>
        <v>1</v>
      </c>
    </row>
    <row r="68" spans="1:16" x14ac:dyDescent="0.25">
      <c r="A68" s="50"/>
      <c r="B68" s="405" t="s">
        <v>268</v>
      </c>
      <c r="C68" s="388"/>
      <c r="D68" s="247" t="s">
        <v>254</v>
      </c>
      <c r="E68" s="391"/>
      <c r="F68" s="290"/>
      <c r="G68" s="290"/>
      <c r="H68" s="400"/>
      <c r="I68" s="390"/>
      <c r="J68" s="390"/>
      <c r="K68" s="390"/>
      <c r="L68" s="390"/>
      <c r="M68" s="390"/>
      <c r="N68" s="390"/>
      <c r="O68" s="390"/>
      <c r="P68" s="404"/>
    </row>
    <row r="69" spans="1:16" x14ac:dyDescent="0.25">
      <c r="A69" s="50"/>
      <c r="B69" s="403"/>
      <c r="C69" s="698"/>
      <c r="D69" s="698"/>
      <c r="E69" s="261"/>
      <c r="F69" s="290"/>
      <c r="G69" s="290"/>
      <c r="H69" s="400"/>
      <c r="I69" s="390"/>
      <c r="J69" s="390"/>
      <c r="K69" s="390"/>
      <c r="L69" s="390"/>
      <c r="M69" s="390"/>
      <c r="N69" s="390"/>
      <c r="O69" s="390"/>
      <c r="P69" s="404"/>
    </row>
    <row r="70" spans="1:16" x14ac:dyDescent="0.25">
      <c r="A70" s="50"/>
      <c r="B70" s="403"/>
      <c r="C70" s="698"/>
      <c r="D70" s="698"/>
      <c r="E70" s="261"/>
      <c r="F70" s="290"/>
      <c r="G70" s="290"/>
      <c r="H70" s="400"/>
      <c r="I70" s="390"/>
      <c r="J70" s="390"/>
      <c r="K70" s="390"/>
      <c r="L70" s="390"/>
      <c r="M70" s="390"/>
      <c r="N70" s="390"/>
      <c r="O70" s="390"/>
      <c r="P70" s="404"/>
    </row>
    <row r="71" spans="1:16" x14ac:dyDescent="0.25">
      <c r="A71" s="50"/>
      <c r="B71" s="403"/>
      <c r="C71" s="698"/>
      <c r="D71" s="698"/>
      <c r="E71" s="261"/>
      <c r="F71" s="290"/>
      <c r="G71" s="290"/>
      <c r="H71" s="390"/>
      <c r="I71" s="390"/>
      <c r="J71" s="390"/>
      <c r="K71" s="390"/>
      <c r="L71" s="390"/>
      <c r="M71" s="390"/>
      <c r="N71" s="390"/>
      <c r="O71" s="390"/>
      <c r="P71" s="404">
        <f t="shared" si="0"/>
        <v>0</v>
      </c>
    </row>
    <row r="72" spans="1:16" ht="28.5" customHeight="1" x14ac:dyDescent="0.25">
      <c r="A72" s="50"/>
      <c r="B72" s="744" t="s">
        <v>172</v>
      </c>
      <c r="C72" s="711"/>
      <c r="D72" s="711"/>
      <c r="E72" s="711"/>
      <c r="F72" s="711"/>
      <c r="G72" s="711"/>
      <c r="H72" s="711"/>
      <c r="I72" s="711"/>
      <c r="J72" s="711"/>
      <c r="K72" s="711"/>
      <c r="L72" s="711"/>
      <c r="M72" s="711"/>
      <c r="N72" s="711"/>
      <c r="O72" s="711"/>
      <c r="P72" s="745"/>
    </row>
    <row r="73" spans="1:16" x14ac:dyDescent="0.25">
      <c r="A73" s="50"/>
      <c r="B73" s="403">
        <v>25</v>
      </c>
      <c r="C73" s="388" t="s">
        <v>173</v>
      </c>
      <c r="D73" s="247" t="s">
        <v>33</v>
      </c>
      <c r="E73" s="391"/>
      <c r="F73" s="290"/>
      <c r="G73" s="290"/>
      <c r="H73" s="390"/>
      <c r="I73" s="400">
        <v>1</v>
      </c>
      <c r="J73" s="390"/>
      <c r="K73" s="390"/>
      <c r="L73" s="390"/>
      <c r="M73" s="390"/>
      <c r="N73" s="390"/>
      <c r="O73" s="390"/>
      <c r="P73" s="404">
        <f t="shared" si="0"/>
        <v>1</v>
      </c>
    </row>
    <row r="74" spans="1:16" x14ac:dyDescent="0.25">
      <c r="A74" s="50"/>
      <c r="B74" s="403">
        <v>26</v>
      </c>
      <c r="C74" s="388" t="s">
        <v>174</v>
      </c>
      <c r="D74" s="247" t="s">
        <v>33</v>
      </c>
      <c r="E74" s="391"/>
      <c r="F74" s="290"/>
      <c r="G74" s="290"/>
      <c r="H74" s="390"/>
      <c r="I74" s="400">
        <v>1</v>
      </c>
      <c r="J74" s="390"/>
      <c r="K74" s="390"/>
      <c r="L74" s="390"/>
      <c r="M74" s="390"/>
      <c r="N74" s="390"/>
      <c r="O74" s="390"/>
      <c r="P74" s="404">
        <f t="shared" si="0"/>
        <v>1</v>
      </c>
    </row>
    <row r="75" spans="1:16" ht="28.5" x14ac:dyDescent="0.25">
      <c r="A75" s="50"/>
      <c r="B75" s="403">
        <v>27</v>
      </c>
      <c r="C75" s="388" t="s">
        <v>175</v>
      </c>
      <c r="D75" s="247" t="s">
        <v>33</v>
      </c>
      <c r="E75" s="391"/>
      <c r="F75" s="290"/>
      <c r="G75" s="290"/>
      <c r="H75" s="390"/>
      <c r="I75" s="400">
        <v>0.8</v>
      </c>
      <c r="J75" s="400">
        <v>0.2</v>
      </c>
      <c r="K75" s="390"/>
      <c r="L75" s="390"/>
      <c r="M75" s="390"/>
      <c r="N75" s="390"/>
      <c r="O75" s="390"/>
      <c r="P75" s="404">
        <f t="shared" si="0"/>
        <v>1</v>
      </c>
    </row>
    <row r="76" spans="1:16" ht="28.5" x14ac:dyDescent="0.25">
      <c r="A76" s="50"/>
      <c r="B76" s="403">
        <v>28</v>
      </c>
      <c r="C76" s="388" t="s">
        <v>176</v>
      </c>
      <c r="D76" s="247" t="s">
        <v>33</v>
      </c>
      <c r="E76" s="391"/>
      <c r="F76" s="290"/>
      <c r="G76" s="290"/>
      <c r="H76" s="390"/>
      <c r="I76" s="390"/>
      <c r="J76" s="390"/>
      <c r="K76" s="390"/>
      <c r="L76" s="390"/>
      <c r="M76" s="390"/>
      <c r="N76" s="390"/>
      <c r="O76" s="390"/>
      <c r="P76" s="404">
        <f t="shared" si="0"/>
        <v>0</v>
      </c>
    </row>
    <row r="77" spans="1:16" ht="28.5" x14ac:dyDescent="0.25">
      <c r="A77" s="50"/>
      <c r="B77" s="403">
        <v>29</v>
      </c>
      <c r="C77" s="388" t="s">
        <v>177</v>
      </c>
      <c r="D77" s="247" t="s">
        <v>33</v>
      </c>
      <c r="E77" s="391"/>
      <c r="F77" s="290"/>
      <c r="G77" s="290"/>
      <c r="H77" s="390"/>
      <c r="I77" s="390"/>
      <c r="J77" s="390"/>
      <c r="K77" s="390"/>
      <c r="L77" s="390"/>
      <c r="M77" s="390"/>
      <c r="N77" s="390"/>
      <c r="O77" s="390"/>
      <c r="P77" s="404">
        <f t="shared" si="0"/>
        <v>0</v>
      </c>
    </row>
    <row r="78" spans="1:16" ht="28.5" x14ac:dyDescent="0.25">
      <c r="A78" s="50"/>
      <c r="B78" s="403">
        <v>30</v>
      </c>
      <c r="C78" s="388" t="s">
        <v>178</v>
      </c>
      <c r="D78" s="247" t="s">
        <v>33</v>
      </c>
      <c r="E78" s="391"/>
      <c r="F78" s="290"/>
      <c r="G78" s="290"/>
      <c r="H78" s="390"/>
      <c r="I78" s="390"/>
      <c r="J78" s="390"/>
      <c r="K78" s="390"/>
      <c r="L78" s="390"/>
      <c r="M78" s="390"/>
      <c r="N78" s="390"/>
      <c r="O78" s="390"/>
      <c r="P78" s="404">
        <f t="shared" si="0"/>
        <v>0</v>
      </c>
    </row>
    <row r="79" spans="1:16" ht="28.5" x14ac:dyDescent="0.25">
      <c r="A79" s="50"/>
      <c r="B79" s="403">
        <v>31</v>
      </c>
      <c r="C79" s="388" t="s">
        <v>179</v>
      </c>
      <c r="D79" s="247" t="s">
        <v>33</v>
      </c>
      <c r="E79" s="391"/>
      <c r="F79" s="290"/>
      <c r="G79" s="290"/>
      <c r="H79" s="390"/>
      <c r="I79" s="390"/>
      <c r="J79" s="390"/>
      <c r="K79" s="390"/>
      <c r="L79" s="390"/>
      <c r="M79" s="390"/>
      <c r="N79" s="390"/>
      <c r="O79" s="390"/>
      <c r="P79" s="404">
        <f t="shared" si="0"/>
        <v>0</v>
      </c>
    </row>
    <row r="80" spans="1:16" x14ac:dyDescent="0.25">
      <c r="A80" s="50"/>
      <c r="B80" s="403">
        <v>32</v>
      </c>
      <c r="C80" s="388" t="s">
        <v>180</v>
      </c>
      <c r="D80" s="247" t="s">
        <v>33</v>
      </c>
      <c r="E80" s="391"/>
      <c r="F80" s="290"/>
      <c r="G80" s="290"/>
      <c r="H80" s="390"/>
      <c r="I80" s="390"/>
      <c r="J80" s="390"/>
      <c r="K80" s="390"/>
      <c r="L80" s="390"/>
      <c r="M80" s="390"/>
      <c r="N80" s="390"/>
      <c r="O80" s="390"/>
      <c r="P80" s="404">
        <f t="shared" si="0"/>
        <v>0</v>
      </c>
    </row>
    <row r="81" spans="1:16" x14ac:dyDescent="0.25">
      <c r="A81" s="50"/>
      <c r="B81" s="405" t="s">
        <v>268</v>
      </c>
      <c r="C81" s="388"/>
      <c r="D81" s="247" t="s">
        <v>254</v>
      </c>
      <c r="E81" s="391"/>
      <c r="F81" s="290"/>
      <c r="G81" s="290"/>
      <c r="H81" s="390"/>
      <c r="I81" s="390"/>
      <c r="J81" s="390"/>
      <c r="K81" s="390"/>
      <c r="L81" s="390"/>
      <c r="M81" s="390"/>
      <c r="N81" s="390"/>
      <c r="O81" s="390"/>
      <c r="P81" s="404"/>
    </row>
    <row r="82" spans="1:16" x14ac:dyDescent="0.25">
      <c r="A82" s="50"/>
      <c r="B82" s="403"/>
      <c r="C82" s="698"/>
      <c r="D82" s="698"/>
      <c r="E82" s="261"/>
      <c r="F82" s="290"/>
      <c r="G82" s="290"/>
      <c r="H82" s="390"/>
      <c r="I82" s="390"/>
      <c r="J82" s="390"/>
      <c r="K82" s="390"/>
      <c r="L82" s="390"/>
      <c r="M82" s="390"/>
      <c r="N82" s="390"/>
      <c r="O82" s="390"/>
      <c r="P82" s="404"/>
    </row>
    <row r="83" spans="1:16" x14ac:dyDescent="0.25">
      <c r="A83" s="50"/>
      <c r="B83" s="403"/>
      <c r="C83" s="698"/>
      <c r="D83" s="698"/>
      <c r="E83" s="261"/>
      <c r="F83" s="290"/>
      <c r="G83" s="290"/>
      <c r="H83" s="390"/>
      <c r="I83" s="390"/>
      <c r="J83" s="390"/>
      <c r="K83" s="390"/>
      <c r="L83" s="390"/>
      <c r="M83" s="390"/>
      <c r="N83" s="390"/>
      <c r="O83" s="390"/>
      <c r="P83" s="404"/>
    </row>
    <row r="84" spans="1:16" x14ac:dyDescent="0.25">
      <c r="A84" s="50"/>
      <c r="B84" s="403"/>
      <c r="C84" s="698"/>
      <c r="D84" s="698"/>
      <c r="E84" s="261"/>
      <c r="F84" s="290"/>
      <c r="G84" s="290"/>
      <c r="H84" s="390"/>
      <c r="I84" s="390"/>
      <c r="J84" s="390"/>
      <c r="K84" s="390"/>
      <c r="L84" s="390"/>
      <c r="M84" s="390"/>
      <c r="N84" s="390"/>
      <c r="O84" s="390"/>
      <c r="P84" s="404">
        <f t="shared" ref="P84:P107" si="1">SUM(H84:O84)</f>
        <v>0</v>
      </c>
    </row>
    <row r="85" spans="1:16" ht="25.5" customHeight="1" x14ac:dyDescent="0.25">
      <c r="A85" s="50"/>
      <c r="B85" s="744" t="s">
        <v>181</v>
      </c>
      <c r="C85" s="711"/>
      <c r="D85" s="711"/>
      <c r="E85" s="711"/>
      <c r="F85" s="711"/>
      <c r="G85" s="711"/>
      <c r="H85" s="711"/>
      <c r="I85" s="711"/>
      <c r="J85" s="711"/>
      <c r="K85" s="711"/>
      <c r="L85" s="711"/>
      <c r="M85" s="711"/>
      <c r="N85" s="711"/>
      <c r="O85" s="711"/>
      <c r="P85" s="745"/>
    </row>
    <row r="86" spans="1:16" x14ac:dyDescent="0.25">
      <c r="A86" s="50"/>
      <c r="B86" s="403">
        <v>33</v>
      </c>
      <c r="C86" s="388" t="s">
        <v>182</v>
      </c>
      <c r="D86" s="247" t="s">
        <v>33</v>
      </c>
      <c r="E86" s="391"/>
      <c r="F86" s="290"/>
      <c r="G86" s="290"/>
      <c r="H86" s="396"/>
      <c r="I86" s="396"/>
      <c r="J86" s="396"/>
      <c r="K86" s="396"/>
      <c r="L86" s="396"/>
      <c r="M86" s="396"/>
      <c r="N86" s="396"/>
      <c r="O86" s="396"/>
      <c r="P86" s="404">
        <f t="shared" si="1"/>
        <v>0</v>
      </c>
    </row>
    <row r="87" spans="1:16" x14ac:dyDescent="0.25">
      <c r="A87" s="50"/>
      <c r="B87" s="403">
        <v>34</v>
      </c>
      <c r="C87" s="388" t="s">
        <v>183</v>
      </c>
      <c r="D87" s="247" t="s">
        <v>33</v>
      </c>
      <c r="E87" s="391"/>
      <c r="F87" s="290"/>
      <c r="G87" s="290"/>
      <c r="H87" s="396"/>
      <c r="I87" s="396"/>
      <c r="J87" s="396"/>
      <c r="K87" s="396"/>
      <c r="L87" s="396"/>
      <c r="M87" s="396"/>
      <c r="N87" s="396"/>
      <c r="O87" s="396"/>
      <c r="P87" s="404">
        <f t="shared" si="1"/>
        <v>0</v>
      </c>
    </row>
    <row r="88" spans="1:16" x14ac:dyDescent="0.25">
      <c r="A88" s="50"/>
      <c r="B88" s="403">
        <v>35</v>
      </c>
      <c r="C88" s="388" t="s">
        <v>184</v>
      </c>
      <c r="D88" s="247" t="s">
        <v>33</v>
      </c>
      <c r="E88" s="391"/>
      <c r="F88" s="290"/>
      <c r="G88" s="290"/>
      <c r="H88" s="396"/>
      <c r="I88" s="396"/>
      <c r="J88" s="396"/>
      <c r="K88" s="396"/>
      <c r="L88" s="396"/>
      <c r="M88" s="396"/>
      <c r="N88" s="396"/>
      <c r="O88" s="396"/>
      <c r="P88" s="404">
        <f t="shared" si="1"/>
        <v>0</v>
      </c>
    </row>
    <row r="89" spans="1:16" x14ac:dyDescent="0.25">
      <c r="A89" s="50"/>
      <c r="B89" s="405" t="s">
        <v>268</v>
      </c>
      <c r="C89" s="388"/>
      <c r="D89" s="247" t="s">
        <v>254</v>
      </c>
      <c r="E89" s="391"/>
      <c r="F89" s="290"/>
      <c r="G89" s="290"/>
      <c r="H89" s="396"/>
      <c r="I89" s="396"/>
      <c r="J89" s="396"/>
      <c r="K89" s="396"/>
      <c r="L89" s="396"/>
      <c r="M89" s="396"/>
      <c r="N89" s="396"/>
      <c r="O89" s="396"/>
      <c r="P89" s="404"/>
    </row>
    <row r="90" spans="1:16" x14ac:dyDescent="0.25">
      <c r="A90" s="50"/>
      <c r="B90" s="403"/>
      <c r="C90" s="698"/>
      <c r="D90" s="698"/>
      <c r="E90" s="261"/>
      <c r="F90" s="290"/>
      <c r="G90" s="290"/>
      <c r="H90" s="396"/>
      <c r="I90" s="396"/>
      <c r="J90" s="396"/>
      <c r="K90" s="396"/>
      <c r="L90" s="396"/>
      <c r="M90" s="396"/>
      <c r="N90" s="396"/>
      <c r="O90" s="396"/>
      <c r="P90" s="404"/>
    </row>
    <row r="91" spans="1:16" x14ac:dyDescent="0.25">
      <c r="A91" s="50"/>
      <c r="B91" s="403"/>
      <c r="C91" s="698"/>
      <c r="D91" s="698"/>
      <c r="E91" s="261"/>
      <c r="F91" s="290"/>
      <c r="G91" s="290"/>
      <c r="H91" s="396"/>
      <c r="I91" s="396"/>
      <c r="J91" s="396"/>
      <c r="K91" s="396"/>
      <c r="L91" s="396"/>
      <c r="M91" s="396"/>
      <c r="N91" s="396"/>
      <c r="O91" s="396"/>
      <c r="P91" s="404"/>
    </row>
    <row r="92" spans="1:16" x14ac:dyDescent="0.25">
      <c r="A92" s="50"/>
      <c r="B92" s="403"/>
      <c r="C92" s="698"/>
      <c r="D92" s="698"/>
      <c r="E92" s="261"/>
      <c r="F92" s="290"/>
      <c r="G92" s="290"/>
      <c r="H92" s="396"/>
      <c r="I92" s="396"/>
      <c r="J92" s="396"/>
      <c r="K92" s="396"/>
      <c r="L92" s="396"/>
      <c r="M92" s="396"/>
      <c r="N92" s="396"/>
      <c r="O92" s="396"/>
      <c r="P92" s="404">
        <f t="shared" si="1"/>
        <v>0</v>
      </c>
    </row>
    <row r="93" spans="1:16" ht="24" customHeight="1" x14ac:dyDescent="0.25">
      <c r="A93" s="50"/>
      <c r="B93" s="744" t="s">
        <v>185</v>
      </c>
      <c r="C93" s="711"/>
      <c r="D93" s="711"/>
      <c r="E93" s="711"/>
      <c r="F93" s="711"/>
      <c r="G93" s="711"/>
      <c r="H93" s="711"/>
      <c r="I93" s="711"/>
      <c r="J93" s="711"/>
      <c r="K93" s="711"/>
      <c r="L93" s="711"/>
      <c r="M93" s="711"/>
      <c r="N93" s="711"/>
      <c r="O93" s="711"/>
      <c r="P93" s="745"/>
    </row>
    <row r="94" spans="1:16" ht="42.75" x14ac:dyDescent="0.25">
      <c r="A94" s="50"/>
      <c r="B94" s="403">
        <v>36</v>
      </c>
      <c r="C94" s="388" t="s">
        <v>186</v>
      </c>
      <c r="D94" s="247" t="s">
        <v>33</v>
      </c>
      <c r="E94" s="391"/>
      <c r="F94" s="290"/>
      <c r="G94" s="290"/>
      <c r="H94" s="396"/>
      <c r="I94" s="396"/>
      <c r="J94" s="396"/>
      <c r="K94" s="396"/>
      <c r="L94" s="396"/>
      <c r="M94" s="396"/>
      <c r="N94" s="396"/>
      <c r="O94" s="396"/>
      <c r="P94" s="404">
        <f t="shared" si="1"/>
        <v>0</v>
      </c>
    </row>
    <row r="95" spans="1:16" ht="28.5" x14ac:dyDescent="0.25">
      <c r="A95" s="50"/>
      <c r="B95" s="403">
        <v>37</v>
      </c>
      <c r="C95" s="388" t="s">
        <v>187</v>
      </c>
      <c r="D95" s="247" t="s">
        <v>33</v>
      </c>
      <c r="E95" s="391"/>
      <c r="F95" s="290"/>
      <c r="G95" s="290"/>
      <c r="H95" s="396"/>
      <c r="I95" s="396"/>
      <c r="J95" s="396"/>
      <c r="K95" s="396"/>
      <c r="L95" s="396"/>
      <c r="M95" s="396"/>
      <c r="N95" s="396"/>
      <c r="O95" s="396"/>
      <c r="P95" s="404">
        <f t="shared" si="1"/>
        <v>0</v>
      </c>
    </row>
    <row r="96" spans="1:16" x14ac:dyDescent="0.25">
      <c r="A96" s="50"/>
      <c r="B96" s="403">
        <v>38</v>
      </c>
      <c r="C96" s="388" t="s">
        <v>188</v>
      </c>
      <c r="D96" s="247" t="s">
        <v>33</v>
      </c>
      <c r="E96" s="391"/>
      <c r="F96" s="290"/>
      <c r="G96" s="290"/>
      <c r="H96" s="396"/>
      <c r="I96" s="396"/>
      <c r="J96" s="396"/>
      <c r="K96" s="396"/>
      <c r="L96" s="396"/>
      <c r="M96" s="396"/>
      <c r="N96" s="396"/>
      <c r="O96" s="396"/>
      <c r="P96" s="404">
        <f t="shared" si="1"/>
        <v>0</v>
      </c>
    </row>
    <row r="97" spans="1:16" ht="28.5" x14ac:dyDescent="0.25">
      <c r="A97" s="50"/>
      <c r="B97" s="403">
        <v>39</v>
      </c>
      <c r="C97" s="388" t="s">
        <v>189</v>
      </c>
      <c r="D97" s="247" t="s">
        <v>33</v>
      </c>
      <c r="E97" s="391"/>
      <c r="F97" s="290"/>
      <c r="G97" s="290"/>
      <c r="H97" s="396"/>
      <c r="I97" s="396"/>
      <c r="J97" s="396"/>
      <c r="K97" s="396"/>
      <c r="L97" s="396"/>
      <c r="M97" s="396"/>
      <c r="N97" s="396"/>
      <c r="O97" s="396"/>
      <c r="P97" s="404">
        <f t="shared" si="1"/>
        <v>0</v>
      </c>
    </row>
    <row r="98" spans="1:16" ht="28.5" x14ac:dyDescent="0.25">
      <c r="A98" s="50"/>
      <c r="B98" s="403">
        <v>40</v>
      </c>
      <c r="C98" s="388" t="s">
        <v>190</v>
      </c>
      <c r="D98" s="247" t="s">
        <v>33</v>
      </c>
      <c r="E98" s="391"/>
      <c r="F98" s="290"/>
      <c r="G98" s="290"/>
      <c r="H98" s="396"/>
      <c r="I98" s="396"/>
      <c r="J98" s="396"/>
      <c r="K98" s="396"/>
      <c r="L98" s="396"/>
      <c r="M98" s="396"/>
      <c r="N98" s="396"/>
      <c r="O98" s="396"/>
      <c r="P98" s="404">
        <f t="shared" si="1"/>
        <v>0</v>
      </c>
    </row>
    <row r="99" spans="1:16" ht="28.5" x14ac:dyDescent="0.25">
      <c r="A99" s="50"/>
      <c r="B99" s="403">
        <v>41</v>
      </c>
      <c r="C99" s="388" t="s">
        <v>191</v>
      </c>
      <c r="D99" s="247" t="s">
        <v>33</v>
      </c>
      <c r="E99" s="391"/>
      <c r="F99" s="290"/>
      <c r="G99" s="290"/>
      <c r="H99" s="396"/>
      <c r="I99" s="396"/>
      <c r="J99" s="396"/>
      <c r="K99" s="396"/>
      <c r="L99" s="396"/>
      <c r="M99" s="396"/>
      <c r="N99" s="396"/>
      <c r="O99" s="396"/>
      <c r="P99" s="404">
        <f t="shared" si="1"/>
        <v>0</v>
      </c>
    </row>
    <row r="100" spans="1:16" ht="28.5" x14ac:dyDescent="0.25">
      <c r="A100" s="50"/>
      <c r="B100" s="403">
        <v>42</v>
      </c>
      <c r="C100" s="388" t="s">
        <v>192</v>
      </c>
      <c r="D100" s="247" t="s">
        <v>33</v>
      </c>
      <c r="E100" s="391"/>
      <c r="F100" s="290"/>
      <c r="G100" s="290"/>
      <c r="H100" s="396"/>
      <c r="I100" s="396"/>
      <c r="J100" s="396"/>
      <c r="K100" s="396"/>
      <c r="L100" s="396"/>
      <c r="M100" s="396"/>
      <c r="N100" s="396"/>
      <c r="O100" s="396"/>
      <c r="P100" s="404">
        <f t="shared" si="1"/>
        <v>0</v>
      </c>
    </row>
    <row r="101" spans="1:16" x14ac:dyDescent="0.25">
      <c r="A101" s="50"/>
      <c r="B101" s="403">
        <v>43</v>
      </c>
      <c r="C101" s="388" t="s">
        <v>193</v>
      </c>
      <c r="D101" s="247" t="s">
        <v>33</v>
      </c>
      <c r="E101" s="391"/>
      <c r="F101" s="290"/>
      <c r="G101" s="290"/>
      <c r="H101" s="396"/>
      <c r="I101" s="396"/>
      <c r="J101" s="396"/>
      <c r="K101" s="396"/>
      <c r="L101" s="396"/>
      <c r="M101" s="396"/>
      <c r="N101" s="396"/>
      <c r="O101" s="396"/>
      <c r="P101" s="404">
        <f t="shared" si="1"/>
        <v>0</v>
      </c>
    </row>
    <row r="102" spans="1:16" ht="42.75" x14ac:dyDescent="0.25">
      <c r="A102" s="50"/>
      <c r="B102" s="403">
        <v>44</v>
      </c>
      <c r="C102" s="388" t="s">
        <v>194</v>
      </c>
      <c r="D102" s="247" t="s">
        <v>33</v>
      </c>
      <c r="E102" s="391"/>
      <c r="F102" s="290"/>
      <c r="G102" s="290"/>
      <c r="H102" s="396"/>
      <c r="I102" s="396"/>
      <c r="J102" s="396"/>
      <c r="K102" s="396"/>
      <c r="L102" s="396"/>
      <c r="M102" s="396"/>
      <c r="N102" s="396"/>
      <c r="O102" s="396"/>
      <c r="P102" s="404">
        <f t="shared" si="1"/>
        <v>0</v>
      </c>
    </row>
    <row r="103" spans="1:16" ht="28.5" x14ac:dyDescent="0.25">
      <c r="A103" s="50"/>
      <c r="B103" s="403">
        <v>45</v>
      </c>
      <c r="C103" s="388" t="s">
        <v>195</v>
      </c>
      <c r="D103" s="247" t="s">
        <v>33</v>
      </c>
      <c r="E103" s="391"/>
      <c r="F103" s="290"/>
      <c r="G103" s="290"/>
      <c r="H103" s="396"/>
      <c r="I103" s="396"/>
      <c r="J103" s="396"/>
      <c r="K103" s="396"/>
      <c r="L103" s="396"/>
      <c r="M103" s="396"/>
      <c r="N103" s="396"/>
      <c r="O103" s="396"/>
      <c r="P103" s="404">
        <f t="shared" si="1"/>
        <v>0</v>
      </c>
    </row>
    <row r="104" spans="1:16" ht="28.5" x14ac:dyDescent="0.25">
      <c r="A104" s="50"/>
      <c r="B104" s="403">
        <v>46</v>
      </c>
      <c r="C104" s="388" t="s">
        <v>196</v>
      </c>
      <c r="D104" s="247" t="s">
        <v>33</v>
      </c>
      <c r="E104" s="391"/>
      <c r="F104" s="290"/>
      <c r="G104" s="290"/>
      <c r="H104" s="396"/>
      <c r="I104" s="396"/>
      <c r="J104" s="396"/>
      <c r="K104" s="396"/>
      <c r="L104" s="396"/>
      <c r="M104" s="396"/>
      <c r="N104" s="396"/>
      <c r="O104" s="396"/>
      <c r="P104" s="404">
        <f t="shared" si="1"/>
        <v>0</v>
      </c>
    </row>
    <row r="105" spans="1:16" ht="28.5" x14ac:dyDescent="0.25">
      <c r="A105" s="50"/>
      <c r="B105" s="403">
        <v>47</v>
      </c>
      <c r="C105" s="388" t="s">
        <v>197</v>
      </c>
      <c r="D105" s="247" t="s">
        <v>33</v>
      </c>
      <c r="E105" s="391"/>
      <c r="F105" s="290"/>
      <c r="G105" s="290"/>
      <c r="H105" s="396"/>
      <c r="I105" s="396"/>
      <c r="J105" s="396"/>
      <c r="K105" s="396"/>
      <c r="L105" s="396"/>
      <c r="M105" s="396"/>
      <c r="N105" s="396"/>
      <c r="O105" s="396"/>
      <c r="P105" s="404">
        <f t="shared" si="1"/>
        <v>0</v>
      </c>
    </row>
    <row r="106" spans="1:16" ht="28.5" x14ac:dyDescent="0.25">
      <c r="A106" s="50"/>
      <c r="B106" s="403">
        <v>48</v>
      </c>
      <c r="C106" s="388" t="s">
        <v>198</v>
      </c>
      <c r="D106" s="247" t="s">
        <v>33</v>
      </c>
      <c r="E106" s="391"/>
      <c r="F106" s="290"/>
      <c r="G106" s="290"/>
      <c r="H106" s="396"/>
      <c r="I106" s="396"/>
      <c r="J106" s="396"/>
      <c r="K106" s="396"/>
      <c r="L106" s="396"/>
      <c r="M106" s="396"/>
      <c r="N106" s="396"/>
      <c r="O106" s="396"/>
      <c r="P106" s="404">
        <f t="shared" si="1"/>
        <v>0</v>
      </c>
    </row>
    <row r="107" spans="1:16" ht="28.5" x14ac:dyDescent="0.25">
      <c r="A107" s="50"/>
      <c r="B107" s="403">
        <v>49</v>
      </c>
      <c r="C107" s="388" t="s">
        <v>199</v>
      </c>
      <c r="D107" s="247" t="s">
        <v>33</v>
      </c>
      <c r="E107" s="391"/>
      <c r="F107" s="290"/>
      <c r="G107" s="290"/>
      <c r="H107" s="396"/>
      <c r="I107" s="396"/>
      <c r="J107" s="396"/>
      <c r="K107" s="396"/>
      <c r="L107" s="396"/>
      <c r="M107" s="396"/>
      <c r="N107" s="396"/>
      <c r="O107" s="396"/>
      <c r="P107" s="404">
        <f t="shared" si="1"/>
        <v>0</v>
      </c>
    </row>
    <row r="108" spans="1:16" x14ac:dyDescent="0.25">
      <c r="A108" s="50"/>
      <c r="B108" s="405" t="s">
        <v>268</v>
      </c>
      <c r="C108" s="388"/>
      <c r="D108" s="247" t="s">
        <v>254</v>
      </c>
      <c r="E108" s="391"/>
      <c r="F108" s="290"/>
      <c r="G108" s="290"/>
      <c r="H108" s="396"/>
      <c r="I108" s="396"/>
      <c r="J108" s="396"/>
      <c r="K108" s="396"/>
      <c r="L108" s="396"/>
      <c r="M108" s="396"/>
      <c r="N108" s="396"/>
      <c r="O108" s="396"/>
      <c r="P108" s="404"/>
    </row>
    <row r="109" spans="1:16" x14ac:dyDescent="0.25">
      <c r="A109" s="50"/>
      <c r="B109" s="403"/>
      <c r="C109" s="698"/>
      <c r="D109" s="698"/>
      <c r="E109" s="261"/>
      <c r="F109" s="290"/>
      <c r="G109" s="290"/>
      <c r="H109" s="396"/>
      <c r="I109" s="396"/>
      <c r="J109" s="396"/>
      <c r="K109" s="396"/>
      <c r="L109" s="396"/>
      <c r="M109" s="396"/>
      <c r="N109" s="396"/>
      <c r="O109" s="396"/>
      <c r="P109" s="404"/>
    </row>
    <row r="110" spans="1:16" x14ac:dyDescent="0.25">
      <c r="A110" s="50"/>
      <c r="B110" s="403"/>
      <c r="C110" s="698"/>
      <c r="D110" s="698"/>
      <c r="E110" s="261"/>
      <c r="F110" s="290"/>
      <c r="G110" s="290"/>
      <c r="H110" s="396"/>
      <c r="I110" s="396"/>
      <c r="J110" s="396"/>
      <c r="K110" s="396"/>
      <c r="L110" s="396"/>
      <c r="M110" s="396"/>
      <c r="N110" s="396"/>
      <c r="O110" s="396"/>
      <c r="P110" s="404"/>
    </row>
    <row r="111" spans="1:16" x14ac:dyDescent="0.25">
      <c r="A111" s="50"/>
      <c r="B111" s="403"/>
      <c r="C111" s="698"/>
      <c r="D111" s="698"/>
      <c r="E111" s="261"/>
      <c r="F111" s="290"/>
      <c r="G111" s="290"/>
      <c r="H111" s="396"/>
      <c r="I111" s="396"/>
      <c r="J111" s="396"/>
      <c r="K111" s="396"/>
      <c r="L111" s="396"/>
      <c r="M111" s="396"/>
      <c r="N111" s="396"/>
      <c r="O111" s="396"/>
      <c r="P111" s="404"/>
    </row>
    <row r="112" spans="1:16" x14ac:dyDescent="0.25">
      <c r="B112" s="338"/>
      <c r="C112" s="697" t="s">
        <v>222</v>
      </c>
      <c r="D112" s="697"/>
      <c r="E112" s="339"/>
      <c r="F112" s="340"/>
      <c r="G112" s="340"/>
      <c r="H112" s="341">
        <f>SUM(F17*H17,F18*H18,F19*H19,F20*H20,F21*H21,F22*H22,F47*H47,F64*H64,F65*H65,F66*H66,F67*H67)</f>
        <v>0</v>
      </c>
      <c r="I112" s="341">
        <f>SUM(F28*I28,F29*I29,F30*I30,F31*I31,F32*I32,F73*I73,F74*I74,F75*I75,F76*I76,F77*I77,F78*I78,F79*I79,F80*I80,F86*I86,F87*I87,F88*I88)</f>
        <v>0</v>
      </c>
      <c r="J112" s="342"/>
      <c r="K112" s="339"/>
      <c r="L112" s="339"/>
      <c r="M112" s="339"/>
      <c r="N112" s="341"/>
      <c r="O112" s="339"/>
      <c r="P112" s="343">
        <f>SUM(H112:O112)</f>
        <v>0</v>
      </c>
    </row>
    <row r="113" spans="2:16" x14ac:dyDescent="0.25">
      <c r="B113" s="268"/>
      <c r="C113" s="698" t="s">
        <v>261</v>
      </c>
      <c r="D113" s="698"/>
      <c r="E113" s="262"/>
      <c r="F113" s="260"/>
      <c r="G113" s="260"/>
      <c r="H113" s="262"/>
      <c r="I113" s="262"/>
      <c r="J113" s="263">
        <f>SUM(E28*G28*J28,E29*G29*J29,E30*G30*J30,E31*G31,J31*E32*G32*J32,E39*G39*J39,E40*G40*J40,E41*G41*J41)</f>
        <v>300</v>
      </c>
      <c r="K113" s="263">
        <f>SUM(E28*G28*K28,E29*G29*K29,E30*G30*K30,E31*G31*K31,E32*G32*K32,E39*G39*K39,E40*G40*K40,E41*G41*K41)</f>
        <v>180</v>
      </c>
      <c r="L113" s="263"/>
      <c r="M113" s="263"/>
      <c r="N113" s="262"/>
      <c r="O113" s="262"/>
      <c r="P113" s="269">
        <f>SUM(H113:O113)</f>
        <v>480</v>
      </c>
    </row>
    <row r="114" spans="2:16" x14ac:dyDescent="0.25">
      <c r="B114" s="268"/>
      <c r="C114" s="698" t="s">
        <v>262</v>
      </c>
      <c r="D114" s="698"/>
      <c r="E114" s="262"/>
      <c r="F114" s="260"/>
      <c r="G114" s="260"/>
      <c r="H114" s="262"/>
      <c r="I114" s="262"/>
      <c r="J114" s="263">
        <f>J113-(E32*G32*J32)</f>
        <v>300</v>
      </c>
      <c r="K114" s="262">
        <f>K113-(E32*G32*K32)</f>
        <v>180</v>
      </c>
      <c r="L114" s="262"/>
      <c r="M114" s="262"/>
      <c r="N114" s="262"/>
      <c r="O114" s="262"/>
      <c r="P114" s="269"/>
    </row>
    <row r="115" spans="2:16" x14ac:dyDescent="0.25">
      <c r="B115" s="270"/>
      <c r="C115" s="699"/>
      <c r="D115" s="699"/>
      <c r="E115" s="255"/>
      <c r="F115" s="253"/>
      <c r="G115" s="253"/>
      <c r="H115" s="255"/>
      <c r="I115" s="255"/>
      <c r="J115" s="255"/>
      <c r="K115" s="255"/>
      <c r="L115" s="255"/>
      <c r="M115" s="255"/>
      <c r="N115" s="255"/>
      <c r="O115" s="255"/>
      <c r="P115" s="271"/>
    </row>
    <row r="116" spans="2:16" x14ac:dyDescent="0.25">
      <c r="B116" s="270"/>
      <c r="C116" s="254"/>
      <c r="D116" s="255"/>
      <c r="E116" s="255"/>
      <c r="F116" s="253"/>
      <c r="G116" s="253"/>
      <c r="H116" s="255"/>
      <c r="I116" s="255"/>
      <c r="J116" s="255"/>
      <c r="K116" s="255"/>
      <c r="L116" s="255"/>
      <c r="M116" s="255"/>
      <c r="N116" s="255"/>
      <c r="O116" s="255"/>
      <c r="P116" s="271"/>
    </row>
    <row r="117" spans="2:16" x14ac:dyDescent="0.25">
      <c r="B117" s="366"/>
      <c r="C117" s="700" t="s">
        <v>326</v>
      </c>
      <c r="D117" s="700"/>
      <c r="E117" s="247"/>
      <c r="F117" s="257"/>
      <c r="G117" s="247"/>
      <c r="H117" s="258">
        <f>'3.  Distribution Rates'!$K33</f>
        <v>7.6779999999999999E-3</v>
      </c>
      <c r="I117" s="258">
        <f>'3.  Distribution Rates'!K34</f>
        <v>3.9000000000000003E-3</v>
      </c>
      <c r="J117" s="258">
        <f>'3.  Distribution Rates'!K35</f>
        <v>0</v>
      </c>
      <c r="K117" s="258">
        <f>'3.  Distribution Rates'!K36</f>
        <v>0</v>
      </c>
      <c r="L117" s="258">
        <f>'3.  Distribution Rates'!K37</f>
        <v>0</v>
      </c>
      <c r="M117" s="258">
        <f>'3.  Distribution Rates'!K38</f>
        <v>9.9802666666666671</v>
      </c>
      <c r="N117" s="258">
        <f>'3.  Distribution Rates'!K39</f>
        <v>1.9333333333333331E-3</v>
      </c>
      <c r="O117" s="258"/>
      <c r="P117" s="367"/>
    </row>
    <row r="118" spans="2:16" x14ac:dyDescent="0.25">
      <c r="B118" s="366"/>
      <c r="C118" s="700" t="s">
        <v>269</v>
      </c>
      <c r="D118" s="700"/>
      <c r="E118" s="255"/>
      <c r="F118" s="257"/>
      <c r="G118" s="257"/>
      <c r="H118" s="290"/>
      <c r="I118" s="290"/>
      <c r="J118" s="290"/>
      <c r="K118" s="290"/>
      <c r="L118" s="290"/>
      <c r="M118" s="290"/>
      <c r="N118" s="290"/>
      <c r="O118" s="247"/>
      <c r="P118" s="272">
        <f>SUM(H118:O118)</f>
        <v>0</v>
      </c>
    </row>
    <row r="119" spans="2:16" x14ac:dyDescent="0.25">
      <c r="B119" s="366"/>
      <c r="C119" s="700" t="s">
        <v>270</v>
      </c>
      <c r="D119" s="700"/>
      <c r="E119" s="255"/>
      <c r="F119" s="257"/>
      <c r="G119" s="257"/>
      <c r="H119" s="290"/>
      <c r="I119" s="290"/>
      <c r="J119" s="290"/>
      <c r="K119" s="290"/>
      <c r="L119" s="290"/>
      <c r="M119" s="290"/>
      <c r="N119" s="290"/>
      <c r="O119" s="247"/>
      <c r="P119" s="272">
        <f>SUM(H119:O119)</f>
        <v>0</v>
      </c>
    </row>
    <row r="120" spans="2:16" x14ac:dyDescent="0.25">
      <c r="B120" s="366"/>
      <c r="C120" s="700" t="s">
        <v>271</v>
      </c>
      <c r="D120" s="700"/>
      <c r="E120" s="255"/>
      <c r="F120" s="257"/>
      <c r="G120" s="257"/>
      <c r="H120" s="290"/>
      <c r="I120" s="290"/>
      <c r="J120" s="290"/>
      <c r="K120" s="290"/>
      <c r="L120" s="290"/>
      <c r="M120" s="290"/>
      <c r="N120" s="290"/>
      <c r="O120" s="247"/>
      <c r="P120" s="272">
        <f t="shared" ref="P120" si="2">SUM(H120:O120)</f>
        <v>0</v>
      </c>
    </row>
    <row r="121" spans="2:16" x14ac:dyDescent="0.25">
      <c r="B121" s="366"/>
      <c r="C121" s="700" t="s">
        <v>272</v>
      </c>
      <c r="D121" s="700"/>
      <c r="E121" s="255"/>
      <c r="F121" s="257"/>
      <c r="G121" s="257"/>
      <c r="H121" s="290"/>
      <c r="I121" s="290"/>
      <c r="J121" s="290"/>
      <c r="K121" s="290"/>
      <c r="L121" s="290"/>
      <c r="M121" s="290"/>
      <c r="N121" s="290"/>
      <c r="O121" s="247"/>
      <c r="P121" s="272">
        <f>SUM(H121:O121)</f>
        <v>0</v>
      </c>
    </row>
    <row r="122" spans="2:16" x14ac:dyDescent="0.25">
      <c r="B122" s="366"/>
      <c r="C122" s="700" t="s">
        <v>273</v>
      </c>
      <c r="D122" s="700"/>
      <c r="E122" s="255"/>
      <c r="F122" s="257"/>
      <c r="G122" s="257"/>
      <c r="H122" s="363">
        <f>'5.  2015 LRAM'!H127*H117</f>
        <v>2125.5315565357728</v>
      </c>
      <c r="I122" s="363">
        <f>'5.  2015 LRAM'!I127*I117</f>
        <v>1355.2875438487799</v>
      </c>
      <c r="J122" s="363">
        <f>'5.  2015 LRAM'!J126*J117</f>
        <v>0</v>
      </c>
      <c r="K122" s="363">
        <f>'5.  2015 LRAM'!K126*K117</f>
        <v>0</v>
      </c>
      <c r="L122" s="363">
        <f>'5.  2015 LRAM'!L126*L117</f>
        <v>0</v>
      </c>
      <c r="M122" s="363">
        <f>'5.  2015 LRAM'!M126*M117</f>
        <v>0</v>
      </c>
      <c r="N122" s="363">
        <f>'5.  2015 LRAM'!N126*N117</f>
        <v>0</v>
      </c>
      <c r="O122" s="247"/>
      <c r="P122" s="272">
        <f t="shared" ref="P122:P123" si="3">SUM(H122:O122)</f>
        <v>3480.8191003845527</v>
      </c>
    </row>
    <row r="123" spans="2:16" x14ac:dyDescent="0.25">
      <c r="B123" s="366"/>
      <c r="C123" s="700" t="s">
        <v>274</v>
      </c>
      <c r="D123" s="700"/>
      <c r="E123" s="255"/>
      <c r="F123" s="257"/>
      <c r="G123" s="257"/>
      <c r="H123" s="363" t="e">
        <f>'5-b. 2016 LRAM'!H125*H117</f>
        <v>#DIV/0!</v>
      </c>
      <c r="I123" s="363" t="e">
        <f>'5-b. 2016 LRAM'!I125*I117</f>
        <v>#DIV/0!</v>
      </c>
      <c r="J123" s="363" t="e">
        <f>'5-b. 2016 LRAM'!J125*J117</f>
        <v>#DIV/0!</v>
      </c>
      <c r="K123" s="363" t="e">
        <f>'5-b. 2016 LRAM'!K125*K117</f>
        <v>#DIV/0!</v>
      </c>
      <c r="L123" s="363">
        <f>'5-b. 2016 LRAM'!L125*L117</f>
        <v>0</v>
      </c>
      <c r="M123" s="363">
        <f>'5-b. 2016 LRAM'!M125*M117</f>
        <v>0</v>
      </c>
      <c r="N123" s="363" t="e">
        <f>'5-b. 2016 LRAM'!N125*N117</f>
        <v>#DIV/0!</v>
      </c>
      <c r="O123" s="247"/>
      <c r="P123" s="272" t="e">
        <f t="shared" si="3"/>
        <v>#DIV/0!</v>
      </c>
    </row>
    <row r="124" spans="2:16" x14ac:dyDescent="0.25">
      <c r="B124" s="366"/>
      <c r="C124" s="700" t="s">
        <v>279</v>
      </c>
      <c r="D124" s="700"/>
      <c r="E124" s="255"/>
      <c r="F124" s="257"/>
      <c r="G124" s="257"/>
      <c r="H124" s="363">
        <f>H112*H117</f>
        <v>0</v>
      </c>
      <c r="I124" s="363">
        <f>I112*I117</f>
        <v>0</v>
      </c>
      <c r="J124" s="363">
        <f>J113*J117</f>
        <v>0</v>
      </c>
      <c r="K124" s="363">
        <f>K113*K117</f>
        <v>0</v>
      </c>
      <c r="L124" s="363">
        <f>L113*L117</f>
        <v>0</v>
      </c>
      <c r="M124" s="363">
        <f>M113*M117</f>
        <v>0</v>
      </c>
      <c r="N124" s="363">
        <f>N112*N117</f>
        <v>0</v>
      </c>
      <c r="O124" s="247"/>
      <c r="P124" s="272">
        <f>SUM(H124:O124)</f>
        <v>0</v>
      </c>
    </row>
    <row r="125" spans="2:16" x14ac:dyDescent="0.25">
      <c r="B125" s="270"/>
      <c r="C125" s="364" t="s">
        <v>275</v>
      </c>
      <c r="D125" s="255"/>
      <c r="E125" s="255"/>
      <c r="F125" s="253"/>
      <c r="G125" s="253"/>
      <c r="H125" s="259" t="e">
        <f>SUM(H118:H124)</f>
        <v>#DIV/0!</v>
      </c>
      <c r="I125" s="259" t="e">
        <f>SUM(I118:I124)</f>
        <v>#DIV/0!</v>
      </c>
      <c r="J125" s="259" t="e">
        <f t="shared" ref="J125:N125" si="4">SUM(J118:J124)</f>
        <v>#DIV/0!</v>
      </c>
      <c r="K125" s="259" t="e">
        <f t="shared" si="4"/>
        <v>#DIV/0!</v>
      </c>
      <c r="L125" s="259">
        <f t="shared" si="4"/>
        <v>0</v>
      </c>
      <c r="M125" s="259">
        <f t="shared" si="4"/>
        <v>0</v>
      </c>
      <c r="N125" s="259" t="e">
        <f t="shared" si="4"/>
        <v>#DIV/0!</v>
      </c>
      <c r="O125" s="255"/>
      <c r="P125" s="273" t="e">
        <f>SUM(P118:P124)</f>
        <v>#DIV/0!</v>
      </c>
    </row>
    <row r="126" spans="2:16" x14ac:dyDescent="0.25">
      <c r="B126" s="270"/>
      <c r="C126" s="364"/>
      <c r="D126" s="255"/>
      <c r="E126" s="255"/>
      <c r="F126" s="253"/>
      <c r="G126" s="253"/>
      <c r="H126" s="259"/>
      <c r="I126" s="259"/>
      <c r="J126" s="259"/>
      <c r="K126" s="259"/>
      <c r="L126" s="259"/>
      <c r="M126" s="259"/>
      <c r="N126" s="259"/>
      <c r="O126" s="255"/>
      <c r="P126" s="273"/>
    </row>
    <row r="127" spans="2:16" x14ac:dyDescent="0.25">
      <c r="B127" s="397"/>
      <c r="C127" s="700" t="s">
        <v>276</v>
      </c>
      <c r="D127" s="700"/>
      <c r="E127" s="389"/>
      <c r="F127" s="154"/>
      <c r="G127" s="154"/>
      <c r="H127" s="290" t="e">
        <f>H112*'6.  Persistence Rates'!$G$46</f>
        <v>#DIV/0!</v>
      </c>
      <c r="I127" s="290" t="e">
        <f>I112*'6.  Persistence Rates'!$G$46</f>
        <v>#DIV/0!</v>
      </c>
      <c r="J127" s="290" t="e">
        <f>J113*'6.  Persistence Rates'!$T$46</f>
        <v>#DIV/0!</v>
      </c>
      <c r="K127" s="290" t="e">
        <f>K113*'6.  Persistence Rates'!$T$46</f>
        <v>#DIV/0!</v>
      </c>
      <c r="L127" s="290"/>
      <c r="M127" s="290"/>
      <c r="N127" s="290" t="e">
        <f>N112*'6.  Persistence Rates'!$G$46</f>
        <v>#DIV/0!</v>
      </c>
      <c r="O127" s="154"/>
      <c r="P127" s="336"/>
    </row>
    <row r="128" spans="2:16" x14ac:dyDescent="0.25">
      <c r="B128" s="397"/>
      <c r="C128" s="700" t="s">
        <v>277</v>
      </c>
      <c r="D128" s="700"/>
      <c r="E128" s="389"/>
      <c r="F128" s="154"/>
      <c r="G128" s="154"/>
      <c r="H128" s="290" t="e">
        <f>H112*'6.  Persistence Rates'!$H$46</f>
        <v>#DIV/0!</v>
      </c>
      <c r="I128" s="290" t="e">
        <f>I112*'6.  Persistence Rates'!$H$46</f>
        <v>#DIV/0!</v>
      </c>
      <c r="J128" s="290" t="e">
        <f>$J$114*'6.  Persistence Rates'!$U$46</f>
        <v>#DIV/0!</v>
      </c>
      <c r="K128" s="290" t="e">
        <f>$K$114*'6.  Persistence Rates'!$U$46</f>
        <v>#DIV/0!</v>
      </c>
      <c r="L128" s="290"/>
      <c r="M128" s="290"/>
      <c r="N128" s="290" t="e">
        <f>N112*'6.  Persistence Rates'!$H$46</f>
        <v>#DIV/0!</v>
      </c>
      <c r="O128" s="154"/>
      <c r="P128" s="336"/>
    </row>
    <row r="129" spans="2:16" x14ac:dyDescent="0.25">
      <c r="B129" s="398"/>
      <c r="C129" s="728" t="s">
        <v>278</v>
      </c>
      <c r="D129" s="728"/>
      <c r="E129" s="399"/>
      <c r="F129" s="317"/>
      <c r="G129" s="317"/>
      <c r="H129" s="383" t="e">
        <f>H112*'6.  Persistence Rates'!$I$46</f>
        <v>#DIV/0!</v>
      </c>
      <c r="I129" s="383" t="e">
        <f>I112*'6.  Persistence Rates'!$I$46</f>
        <v>#DIV/0!</v>
      </c>
      <c r="J129" s="383" t="e">
        <f>$J$114*'6.  Persistence Rates'!$V$46</f>
        <v>#DIV/0!</v>
      </c>
      <c r="K129" s="383" t="e">
        <f>$K$114*'6.  Persistence Rates'!$V$46</f>
        <v>#DIV/0!</v>
      </c>
      <c r="L129" s="383"/>
      <c r="M129" s="383"/>
      <c r="N129" s="383" t="e">
        <f>N112*'6.  Persistence Rates'!$I$46</f>
        <v>#DIV/0!</v>
      </c>
      <c r="O129" s="317"/>
      <c r="P129" s="38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Philip Wormwell</cp:lastModifiedBy>
  <cp:lastPrinted>2016-09-28T19:59:34Z</cp:lastPrinted>
  <dcterms:created xsi:type="dcterms:W3CDTF">2012-03-05T18:56:04Z</dcterms:created>
  <dcterms:modified xsi:type="dcterms:W3CDTF">2016-09-28T21:21:43Z</dcterms:modified>
</cp:coreProperties>
</file>