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450" windowHeight="9855" firstSheet="1"/>
  </bookViews>
  <sheets>
    <sheet name="Year 1-January 1, 2016" sheetId="1" r:id="rId1"/>
    <sheet name="Year 2-January 1, 2017" sheetId="5" r:id="rId2"/>
    <sheet name="Year 3-Janaury 1, 2018" sheetId="9" r:id="rId3"/>
    <sheet name="Year 4-January 1, 2019" sheetId="10" r:id="rId4"/>
    <sheet name="Year 5-January 1, 2020" sheetId="11" r:id="rId5"/>
    <sheet name="Sheet2" sheetId="2" r:id="rId6"/>
    <sheet name="Sheet3" sheetId="3" r:id="rId7"/>
  </sheets>
  <definedNames>
    <definedName name="_xlnm.Print_Area" localSheetId="0">'Year 1-January 1, 2016'!$A$1:$E$52</definedName>
    <definedName name="_xlnm.Print_Area" localSheetId="1">'Year 2-January 1, 2017'!$A$1:$E$52</definedName>
    <definedName name="_xlnm.Print_Area" localSheetId="2">'Year 3-Janaury 1, 2018'!$A$1:$E$52</definedName>
    <definedName name="_xlnm.Print_Area" localSheetId="3">'Year 4-January 1, 2019'!$A$1:$E$52</definedName>
    <definedName name="_xlnm.Print_Area" localSheetId="4">'Year 5-January 1, 2020'!$A$1:$E$52</definedName>
    <definedName name="_xlnm.Print_Titles" localSheetId="0">'Year 1-January 1, 2016'!$1:$3</definedName>
    <definedName name="_xlnm.Print_Titles" localSheetId="1">'Year 2-January 1, 2017'!$1:$3</definedName>
    <definedName name="_xlnm.Print_Titles" localSheetId="2">'Year 3-Janaury 1, 2018'!$1:$3</definedName>
    <definedName name="_xlnm.Print_Titles" localSheetId="3">'Year 4-January 1, 2019'!$1:$3</definedName>
    <definedName name="_xlnm.Print_Titles" localSheetId="4">'Year 5-January 1, 2020'!$1:$3</definedName>
  </definedNames>
  <calcPr calcId="145621"/>
</workbook>
</file>

<file path=xl/calcChain.xml><?xml version="1.0" encoding="utf-8"?>
<calcChain xmlns="http://schemas.openxmlformats.org/spreadsheetml/2006/main">
  <c r="C21" i="11" l="1"/>
  <c r="D21" i="11" s="1"/>
  <c r="C20" i="11"/>
  <c r="D20" i="11" s="1"/>
  <c r="C21" i="10"/>
  <c r="D21" i="10" s="1"/>
  <c r="C20" i="10"/>
  <c r="D20" i="10" s="1"/>
  <c r="C21" i="9"/>
  <c r="D21" i="9" s="1"/>
  <c r="C20" i="9"/>
  <c r="D20" i="9" s="1"/>
  <c r="C21" i="5"/>
  <c r="D21" i="5" s="1"/>
  <c r="C20" i="5"/>
  <c r="D20" i="5" s="1"/>
  <c r="D22" i="11" l="1"/>
  <c r="D22" i="10"/>
  <c r="D22" i="9"/>
  <c r="D22" i="5"/>
  <c r="E20" i="11" l="1"/>
  <c r="B29" i="11" s="1"/>
  <c r="C29" i="11" s="1"/>
  <c r="E21" i="11"/>
  <c r="B30" i="11" s="1"/>
  <c r="C30" i="11" s="1"/>
  <c r="D30" i="11" s="1"/>
  <c r="E20" i="10"/>
  <c r="B29" i="10" s="1"/>
  <c r="C29" i="10" s="1"/>
  <c r="E21" i="10"/>
  <c r="E20" i="9"/>
  <c r="B29" i="9" s="1"/>
  <c r="C29" i="9" s="1"/>
  <c r="D29" i="9" s="1"/>
  <c r="E21" i="9"/>
  <c r="B30" i="9" s="1"/>
  <c r="C30" i="9" s="1"/>
  <c r="D30" i="9" s="1"/>
  <c r="E20" i="5"/>
  <c r="B29" i="5" s="1"/>
  <c r="C29" i="5" s="1"/>
  <c r="D29" i="5" s="1"/>
  <c r="E21" i="5"/>
  <c r="C21" i="1"/>
  <c r="B21" i="1"/>
  <c r="D21" i="1" s="1"/>
  <c r="C20" i="1"/>
  <c r="B20" i="1"/>
  <c r="D20" i="1" s="1"/>
  <c r="B30" i="5" l="1"/>
  <c r="C30" i="5" s="1"/>
  <c r="D30" i="5" s="1"/>
  <c r="E21" i="1"/>
  <c r="B30" i="1" s="1"/>
  <c r="E20" i="1"/>
  <c r="B29" i="1" s="1"/>
  <c r="B34" i="11"/>
  <c r="B30" i="10"/>
  <c r="C30" i="10" s="1"/>
  <c r="D30" i="10" s="1"/>
  <c r="E22" i="5"/>
  <c r="D22" i="1"/>
  <c r="B34" i="5"/>
  <c r="C34" i="5" s="1"/>
  <c r="E22" i="11"/>
  <c r="B31" i="11"/>
  <c r="B34" i="10"/>
  <c r="C34" i="10" s="1"/>
  <c r="D34" i="10" s="1"/>
  <c r="E22" i="10"/>
  <c r="B34" i="9"/>
  <c r="C34" i="9" s="1"/>
  <c r="D34" i="9" s="1"/>
  <c r="E34" i="9" s="1"/>
  <c r="E22" i="9"/>
  <c r="B35" i="11" l="1"/>
  <c r="C34" i="11"/>
  <c r="C30" i="1"/>
  <c r="D30" i="1" s="1"/>
  <c r="D29" i="11"/>
  <c r="D31" i="11" s="1"/>
  <c r="D31" i="5"/>
  <c r="B34" i="1"/>
  <c r="C34" i="1" s="1"/>
  <c r="D34" i="1" s="1"/>
  <c r="E34" i="1" s="1"/>
  <c r="B35" i="5"/>
  <c r="B31" i="5"/>
  <c r="B36" i="11"/>
  <c r="D34" i="11"/>
  <c r="B35" i="10"/>
  <c r="B31" i="10"/>
  <c r="D31" i="9"/>
  <c r="B31" i="9"/>
  <c r="B35" i="9"/>
  <c r="D34" i="5"/>
  <c r="E34" i="5" s="1"/>
  <c r="B39" i="11" l="1"/>
  <c r="E34" i="11"/>
  <c r="E36" i="11" s="1"/>
  <c r="D35" i="11"/>
  <c r="E35" i="11" s="1"/>
  <c r="C35" i="11"/>
  <c r="C36" i="11" s="1"/>
  <c r="C35" i="9"/>
  <c r="D35" i="9" s="1"/>
  <c r="E35" i="9" s="1"/>
  <c r="C35" i="5"/>
  <c r="C36" i="5" s="1"/>
  <c r="C35" i="10"/>
  <c r="C36" i="10" s="1"/>
  <c r="D29" i="10"/>
  <c r="D31" i="10" s="1"/>
  <c r="B39" i="5"/>
  <c r="B35" i="1"/>
  <c r="C35" i="1" s="1"/>
  <c r="E22" i="1"/>
  <c r="B36" i="9"/>
  <c r="B36" i="5"/>
  <c r="B36" i="10"/>
  <c r="E34" i="10"/>
  <c r="C36" i="9"/>
  <c r="B40" i="11" l="1"/>
  <c r="B41" i="11" s="1"/>
  <c r="D35" i="5"/>
  <c r="D35" i="10"/>
  <c r="E35" i="10" s="1"/>
  <c r="E36" i="10" s="1"/>
  <c r="B36" i="1"/>
  <c r="D35" i="1"/>
  <c r="E35" i="1" s="1"/>
  <c r="C29" i="1"/>
  <c r="B31" i="1"/>
  <c r="B40" i="10"/>
  <c r="B41" i="10" s="1"/>
  <c r="B39" i="10"/>
  <c r="B40" i="9"/>
  <c r="B41" i="9" s="1"/>
  <c r="B39" i="9"/>
  <c r="E36" i="9"/>
  <c r="E35" i="5" l="1"/>
  <c r="E36" i="5" s="1"/>
  <c r="B40" i="5"/>
  <c r="B41" i="5" s="1"/>
  <c r="D29" i="1"/>
  <c r="D31" i="1" s="1"/>
  <c r="E36" i="1"/>
  <c r="C36" i="1"/>
  <c r="B40" i="1"/>
  <c r="B41" i="1" s="1"/>
  <c r="B39" i="1"/>
  <c r="D40" i="11" l="1"/>
</calcChain>
</file>

<file path=xl/sharedStrings.xml><?xml version="1.0" encoding="utf-8"?>
<sst xmlns="http://schemas.openxmlformats.org/spreadsheetml/2006/main" count="214" uniqueCount="37">
  <si>
    <t>A)  Data Inputs</t>
  </si>
  <si>
    <t>Customers</t>
  </si>
  <si>
    <t>kWh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</si>
  <si>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</si>
  <si>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</si>
  <si>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</si>
  <si>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</si>
  <si>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</si>
  <si>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</si>
  <si>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</si>
  <si>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</si>
  <si>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</si>
  <si>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</si>
  <si>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</si>
  <si>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</si>
  <si>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</si>
  <si>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</si>
  <si>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</si>
  <si>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</si>
  <si>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</si>
  <si>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</si>
  <si>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</si>
  <si>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</si>
  <si>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</si>
  <si>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</si>
  <si>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</si>
  <si>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</si>
  <si>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</si>
  <si>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</si>
  <si>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</si>
  <si>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Approved Residential Class Specific Revenue Requirement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(EB-2013-0134)</t>
    </r>
  </si>
  <si>
    <t>Approved Billing Determinants for Residential Class (EB-2013-0134)</t>
  </si>
  <si>
    <t>Residential Base Rates on Current Tariff (EB-2013-0134)</t>
  </si>
  <si>
    <t>Cumulative Difference</t>
  </si>
  <si>
    <t>Filing Requirements Appendix 2-PA</t>
  </si>
  <si>
    <t>Rate Design Policy For Residential Customers</t>
  </si>
  <si>
    <t>5 Year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</si>
</sst>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4" applyProtection="1"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3" xfId="4" applyFont="1" applyBorder="1" applyProtection="1">
      <protection locked="0"/>
    </xf>
    <xf numFmtId="165" fontId="2" fillId="2" borderId="4" xfId="1" applyNumberFormat="1" applyFont="1" applyFill="1" applyBorder="1" applyAlignment="1" applyProtection="1">
      <alignment horizontal="right" vertical="top"/>
      <protection locked="0"/>
    </xf>
    <xf numFmtId="0" fontId="2" fillId="0" borderId="5" xfId="4" applyFont="1" applyBorder="1" applyProtection="1">
      <protection locked="0"/>
    </xf>
    <xf numFmtId="165" fontId="2" fillId="2" borderId="6" xfId="1" applyNumberFormat="1" applyFont="1" applyFill="1" applyBorder="1" applyAlignment="1" applyProtection="1">
      <alignment horizontal="right" vertical="top"/>
      <protection locked="0"/>
    </xf>
    <xf numFmtId="44" fontId="2" fillId="2" borderId="8" xfId="2" applyFont="1" applyFill="1" applyBorder="1" applyAlignment="1" applyProtection="1">
      <alignment horizontal="right" vertical="top"/>
      <protection locked="0"/>
    </xf>
    <xf numFmtId="0" fontId="2" fillId="2" borderId="4" xfId="4" applyFont="1" applyFill="1" applyBorder="1" applyAlignment="1" applyProtection="1">
      <alignment horizontal="right" vertical="top"/>
      <protection locked="0"/>
    </xf>
    <xf numFmtId="0" fontId="2" fillId="2" borderId="6" xfId="4" applyFont="1" applyFill="1" applyBorder="1" applyAlignment="1" applyProtection="1">
      <alignment horizontal="right" vertical="top"/>
      <protection locked="0"/>
    </xf>
    <xf numFmtId="0" fontId="2" fillId="0" borderId="9" xfId="4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14" xfId="4" applyBorder="1" applyProtection="1">
      <protection locked="0"/>
    </xf>
    <xf numFmtId="165" fontId="0" fillId="0" borderId="15" xfId="1" applyNumberFormat="1" applyFont="1" applyBorder="1" applyProtection="1">
      <protection locked="0"/>
    </xf>
    <xf numFmtId="44" fontId="0" fillId="0" borderId="14" xfId="2" applyFont="1" applyBorder="1" applyProtection="1">
      <protection locked="0"/>
    </xf>
    <xf numFmtId="10" fontId="0" fillId="0" borderId="4" xfId="3" applyNumberFormat="1" applyFont="1" applyBorder="1" applyProtection="1">
      <protection locked="0"/>
    </xf>
    <xf numFmtId="165" fontId="0" fillId="0" borderId="16" xfId="1" applyNumberFormat="1" applyFont="1" applyBorder="1" applyProtection="1">
      <protection locked="0"/>
    </xf>
    <xf numFmtId="0" fontId="3" fillId="0" borderId="5" xfId="4" applyFont="1" applyBorder="1" applyProtection="1">
      <protection locked="0"/>
    </xf>
    <xf numFmtId="0" fontId="2" fillId="0" borderId="17" xfId="4" applyFont="1" applyBorder="1" applyAlignment="1" applyProtection="1">
      <alignment horizontal="center"/>
      <protection locked="0"/>
    </xf>
    <xf numFmtId="165" fontId="2" fillId="0" borderId="18" xfId="1" applyNumberFormat="1" applyFont="1" applyBorder="1" applyAlignment="1" applyProtection="1">
      <alignment horizontal="center"/>
      <protection locked="0"/>
    </xf>
    <xf numFmtId="44" fontId="0" fillId="0" borderId="19" xfId="2" applyFont="1" applyBorder="1" applyProtection="1">
      <protection locked="0"/>
    </xf>
    <xf numFmtId="0" fontId="3" fillId="0" borderId="0" xfId="4" applyFont="1" applyFill="1" applyBorder="1" applyProtection="1">
      <protection locked="0"/>
    </xf>
    <xf numFmtId="0" fontId="2" fillId="0" borderId="7" xfId="4" applyFont="1" applyFill="1" applyBorder="1" applyAlignment="1" applyProtection="1">
      <alignment wrapText="1"/>
      <protection locked="0"/>
    </xf>
    <xf numFmtId="0" fontId="2" fillId="2" borderId="8" xfId="4" applyFont="1" applyFill="1" applyBorder="1" applyAlignment="1" applyProtection="1">
      <alignment horizontal="center" vertical="center"/>
      <protection locked="0"/>
    </xf>
    <xf numFmtId="0" fontId="2" fillId="0" borderId="9" xfId="4" applyFont="1" applyBorder="1" applyProtection="1"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10" xfId="4" applyFont="1" applyBorder="1" applyAlignment="1" applyProtection="1">
      <alignment horizontal="center" vertical="center" wrapText="1"/>
      <protection locked="0"/>
    </xf>
    <xf numFmtId="0" fontId="3" fillId="0" borderId="20" xfId="4" applyFont="1" applyBorder="1" applyAlignment="1" applyProtection="1">
      <alignment horizontal="center" wrapText="1"/>
      <protection locked="0"/>
    </xf>
    <xf numFmtId="44" fontId="0" fillId="0" borderId="4" xfId="2" applyFont="1" applyBorder="1" applyProtection="1">
      <protection locked="0"/>
    </xf>
    <xf numFmtId="0" fontId="2" fillId="0" borderId="22" xfId="4" applyFont="1" applyBorder="1" applyProtection="1">
      <protection locked="0"/>
    </xf>
    <xf numFmtId="44" fontId="0" fillId="0" borderId="16" xfId="2" applyFont="1" applyBorder="1" applyProtection="1">
      <protection locked="0"/>
    </xf>
    <xf numFmtId="0" fontId="2" fillId="0" borderId="24" xfId="4" applyFont="1" applyFill="1" applyBorder="1" applyProtection="1">
      <protection locked="0"/>
    </xf>
    <xf numFmtId="44" fontId="0" fillId="0" borderId="18" xfId="2" applyFont="1" applyBorder="1" applyProtection="1">
      <protection locked="0"/>
    </xf>
    <xf numFmtId="0" fontId="2" fillId="0" borderId="25" xfId="4" applyBorder="1" applyAlignment="1" applyProtection="1">
      <alignment horizontal="center"/>
      <protection locked="0"/>
    </xf>
    <xf numFmtId="44" fontId="0" fillId="0" borderId="26" xfId="2" applyFont="1" applyBorder="1" applyProtection="1"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0" xfId="4" applyFont="1" applyBorder="1" applyAlignment="1" applyProtection="1">
      <alignment horizontal="center" wrapText="1"/>
      <protection locked="0"/>
    </xf>
    <xf numFmtId="0" fontId="3" fillId="0" borderId="13" xfId="4" applyFont="1" applyBorder="1" applyAlignment="1" applyProtection="1">
      <alignment horizontal="center" wrapText="1"/>
      <protection locked="0"/>
    </xf>
    <xf numFmtId="10" fontId="0" fillId="0" borderId="14" xfId="3" applyNumberFormat="1" applyFont="1" applyBorder="1" applyProtection="1">
      <protection locked="0"/>
    </xf>
    <xf numFmtId="164" fontId="2" fillId="0" borderId="14" xfId="4" applyNumberFormat="1" applyBorder="1" applyProtection="1">
      <protection locked="0"/>
    </xf>
    <xf numFmtId="10" fontId="0" fillId="0" borderId="16" xfId="3" applyNumberFormat="1" applyFont="1" applyBorder="1" applyProtection="1">
      <protection locked="0"/>
    </xf>
    <xf numFmtId="164" fontId="2" fillId="0" borderId="16" xfId="4" applyNumberFormat="1" applyBorder="1" applyProtection="1">
      <protection locked="0"/>
    </xf>
    <xf numFmtId="44" fontId="0" fillId="0" borderId="27" xfId="2" applyFont="1" applyBorder="1" applyProtection="1">
      <protection locked="0"/>
    </xf>
    <xf numFmtId="44" fontId="0" fillId="0" borderId="6" xfId="2" applyFont="1" applyBorder="1" applyProtection="1">
      <protection locked="0"/>
    </xf>
    <xf numFmtId="0" fontId="3" fillId="0" borderId="13" xfId="4" applyFont="1" applyBorder="1" applyAlignment="1" applyProtection="1">
      <alignment horizontal="center"/>
      <protection locked="0"/>
    </xf>
    <xf numFmtId="10" fontId="0" fillId="0" borderId="6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2" fillId="0" borderId="7" xfId="4" applyFont="1" applyBorder="1" applyAlignment="1" applyProtection="1">
      <alignment vertical="top" wrapText="1"/>
      <protection locked="0"/>
    </xf>
    <xf numFmtId="0" fontId="2" fillId="0" borderId="0" xfId="4" applyAlignment="1" applyProtection="1">
      <alignment vertical="top"/>
      <protection locked="0"/>
    </xf>
    <xf numFmtId="0" fontId="0" fillId="0" borderId="0" xfId="0" applyAlignment="1">
      <alignment vertical="top"/>
    </xf>
    <xf numFmtId="10" fontId="2" fillId="0" borderId="18" xfId="4" applyNumberFormat="1" applyBorder="1" applyAlignment="1" applyProtection="1">
      <protection locked="0"/>
    </xf>
    <xf numFmtId="10" fontId="2" fillId="0" borderId="6" xfId="4" applyNumberFormat="1" applyFont="1" applyBorder="1" applyAlignment="1" applyProtection="1">
      <protection locked="0"/>
    </xf>
    <xf numFmtId="164" fontId="2" fillId="0" borderId="0" xfId="4" applyNumberFormat="1" applyProtection="1">
      <protection locked="0"/>
    </xf>
    <xf numFmtId="44" fontId="2" fillId="0" borderId="21" xfId="2" applyFont="1" applyBorder="1" applyProtection="1">
      <protection locked="0"/>
    </xf>
    <xf numFmtId="166" fontId="2" fillId="0" borderId="23" xfId="2" applyNumberFormat="1" applyFont="1" applyBorder="1" applyProtection="1">
      <protection locked="0"/>
    </xf>
    <xf numFmtId="10" fontId="2" fillId="0" borderId="6" xfId="4" applyNumberFormat="1" applyFont="1" applyFill="1" applyBorder="1" applyAlignment="1" applyProtection="1">
      <protection locked="0"/>
    </xf>
    <xf numFmtId="2" fontId="2" fillId="0" borderId="14" xfId="4" applyNumberFormat="1" applyBorder="1" applyProtection="1">
      <protection locked="0"/>
    </xf>
    <xf numFmtId="0" fontId="3" fillId="0" borderId="0" xfId="4" applyFont="1" applyFill="1" applyProtection="1"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/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9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22" xfId="4" applyFont="1" applyBorder="1" applyAlignment="1" applyProtection="1">
      <alignment wrapText="1"/>
      <protection locked="0"/>
    </xf>
    <xf numFmtId="0" fontId="2" fillId="0" borderId="28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zoomScaleNormal="100" workbookViewId="0">
      <selection activeCell="E11" sqref="E1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15" t="s">
        <v>9</v>
      </c>
      <c r="F19" s="1"/>
    </row>
    <row r="20" spans="1:6" x14ac:dyDescent="0.25">
      <c r="A20" s="4" t="s">
        <v>10</v>
      </c>
      <c r="B20" s="16">
        <f>IF(B14="","",B14)</f>
        <v>17.010000000000002</v>
      </c>
      <c r="C20" s="17">
        <f>IF(B8="","",B8)</f>
        <v>18825</v>
      </c>
      <c r="D20" s="18">
        <f>ROUND(IF(ISERROR(B20*C20*12),"",B20*C20*12),2)</f>
        <v>3842559</v>
      </c>
      <c r="E20" s="19">
        <f>ROUND(IF(ISERROR(D20/D22),"",D20/D22),4)</f>
        <v>0.47760000000000002</v>
      </c>
      <c r="F20" s="1"/>
    </row>
    <row r="21" spans="1:6" x14ac:dyDescent="0.25">
      <c r="A21" s="4" t="s">
        <v>11</v>
      </c>
      <c r="B21" s="16">
        <f>IF(B15="","",B15)</f>
        <v>2.4799999999999999E-2</v>
      </c>
      <c r="C21" s="20">
        <f>IF(B9="","",B9)</f>
        <v>169468358</v>
      </c>
      <c r="D21" s="18">
        <f>ROUND(IF(ISERROR(B21*C21),"",B21*C21),2)</f>
        <v>4202815.28</v>
      </c>
      <c r="E21" s="19">
        <f>ROUND(IF(ISERROR(D21/D22),"",D21/D22),4)</f>
        <v>0.52239999999999998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8045374.2800000003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5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3842892.82</v>
      </c>
      <c r="C29" s="59">
        <f>IF(ISERROR(ROUND(B29/B8/12,2)),"",ROUND(B29/B8/12,2))</f>
        <v>17.010000000000002</v>
      </c>
      <c r="D29" s="32">
        <f>ROUND(IF(ISERROR(C29*B8*12),"",C29*B8*12),2)</f>
        <v>3842559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4203365.18</v>
      </c>
      <c r="C30" s="60">
        <f>IF(ISERROR(ROUND(B30/B9,4)),"",ROUND(B30/B9,4))</f>
        <v>2.4799999999999999E-2</v>
      </c>
      <c r="D30" s="32">
        <f>ROUND(IF(ISERROR(C30*B9),"",C30*B9),2)</f>
        <v>4202815.28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/>
      <c r="D31" s="38">
        <f>IF(ISERROR(D29+D30),"",D29+D30)</f>
        <v>8045374.2800000003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0.58209999999999995</v>
      </c>
      <c r="C34" s="43">
        <f>ROUND(IF(ISERROR(B34*B$11),"",B34*B$11),2)</f>
        <v>4683726.78</v>
      </c>
      <c r="D34" s="59">
        <f>IF(ISERROR(ROUND(C34/B8/12,2)),"",ROUND(C34/B8/12,2))+0.01</f>
        <v>20.740000000000002</v>
      </c>
      <c r="E34" s="32">
        <f>ROUND(IF(ISERROR(D34*12*B8),"",D34*12*B8),2)</f>
        <v>4685166</v>
      </c>
      <c r="F34" s="2"/>
    </row>
    <row r="35" spans="1:6" x14ac:dyDescent="0.25">
      <c r="A35" s="33" t="s">
        <v>11</v>
      </c>
      <c r="B35" s="44">
        <f>ROUND(IF(ISERROR(1-B34),"",1-B34),4)</f>
        <v>0.41789999999999999</v>
      </c>
      <c r="C35" s="45">
        <f>ROUND(IF(ISERROR(B35*B$11),"",B35*B$11),2)</f>
        <v>3362531.22</v>
      </c>
      <c r="D35" s="60">
        <f>IF(ISERROR(ROUND(C35/B9,4)),"",ROUND(C35/B9,4))</f>
        <v>1.9800000000000002E-2</v>
      </c>
      <c r="E35" s="46">
        <f>ROUND(IF(ISERROR(D35*B9),"",D35*B9),2)</f>
        <v>3355473.49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/>
      <c r="E36" s="47">
        <f>IF(ISERROR(E34+E35),"",E34+E35)</f>
        <v>8040639.4900000002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3.7300000000000004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-5618.51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-6.9827614277344829E-4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&amp;R&amp;"Arial,Regular"&amp;10Filed: 2016-10-18
EB-2016-0082
Draft Rate Order
Attachment 2
Page &amp;P of &amp;N</oddHeader>
    <oddFooter>&amp;R&amp;"Arial,Regular"&amp;10Page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zoomScaleNormal="100" workbookViewId="0">
      <selection activeCell="E11" sqref="E1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20.74</v>
      </c>
      <c r="C20" s="17">
        <f>IF(B8="","",B8)</f>
        <v>18825</v>
      </c>
      <c r="D20" s="18">
        <f>ROUND(IF(ISERROR(B20*C20*12),"",B20*C20*12),2)</f>
        <v>4685166</v>
      </c>
      <c r="E20" s="19">
        <f>ROUND(IF(ISERROR(D20/D22),"",D20/D22),4)</f>
        <v>0.5827</v>
      </c>
      <c r="F20" s="1"/>
    </row>
    <row r="21" spans="1:6" x14ac:dyDescent="0.25">
      <c r="A21" s="4" t="s">
        <v>11</v>
      </c>
      <c r="B21" s="16">
        <v>1.9800000000000002E-2</v>
      </c>
      <c r="C21" s="20">
        <f>IF(B9="","",B9)</f>
        <v>169468358</v>
      </c>
      <c r="D21" s="18">
        <f>ROUND(IF(ISERROR(B21*C21),"",B21*C21),2)</f>
        <v>3355473.49</v>
      </c>
      <c r="E21" s="19">
        <f>ROUND(IF(ISERROR(D21/D22),"",D21/D22),4)</f>
        <v>0.4173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8040639.4900000002</v>
      </c>
      <c r="E22" s="61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4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4688554.54</v>
      </c>
      <c r="C29" s="59">
        <f>IF(ISERROR(ROUND(B29/B8/12,2)),"",ROUND(B29/B8/12,2))-0.02</f>
        <v>20.740000000000002</v>
      </c>
      <c r="D29" s="32">
        <f>ROUND(IF(ISERROR(C29*B8*12),"",C29*B8*12),2)</f>
        <v>4685166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3357703.46</v>
      </c>
      <c r="C30" s="60">
        <f>IF(ISERROR(ROUND(B30/B9,4)),"",ROUND(B30/B9,4))</f>
        <v>1.9800000000000002E-2</v>
      </c>
      <c r="D30" s="32">
        <f>ROUND(IF(ISERROR(C30*B9),"",C30*B9),2)</f>
        <v>3355473.49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8040639.4900000002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0.68700000000000006</v>
      </c>
      <c r="C34" s="43">
        <f>ROUND(IF(ISERROR(B34*B$11),"",B34*B$11),2)</f>
        <v>5527779.25</v>
      </c>
      <c r="D34" s="59">
        <f>IF(ISERROR(ROUND(C34/B8/12,2)),"",ROUND(C34/B8/12,2))</f>
        <v>24.47</v>
      </c>
      <c r="E34" s="32">
        <f>ROUND(IF(ISERROR(D34*12*B8),"",D34*12*B8),2)</f>
        <v>5527773</v>
      </c>
      <c r="F34" s="2"/>
    </row>
    <row r="35" spans="1:6" x14ac:dyDescent="0.25">
      <c r="A35" s="33" t="s">
        <v>11</v>
      </c>
      <c r="B35" s="44">
        <f>ROUND(IF(ISERROR(1-B34),"",1-B34),4)</f>
        <v>0.313</v>
      </c>
      <c r="C35" s="45">
        <f>ROUND(IF(ISERROR(B35*B$11),"",B35*B$11),2)</f>
        <v>2518478.75</v>
      </c>
      <c r="D35" s="60">
        <f>IF(ISERROR(ROUND(C35/B9,4)),"",ROUND(C35/B9,4))</f>
        <v>1.49E-2</v>
      </c>
      <c r="E35" s="46">
        <f>ROUND(IF(ISERROR(D35*B9),"",D35*B9),2)</f>
        <v>2525078.5299999998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8052851.5299999993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3.7299999999999969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6593.53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8.1945296807534626E-4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&amp;R&amp;"Arial,Regular"&amp;10Filed: 2016-10-18
EB-2016-0082
Draft Rate Order
Attachment 2
Page &amp;P of &amp;N</oddHeader>
    <oddFooter>&amp;R&amp;"Arial,Regular"&amp;10Page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zoomScaleNormal="100" workbookViewId="0">
      <selection activeCell="E11" sqref="E1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24.47</v>
      </c>
      <c r="C20" s="17">
        <f>IF(B8="","",B8)</f>
        <v>18825</v>
      </c>
      <c r="D20" s="18">
        <f>ROUND(IF(ISERROR(B20*C20*12),"",B20*C20*12),2)</f>
        <v>5527773</v>
      </c>
      <c r="E20" s="19">
        <f>ROUND(IF(ISERROR(D20/D22),"",D20/D22),4)</f>
        <v>0.68640000000000001</v>
      </c>
      <c r="F20" s="1"/>
    </row>
    <row r="21" spans="1:6" x14ac:dyDescent="0.25">
      <c r="A21" s="4" t="s">
        <v>11</v>
      </c>
      <c r="B21" s="16">
        <v>1.49E-2</v>
      </c>
      <c r="C21" s="20">
        <f>IF(B9="","",B9)</f>
        <v>169468358</v>
      </c>
      <c r="D21" s="18">
        <f>ROUND(IF(ISERROR(B21*C21),"",B21*C21),2)</f>
        <v>2525078.5299999998</v>
      </c>
      <c r="E21" s="19">
        <f>ROUND(IF(ISERROR(D21/D22),"",D21/D22),4)</f>
        <v>0.31359999999999999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8052851.5299999993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3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5522951.4900000002</v>
      </c>
      <c r="C29" s="59">
        <f>IF(ISERROR(ROUND(B29/B8/12,2)),"",ROUND(B29/B8/12,2))+0.02</f>
        <v>24.47</v>
      </c>
      <c r="D29" s="32">
        <f>ROUND(IF(ISERROR(C29*B8*12),"",C29*B8*12),2)</f>
        <v>5527773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2523306.5099999998</v>
      </c>
      <c r="C30" s="60">
        <f>IF(ISERROR(ROUND(B30/B9,4)),"",ROUND(B30/B9,4))</f>
        <v>1.49E-2</v>
      </c>
      <c r="D30" s="32">
        <f>ROUND(IF(ISERROR(C30*B9),"",C30*B9),2)</f>
        <v>2525078.5299999998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8052851.5299999993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0.79090000000000005</v>
      </c>
      <c r="C34" s="43">
        <f>ROUND(IF(ISERROR(B34*B$11),"",B34*B$11),2)</f>
        <v>6363785.4500000002</v>
      </c>
      <c r="D34" s="59">
        <f>IF(ISERROR(ROUND(C34/B8/12,2)),"",ROUND(C34/B8/12,2))+0.03</f>
        <v>28.200000000000003</v>
      </c>
      <c r="E34" s="32">
        <f>ROUND(IF(ISERROR(D34*12*B8),"",D34*12*B8),2)</f>
        <v>6370380</v>
      </c>
      <c r="F34" s="2"/>
    </row>
    <row r="35" spans="1:6" x14ac:dyDescent="0.25">
      <c r="A35" s="33" t="s">
        <v>11</v>
      </c>
      <c r="B35" s="44">
        <f>ROUND(IF(ISERROR(1-B34),"",1-B34),4)</f>
        <v>0.20910000000000001</v>
      </c>
      <c r="C35" s="45">
        <f>ROUND(IF(ISERROR(B35*B$11),"",B35*B$11),2)</f>
        <v>1682472.55</v>
      </c>
      <c r="D35" s="60">
        <f>IF(ISERROR(ROUND(C35/B9,4)),"",ROUND(C35/B9,4))</f>
        <v>9.9000000000000008E-3</v>
      </c>
      <c r="E35" s="46">
        <f>ROUND(IF(ISERROR(D35*B9),"",D35*B9),2)</f>
        <v>1677736.74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8048116.7400000002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3.730000000000004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1858.74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2.3100676115530972E-4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&amp;R&amp;"Arial,Regular"&amp;10Filed: 2016-10-18
EB-2016-0082
Draft Rate Order
Attachment 2
Page &amp;P of &amp;N</oddHeader>
    <oddFooter>&amp;R&amp;"Arial,Regular"&amp;10Page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zoomScaleNormal="100" workbookViewId="0">
      <selection activeCell="E11" sqref="E1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62">
        <v>28.2</v>
      </c>
      <c r="C20" s="17">
        <f>IF(B8="","",B8)</f>
        <v>18825</v>
      </c>
      <c r="D20" s="18">
        <f>ROUND(IF(ISERROR(B20*C20*12),"",B20*C20*12),2)</f>
        <v>6370380</v>
      </c>
      <c r="E20" s="19">
        <f>ROUND(IF(ISERROR(D20/D22),"",D20/D22),4)</f>
        <v>0.79149999999999998</v>
      </c>
      <c r="F20" s="1"/>
    </row>
    <row r="21" spans="1:6" x14ac:dyDescent="0.25">
      <c r="A21" s="4" t="s">
        <v>11</v>
      </c>
      <c r="B21" s="16">
        <v>9.9000000000000008E-3</v>
      </c>
      <c r="C21" s="20">
        <f>IF(B9="","",B9)</f>
        <v>169468358</v>
      </c>
      <c r="D21" s="18">
        <f>ROUND(IF(ISERROR(B21*C21),"",B21*C21),2)</f>
        <v>1677736.74</v>
      </c>
      <c r="E21" s="19">
        <f>ROUND(IF(ISERROR(D21/D22),"",D21/D22),4)</f>
        <v>0.20849999999999999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8048116.7400000002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2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6368613.21</v>
      </c>
      <c r="C29" s="59">
        <f>IF(ISERROR(ROUND(B29/B8/12,2)),"",ROUND(B29/B8/12,2))+0.01</f>
        <v>28.200000000000003</v>
      </c>
      <c r="D29" s="32">
        <f>ROUND(IF(ISERROR(C29*B8*12),"",C29*B8*12),2)</f>
        <v>6370380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1677644.79</v>
      </c>
      <c r="C30" s="60">
        <f>IF(ISERROR(ROUND(B30/B9,4)),"",ROUND(B30/B9,4))</f>
        <v>9.9000000000000008E-3</v>
      </c>
      <c r="D30" s="32">
        <f>ROUND(IF(ISERROR(C30*B9),"",C30*B9),2)</f>
        <v>1677736.74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8048116.7400000002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0.89580000000000004</v>
      </c>
      <c r="C34" s="43">
        <f>ROUND(IF(ISERROR(B34*B$11),"",B34*B$11),2)</f>
        <v>7207837.9199999999</v>
      </c>
      <c r="D34" s="59">
        <f>IF(ISERROR(ROUND(C34/B8/12,2)),"",ROUND(C34/B8/12,2))+0.02</f>
        <v>31.93</v>
      </c>
      <c r="E34" s="32">
        <f>ROUND(IF(ISERROR(D34*12*B8),"",D34*12*B8),2)</f>
        <v>7212987</v>
      </c>
      <c r="F34" s="2"/>
    </row>
    <row r="35" spans="1:6" x14ac:dyDescent="0.25">
      <c r="A35" s="33" t="s">
        <v>11</v>
      </c>
      <c r="B35" s="44">
        <f>ROUND(IF(ISERROR(1-B34),"",1-B34),4)</f>
        <v>0.1042</v>
      </c>
      <c r="C35" s="45">
        <f>ROUND(IF(ISERROR(B35*B$11),"",B35*B$11),2)</f>
        <v>838420.08</v>
      </c>
      <c r="D35" s="60">
        <f>IF(ISERROR(ROUND(C35/B9,4)),"",ROUND(C35/B9,4))</f>
        <v>4.8999999999999998E-3</v>
      </c>
      <c r="E35" s="46">
        <f>ROUND(IF(ISERROR(D35*B9),"",D35*B9),2)</f>
        <v>830394.95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8043381.9500000002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3.7299999999999969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-2876.05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-3.5743944576472692E-4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&amp;R&amp;"Arial,Regular"&amp;10Filed: 2016-10-18
EB-2016-0082
Draft Rate Order
Attachment 2
Page &amp;P of &amp;N</oddHeader>
    <oddFooter>&amp;R&amp;"Arial,Regular"&amp;10Page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Layout" topLeftCell="A19" zoomScaleNormal="100" workbookViewId="0">
      <selection activeCell="E11" sqref="E11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31.93</v>
      </c>
      <c r="C20" s="17">
        <f>IF(B8="","",B8)</f>
        <v>18825</v>
      </c>
      <c r="D20" s="18">
        <f>ROUND(IF(ISERROR(B20*C20*12),"",B20*C20*12),2)</f>
        <v>7212987</v>
      </c>
      <c r="E20" s="19">
        <f>ROUND(IF(ISERROR(D20/D22),"",D20/D22),4)</f>
        <v>0.89680000000000004</v>
      </c>
      <c r="F20" s="1"/>
    </row>
    <row r="21" spans="1:6" x14ac:dyDescent="0.25">
      <c r="A21" s="4" t="s">
        <v>11</v>
      </c>
      <c r="B21" s="16">
        <v>4.8999999999999998E-3</v>
      </c>
      <c r="C21" s="20">
        <f>IF(B9="","",B9)</f>
        <v>169468358</v>
      </c>
      <c r="D21" s="18">
        <f>ROUND(IF(ISERROR(B21*C21),"",B21*C21),2)</f>
        <v>830394.95</v>
      </c>
      <c r="E21" s="19">
        <f>ROUND(IF(ISERROR(D21/D22),"",D21/D22),4)</f>
        <v>0.1032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8043381.9500000002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1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7215884.1699999999</v>
      </c>
      <c r="C29" s="59">
        <f>IF(ISERROR(ROUND(B29/B8/12,2)),"",ROUND(B29/B8/12,2))-0.01</f>
        <v>31.93</v>
      </c>
      <c r="D29" s="32">
        <f>ROUND(IF(ISERROR(C29*B8*12),"",C29*B8*12),2)</f>
        <v>7212987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830373.83</v>
      </c>
      <c r="C30" s="60">
        <f>IF(ISERROR(ROUND(B30/B9,4)),"",ROUND(B30/B9,4))</f>
        <v>4.8999999999999998E-3</v>
      </c>
      <c r="D30" s="32">
        <f>ROUND(IF(ISERROR(C30*B9),"",C30*B9),2)</f>
        <v>830394.95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8043381.9500000002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1</v>
      </c>
      <c r="C34" s="43">
        <f>ROUND(IF(ISERROR(B34*B$11),"",B34*B$11),2)</f>
        <v>8046258</v>
      </c>
      <c r="D34" s="59">
        <f>IF(ISERROR(ROUND(C34/B8/12,2)),"",ROUND(C34/B8/12,2))</f>
        <v>35.619999999999997</v>
      </c>
      <c r="E34" s="32">
        <f>ROUND(IF(ISERROR(D34*12*B8),"",D34*12*B8),2)</f>
        <v>8046558</v>
      </c>
      <c r="F34" s="2"/>
    </row>
    <row r="35" spans="1:6" x14ac:dyDescent="0.25">
      <c r="A35" s="33" t="s">
        <v>11</v>
      </c>
      <c r="B35" s="44">
        <f>ROUND(IF(ISERROR(1-B34),"",1-B34),4)</f>
        <v>0</v>
      </c>
      <c r="C35" s="45">
        <f>ROUND(IF(ISERROR(B35*B$11),"",B35*B$11),2)</f>
        <v>0</v>
      </c>
      <c r="D35" s="60">
        <f>IF(ISERROR(ROUND(C35/B9,4)),"",ROUND(C35/B9,4))</f>
        <v>0</v>
      </c>
      <c r="E35" s="46">
        <f>ROUND(IF(ISERROR(D35*B9),"",D35*B9),2)</f>
        <v>0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8046558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3.6899999999999977</v>
      </c>
      <c r="C39" s="1"/>
      <c r="D39" s="63" t="s">
        <v>33</v>
      </c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300</v>
      </c>
      <c r="C40" s="1"/>
      <c r="D40" s="58">
        <f>'Year 1-January 1, 2016'!B40+'Year 2-January 1, 2017'!B40+'Year 3-Janaury 1, 2018'!B40+'Year 4-January 1, 2019'!B40+B40</f>
        <v>257.70999999999913</v>
      </c>
      <c r="E40" s="1"/>
      <c r="F40" s="1"/>
    </row>
    <row r="41" spans="1:6" ht="27.75" customHeight="1" thickBot="1" x14ac:dyDescent="0.3">
      <c r="A41" s="72"/>
      <c r="B41" s="49">
        <f>IF(ISERROR(B40/B11), "", B40/B11)</f>
        <v>3.7284412207513109E-5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&amp;R&amp;"Arial,Regular"&amp;10Filed: 2016-10-18
EB-2016-0082
Draft Rate Order
Attachment 2
Page &amp;P of &amp;N</oddHeader>
    <oddFooter>&amp;R&amp;"Arial,Regular"&amp;10Page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3B56CC244F57B469E4DF355E1317793" ma:contentTypeVersion="16" ma:contentTypeDescription="Meta data that will be applied to all documents added to the proceeding document folder" ma:contentTypeScope="" ma:versionID="f7222e2a460825bf4f63547a4f130054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ed1632bf2f1b7284e5b7ae3075c802ff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EB-2016-0082</Case_x0020_Number_x002f_Docket_x0020_Number>
    <Issue_x0020_Date xmlns="f9175001-c430-4d57-adde-c1c10539e919">2016-10-18T04:00:00+00:00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FLANNERY Andrew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493C6C2D-16B7-4400-A6A5-E23CDE212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8EAEA-F2C7-41DD-969E-7DDA37858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34D-0D31-48BF-B5A7-91CDBD0C7A67}">
  <ds:schemaRefs>
    <ds:schemaRef ds:uri="http://schemas.microsoft.com/office/2006/metadata/properties"/>
    <ds:schemaRef ds:uri="http://purl.org/dc/elements/1.1/"/>
    <ds:schemaRef ds:uri="http://www.w3.org/XML/1998/namespace"/>
    <ds:schemaRef ds:uri="31a38067-a042-4e0e-9037-517587b10700"/>
    <ds:schemaRef ds:uri="http://schemas.microsoft.com/office/infopath/2007/PartnerControls"/>
    <ds:schemaRef ds:uri="http://schemas.openxmlformats.org/package/2006/metadata/core-properties"/>
    <ds:schemaRef ds:uri="f0af1d65-dfd0-4b99-b523-def3a954563f"/>
    <ds:schemaRef ds:uri="f9175001-c430-4d57-adde-c1c10539e919"/>
    <ds:schemaRef ds:uri="http://schemas.microsoft.com/office/2006/documentManagement/types"/>
    <ds:schemaRef ds:uri="ea909525-6dd5-47d7-9eed-71e77e5cedc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Year 1-January 1, 2016</vt:lpstr>
      <vt:lpstr>Year 2-January 1, 2017</vt:lpstr>
      <vt:lpstr>Year 3-Janaury 1, 2018</vt:lpstr>
      <vt:lpstr>Year 4-January 1, 2019</vt:lpstr>
      <vt:lpstr>Year 5-January 1, 2020</vt:lpstr>
      <vt:lpstr>Sheet2</vt:lpstr>
      <vt:lpstr>Sheet3</vt:lpstr>
      <vt:lpstr>'Year 1-January 1, 2016'!Print_Area</vt:lpstr>
      <vt:lpstr>'Year 2-January 1, 2017'!Print_Area</vt:lpstr>
      <vt:lpstr>'Year 3-Janaury 1, 2018'!Print_Area</vt:lpstr>
      <vt:lpstr>'Year 4-January 1, 2019'!Print_Area</vt:lpstr>
      <vt:lpstr>'Year 5-January 1, 2020'!Print_Area</vt:lpstr>
      <vt:lpstr>'Year 1-January 1, 2016'!Print_Titles</vt:lpstr>
      <vt:lpstr>'Year 2-January 1, 2017'!Print_Titles</vt:lpstr>
      <vt:lpstr>'Year 3-Janaury 1, 2018'!Print_Titles</vt:lpstr>
      <vt:lpstr>'Year 4-January 1, 2019'!Print_Titles</vt:lpstr>
      <vt:lpstr>'Year 5-January 1, 2020'!Print_Titles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Attachment2_HCHI_2016 EDR_OEB Appendix 2-PA_5 Yr Calculation_20150930</dc:title>
  <dc:creator>Henry Andre</dc:creator>
  <cp:lastModifiedBy>DENNENY Kelly</cp:lastModifiedBy>
  <cp:lastPrinted>2016-10-18T19:41:31Z</cp:lastPrinted>
  <dcterms:created xsi:type="dcterms:W3CDTF">2015-08-27T12:52:32Z</dcterms:created>
  <dcterms:modified xsi:type="dcterms:W3CDTF">2016-10-18T19:41:42Z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0x01010061EC7F66509FFD4DA0B1B261A86BE7730043B56CC244F57B469E4DF355E1317793</vt:lpwstr>
  </property>
  <property fmtid="{D5CDD505-2E9C-101B-9397-08002B2CF9AE}" pid="3" name="Order">
    <vt:r8>143100</vt:r8>
  </property>
</Properties>
</file>