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210" windowWidth="15450" windowHeight="12015" tabRatio="791" activeTab="11"/>
  </bookViews>
  <sheets>
    <sheet name="Tables" sheetId="14" r:id="rId1"/>
    <sheet name="APPENDIX B" sheetId="15" r:id="rId2"/>
    <sheet name="App.2-PA_Res_Rate_Design_16" sheetId="1" r:id="rId3"/>
    <sheet name="App.2-PA_Res_Rate_Design_17" sheetId="10" r:id="rId4"/>
    <sheet name="App.2-PA_Res_Rate_Design_18" sheetId="11" r:id="rId5"/>
    <sheet name="App.2-PA_Res_Rate_Design_19" sheetId="12" r:id="rId6"/>
    <sheet name="App.2PA_Res_Rate_Design_20" sheetId="13" r:id="rId7"/>
    <sheet name="2016 Bill Impact" sheetId="4" r:id="rId8"/>
    <sheet name="2017 Bill Impact" sheetId="5" r:id="rId9"/>
    <sheet name="2018 Bill Impact" sheetId="7" r:id="rId10"/>
    <sheet name="2019 Bill Impact" sheetId="8" r:id="rId11"/>
    <sheet name="2020 Bill Impact" sheetId="9" r:id="rId12"/>
    <sheet name="Sheet1" sheetId="16" r:id="rId13"/>
  </sheets>
  <externalReferences>
    <externalReference r:id="rId14"/>
    <externalReference r:id="rId15"/>
    <externalReference r:id="rId16"/>
    <externalReference r:id="rId17"/>
    <externalReference r:id="rId18"/>
    <externalReference r:id="rId19"/>
    <externalReference r:id="rId20"/>
  </externalReferences>
  <definedNames>
    <definedName name="BI_LDCLIST">'[1]3. Rate Class Selection'!$B$19:$B$21</definedName>
    <definedName name="BridgeYear" localSheetId="2">'[2]LDC Info'!$E$26</definedName>
    <definedName name="BridgeYear">'[3]LDC Info'!$E$26</definedName>
    <definedName name="contactf" localSheetId="8">#REF!</definedName>
    <definedName name="contactf" localSheetId="2">#REF!</definedName>
    <definedName name="contactf">#REF!</definedName>
    <definedName name="CustomerAdministration" localSheetId="2">[2]lists!$Z$1:$Z$36</definedName>
    <definedName name="CustomerAdministration">[3]lists!$Z$1:$Z$36</definedName>
    <definedName name="EBNUMBER" localSheetId="2">'[2]LDC Info'!$E$16</definedName>
    <definedName name="EBNUMBER">'[3]LDC Info'!$E$16</definedName>
    <definedName name="Fixed_Charges" localSheetId="2">[2]lists!$I$1:$I$212</definedName>
    <definedName name="histdate">[4]Financials!$E$76</definedName>
    <definedName name="Incr2000" localSheetId="8">#REF!</definedName>
    <definedName name="Incr2000" localSheetId="2">#REF!</definedName>
    <definedName name="Incr2000">#REF!</definedName>
    <definedName name="LDC_LIST">[5]lists!$AM$1:$AM$80</definedName>
    <definedName name="LDCLIST" localSheetId="2">'[2]LDC Info'!$AA$3:$AA$99</definedName>
    <definedName name="LDCLIST">'[3]LDC Info'!$AA$3:$AA$99</definedName>
    <definedName name="LIMIT" localSheetId="8">#REF!</definedName>
    <definedName name="LIMIT" localSheetId="2">#REF!</definedName>
    <definedName name="LIMIT">#REF!</definedName>
    <definedName name="LossFactors" localSheetId="2">[2]lists!$L$2:$L$15</definedName>
    <definedName name="LossFactors">[3]lists!$L$2:$L$15</definedName>
    <definedName name="man_beg_bud" localSheetId="8">#REF!</definedName>
    <definedName name="man_beg_bud" localSheetId="2">#REF!</definedName>
    <definedName name="man_beg_bud">#REF!</definedName>
    <definedName name="man_end_bud" localSheetId="8">#REF!</definedName>
    <definedName name="man_end_bud" localSheetId="2">#REF!</definedName>
    <definedName name="man_end_bud">#REF!</definedName>
    <definedName name="man12ACT" localSheetId="8">#REF!</definedName>
    <definedName name="man12ACT" localSheetId="2">#REF!</definedName>
    <definedName name="man12ACT">#REF!</definedName>
    <definedName name="MANBUD" localSheetId="8">#REF!</definedName>
    <definedName name="MANBUD" localSheetId="2">#REF!</definedName>
    <definedName name="MANBUD">#REF!</definedName>
    <definedName name="manCYACT" localSheetId="8">#REF!</definedName>
    <definedName name="manCYACT" localSheetId="2">#REF!</definedName>
    <definedName name="manCYACT">#REF!</definedName>
    <definedName name="manCYBUD" localSheetId="8">#REF!</definedName>
    <definedName name="manCYBUD" localSheetId="2">#REF!</definedName>
    <definedName name="manCYBUD">#REF!</definedName>
    <definedName name="manCYF" localSheetId="8">#REF!</definedName>
    <definedName name="manCYF" localSheetId="2">#REF!</definedName>
    <definedName name="manCYF">#REF!</definedName>
    <definedName name="MANEND" localSheetId="8">#REF!</definedName>
    <definedName name="MANEND" localSheetId="2">#REF!</definedName>
    <definedName name="MANEND">#REF!</definedName>
    <definedName name="manNYbud" localSheetId="8">#REF!</definedName>
    <definedName name="manNYbud" localSheetId="2">#REF!</definedName>
    <definedName name="manNYbud">#REF!</definedName>
    <definedName name="manpower_costs" localSheetId="8">#REF!</definedName>
    <definedName name="manpower_costs" localSheetId="2">#REF!</definedName>
    <definedName name="manpower_costs">#REF!</definedName>
    <definedName name="manPYACT" localSheetId="8">#REF!</definedName>
    <definedName name="manPYACT" localSheetId="2">#REF!</definedName>
    <definedName name="manPYACT">#REF!</definedName>
    <definedName name="MANSTART" localSheetId="8">#REF!</definedName>
    <definedName name="MANSTART" localSheetId="2">#REF!</definedName>
    <definedName name="MANSTART">#REF!</definedName>
    <definedName name="mat_beg_bud" localSheetId="8">#REF!</definedName>
    <definedName name="mat_beg_bud" localSheetId="2">#REF!</definedName>
    <definedName name="mat_beg_bud">#REF!</definedName>
    <definedName name="mat_end_bud" localSheetId="8">#REF!</definedName>
    <definedName name="mat_end_bud" localSheetId="2">#REF!</definedName>
    <definedName name="mat_end_bud">#REF!</definedName>
    <definedName name="mat12ACT" localSheetId="8">#REF!</definedName>
    <definedName name="mat12ACT" localSheetId="2">#REF!</definedName>
    <definedName name="mat12ACT">#REF!</definedName>
    <definedName name="MATBUD" localSheetId="8">#REF!</definedName>
    <definedName name="MATBUD" localSheetId="2">#REF!</definedName>
    <definedName name="MATBUD">#REF!</definedName>
    <definedName name="matCYACT" localSheetId="8">#REF!</definedName>
    <definedName name="matCYACT" localSheetId="2">#REF!</definedName>
    <definedName name="matCYACT">#REF!</definedName>
    <definedName name="matCYBUD" localSheetId="8">#REF!</definedName>
    <definedName name="matCYBUD" localSheetId="2">#REF!</definedName>
    <definedName name="matCYBUD">#REF!</definedName>
    <definedName name="matCYF" localSheetId="8">#REF!</definedName>
    <definedName name="matCYF" localSheetId="2">#REF!</definedName>
    <definedName name="matCYF">#REF!</definedName>
    <definedName name="MATEND" localSheetId="8">#REF!</definedName>
    <definedName name="MATEND" localSheetId="2">#REF!</definedName>
    <definedName name="MATEND">#REF!</definedName>
    <definedName name="material_costs" localSheetId="8">#REF!</definedName>
    <definedName name="material_costs" localSheetId="2">#REF!</definedName>
    <definedName name="material_costs">#REF!</definedName>
    <definedName name="matNYbud" localSheetId="8">#REF!</definedName>
    <definedName name="matNYbud" localSheetId="2">#REF!</definedName>
    <definedName name="matNYbud">#REF!</definedName>
    <definedName name="matPYACT" localSheetId="8">#REF!</definedName>
    <definedName name="matPYACT" localSheetId="2">#REF!</definedName>
    <definedName name="matPYACT">#REF!</definedName>
    <definedName name="MATSTART" localSheetId="8">#REF!</definedName>
    <definedName name="MATSTART" localSheetId="2">#REF!</definedName>
    <definedName name="MATSTART">#REF!</definedName>
    <definedName name="NonPayment" localSheetId="2">[2]lists!$AA$1:$AA$71</definedName>
    <definedName name="NonPayment">[3]lists!$AA$1:$AA$71</definedName>
    <definedName name="oth_beg_bud" localSheetId="8">#REF!</definedName>
    <definedName name="oth_beg_bud" localSheetId="2">#REF!</definedName>
    <definedName name="oth_beg_bud">#REF!</definedName>
    <definedName name="oth_end_bud" localSheetId="8">#REF!</definedName>
    <definedName name="oth_end_bud" localSheetId="2">#REF!</definedName>
    <definedName name="oth_end_bud">#REF!</definedName>
    <definedName name="oth12ACT" localSheetId="8">#REF!</definedName>
    <definedName name="oth12ACT" localSheetId="2">#REF!</definedName>
    <definedName name="oth12ACT">#REF!</definedName>
    <definedName name="othCYACT" localSheetId="8">#REF!</definedName>
    <definedName name="othCYACT" localSheetId="2">#REF!</definedName>
    <definedName name="othCYACT">#REF!</definedName>
    <definedName name="othCYBUD" localSheetId="8">#REF!</definedName>
    <definedName name="othCYBUD" localSheetId="2">#REF!</definedName>
    <definedName name="othCYBUD">#REF!</definedName>
    <definedName name="othCYF" localSheetId="8">#REF!</definedName>
    <definedName name="othCYF" localSheetId="2">#REF!</definedName>
    <definedName name="othCYF">#REF!</definedName>
    <definedName name="OTHEND" localSheetId="8">#REF!</definedName>
    <definedName name="OTHEND" localSheetId="2">#REF!</definedName>
    <definedName name="OTHEND">#REF!</definedName>
    <definedName name="other_costs" localSheetId="8">#REF!</definedName>
    <definedName name="other_costs" localSheetId="2">#REF!</definedName>
    <definedName name="other_costs">#REF!</definedName>
    <definedName name="OTHERBUD" localSheetId="8">#REF!</definedName>
    <definedName name="OTHERBUD" localSheetId="2">#REF!</definedName>
    <definedName name="OTHERBUD">#REF!</definedName>
    <definedName name="othNYbud" localSheetId="8">#REF!</definedName>
    <definedName name="othNYbud" localSheetId="2">#REF!</definedName>
    <definedName name="othNYbud">#REF!</definedName>
    <definedName name="othPYACT" localSheetId="8">#REF!</definedName>
    <definedName name="othPYACT" localSheetId="2">#REF!</definedName>
    <definedName name="othPYACT">#REF!</definedName>
    <definedName name="OTHSTART" localSheetId="8">#REF!</definedName>
    <definedName name="OTHSTART" localSheetId="2">#REF!</definedName>
    <definedName name="OTHSTART">#REF!</definedName>
    <definedName name="print_end" localSheetId="8">#REF!</definedName>
    <definedName name="print_end" localSheetId="2">#REF!</definedName>
    <definedName name="print_end">#REF!</definedName>
    <definedName name="Rate_Class" localSheetId="2">[2]lists!$A$1:$A$104</definedName>
    <definedName name="RATE_CLASSES">[3]lists!$A$1:$A$104</definedName>
    <definedName name="ratedescription">[6]hidden1!$D$1:$D$122</definedName>
    <definedName name="RebaseYear" localSheetId="2">'[2]LDC Info'!$E$28</definedName>
    <definedName name="RebaseYear">'[3]LDC Info'!$E$28</definedName>
    <definedName name="SALBENF" localSheetId="8">#REF!</definedName>
    <definedName name="SALBENF" localSheetId="2">#REF!</definedName>
    <definedName name="SALBENF">#REF!</definedName>
    <definedName name="salreg" localSheetId="8">#REF!</definedName>
    <definedName name="salreg" localSheetId="2">#REF!</definedName>
    <definedName name="salreg">#REF!</definedName>
    <definedName name="SALREGF" localSheetId="8">#REF!</definedName>
    <definedName name="SALREGF" localSheetId="2">#REF!</definedName>
    <definedName name="SALREGF">#REF!</definedName>
    <definedName name="TEMPA" localSheetId="8">#REF!</definedName>
    <definedName name="TEMPA" localSheetId="2">#REF!</definedName>
    <definedName name="TEMPA">#REF!</definedName>
    <definedName name="TestYear" localSheetId="2">'[2]LDC Info'!$E$24</definedName>
    <definedName name="TestYear">'[3]LDC Info'!$E$24</definedName>
    <definedName name="total_dept" localSheetId="8">#REF!</definedName>
    <definedName name="total_dept" localSheetId="2">#REF!</definedName>
    <definedName name="total_dept">#REF!</definedName>
    <definedName name="total_manpower" localSheetId="8">#REF!</definedName>
    <definedName name="total_manpower" localSheetId="2">#REF!</definedName>
    <definedName name="total_manpower">#REF!</definedName>
    <definedName name="total_material" localSheetId="8">#REF!</definedName>
    <definedName name="total_material" localSheetId="2">#REF!</definedName>
    <definedName name="total_material">#REF!</definedName>
    <definedName name="total_other" localSheetId="8">#REF!</definedName>
    <definedName name="total_other" localSheetId="2">#REF!</definedName>
    <definedName name="total_other">#REF!</definedName>
    <definedName name="total_transportation" localSheetId="8">#REF!</definedName>
    <definedName name="total_transportation" localSheetId="2">#REF!</definedName>
    <definedName name="total_transportation">#REF!</definedName>
    <definedName name="TRANBUD" localSheetId="8">#REF!</definedName>
    <definedName name="TRANBUD" localSheetId="2">#REF!</definedName>
    <definedName name="TRANBUD">#REF!</definedName>
    <definedName name="TRANEND" localSheetId="8">#REF!</definedName>
    <definedName name="TRANEND" localSheetId="2">#REF!</definedName>
    <definedName name="TRANEND">#REF!</definedName>
    <definedName name="transportation_costs" localSheetId="8">#REF!</definedName>
    <definedName name="transportation_costs" localSheetId="2">#REF!</definedName>
    <definedName name="transportation_costs">#REF!</definedName>
    <definedName name="TRANSTART" localSheetId="8">#REF!</definedName>
    <definedName name="TRANSTART" localSheetId="2">#REF!</definedName>
    <definedName name="TRANSTART">#REF!</definedName>
    <definedName name="trn_beg_bud" localSheetId="8">#REF!</definedName>
    <definedName name="trn_beg_bud" localSheetId="2">#REF!</definedName>
    <definedName name="trn_beg_bud">#REF!</definedName>
    <definedName name="trn_end_bud" localSheetId="8">#REF!</definedName>
    <definedName name="trn_end_bud" localSheetId="2">#REF!</definedName>
    <definedName name="trn_end_bud">#REF!</definedName>
    <definedName name="trn12ACT" localSheetId="8">#REF!</definedName>
    <definedName name="trn12ACT" localSheetId="2">#REF!</definedName>
    <definedName name="trn12ACT">#REF!</definedName>
    <definedName name="trnCYACT" localSheetId="8">#REF!</definedName>
    <definedName name="trnCYACT" localSheetId="2">#REF!</definedName>
    <definedName name="trnCYACT">#REF!</definedName>
    <definedName name="trnCYBUD" localSheetId="8">#REF!</definedName>
    <definedName name="trnCYBUD" localSheetId="2">#REF!</definedName>
    <definedName name="trnCYBUD">#REF!</definedName>
    <definedName name="trnCYF" localSheetId="8">#REF!</definedName>
    <definedName name="trnCYF" localSheetId="2">#REF!</definedName>
    <definedName name="trnCYF">#REF!</definedName>
    <definedName name="trnNYbud" localSheetId="8">#REF!</definedName>
    <definedName name="trnNYbud" localSheetId="2">#REF!</definedName>
    <definedName name="trnNYbud">#REF!</definedName>
    <definedName name="trnPYACT" localSheetId="8">#REF!</definedName>
    <definedName name="trnPYACT" localSheetId="2">#REF!</definedName>
    <definedName name="trnPYACT">#REF!</definedName>
    <definedName name="Units" localSheetId="2">[2]lists!$N$2:$N$5</definedName>
    <definedName name="Units">[3]lists!$N$2:$N$5</definedName>
    <definedName name="Utility">[4]Financials!$A$1</definedName>
    <definedName name="utitliy1">[7]Financials!$A$1</definedName>
    <definedName name="WAGBENF" localSheetId="8">#REF!</definedName>
    <definedName name="WAGBENF" localSheetId="2">#REF!</definedName>
    <definedName name="WAGBENF">#REF!</definedName>
    <definedName name="wagdob" localSheetId="8">#REF!</definedName>
    <definedName name="wagdob" localSheetId="2">#REF!</definedName>
    <definedName name="wagdob">#REF!</definedName>
    <definedName name="wagdobf" localSheetId="8">#REF!</definedName>
    <definedName name="wagdobf" localSheetId="2">#REF!</definedName>
    <definedName name="wagdobf">#REF!</definedName>
    <definedName name="wagreg" localSheetId="8">#REF!</definedName>
    <definedName name="wagreg" localSheetId="2">#REF!</definedName>
    <definedName name="wagreg">#REF!</definedName>
    <definedName name="wagregf" localSheetId="8">#REF!</definedName>
    <definedName name="wagregf" localSheetId="2">#REF!</definedName>
    <definedName name="wagregf">#REF!</definedName>
  </definedNames>
  <calcPr calcId="145621"/>
</workbook>
</file>

<file path=xl/calcChain.xml><?xml version="1.0" encoding="utf-8"?>
<calcChain xmlns="http://schemas.openxmlformats.org/spreadsheetml/2006/main">
  <c r="G18" i="9" l="1"/>
  <c r="G18" i="8"/>
  <c r="L27" i="4" l="1"/>
  <c r="L35" i="4"/>
  <c r="B20" i="13" l="1"/>
  <c r="B20" i="12"/>
  <c r="B20" i="11"/>
  <c r="B20" i="10"/>
  <c r="B20" i="1"/>
  <c r="D90" i="4" l="1"/>
  <c r="L105" i="4" l="1"/>
  <c r="L104" i="4"/>
  <c r="L103" i="4"/>
  <c r="L102" i="4"/>
  <c r="L101" i="4"/>
  <c r="L100" i="4"/>
  <c r="L98" i="4"/>
  <c r="L97" i="4"/>
  <c r="L95" i="4"/>
  <c r="L94" i="4"/>
  <c r="L93" i="4"/>
  <c r="L91" i="4"/>
  <c r="L88" i="4"/>
  <c r="L69" i="4"/>
  <c r="L68" i="4"/>
  <c r="L67" i="4"/>
  <c r="L66" i="4"/>
  <c r="L65" i="4"/>
  <c r="L64" i="4"/>
  <c r="L62" i="4"/>
  <c r="L61" i="4"/>
  <c r="L59" i="4"/>
  <c r="L58" i="4"/>
  <c r="L57" i="4"/>
  <c r="L55" i="4"/>
  <c r="L52" i="4"/>
  <c r="L30" i="4"/>
  <c r="L23" i="4"/>
  <c r="L22" i="4"/>
  <c r="L16" i="4"/>
  <c r="L105" i="5"/>
  <c r="L104" i="5"/>
  <c r="L103" i="5"/>
  <c r="L102" i="5"/>
  <c r="L101" i="5"/>
  <c r="L100" i="5"/>
  <c r="L98" i="5"/>
  <c r="L97" i="5"/>
  <c r="L95" i="5"/>
  <c r="L94" i="5"/>
  <c r="L93" i="5"/>
  <c r="L91" i="5"/>
  <c r="L88" i="5"/>
  <c r="L69" i="5"/>
  <c r="L68" i="5"/>
  <c r="L67" i="5"/>
  <c r="L66" i="5"/>
  <c r="L65" i="5"/>
  <c r="L64" i="5"/>
  <c r="L62" i="5"/>
  <c r="L61" i="5"/>
  <c r="L59" i="5"/>
  <c r="L58" i="5"/>
  <c r="L57" i="5"/>
  <c r="L55" i="5"/>
  <c r="L52" i="5"/>
  <c r="L30" i="5"/>
  <c r="L23" i="5"/>
  <c r="L22" i="5"/>
  <c r="L16" i="5"/>
  <c r="L105" i="7"/>
  <c r="L104" i="7"/>
  <c r="L103" i="7"/>
  <c r="L102" i="7"/>
  <c r="L101" i="7"/>
  <c r="L100" i="7"/>
  <c r="L98" i="7"/>
  <c r="L97" i="7"/>
  <c r="L95" i="7"/>
  <c r="L94" i="7"/>
  <c r="L93" i="7"/>
  <c r="L91" i="7"/>
  <c r="L88" i="7"/>
  <c r="L69" i="7"/>
  <c r="L68" i="7"/>
  <c r="L67" i="7"/>
  <c r="L66" i="7"/>
  <c r="L65" i="7"/>
  <c r="L64" i="7"/>
  <c r="L62" i="7"/>
  <c r="L61" i="7"/>
  <c r="L59" i="7"/>
  <c r="L58" i="7"/>
  <c r="L57" i="7"/>
  <c r="L55" i="7"/>
  <c r="L52" i="7"/>
  <c r="L30" i="7"/>
  <c r="L23" i="7"/>
  <c r="L22" i="7"/>
  <c r="L16" i="7"/>
  <c r="L105" i="8"/>
  <c r="L104" i="8"/>
  <c r="L103" i="8"/>
  <c r="L102" i="8"/>
  <c r="L101" i="8"/>
  <c r="L100" i="8"/>
  <c r="L98" i="8"/>
  <c r="L97" i="8"/>
  <c r="L95" i="8"/>
  <c r="L94" i="8"/>
  <c r="L93" i="8"/>
  <c r="L91" i="8"/>
  <c r="L88" i="8"/>
  <c r="L69" i="8"/>
  <c r="L68" i="8"/>
  <c r="L67" i="8"/>
  <c r="L66" i="8"/>
  <c r="L65" i="8"/>
  <c r="L64" i="8"/>
  <c r="L62" i="8"/>
  <c r="L61" i="8"/>
  <c r="L59" i="8"/>
  <c r="L58" i="8"/>
  <c r="L57" i="8"/>
  <c r="L55" i="8"/>
  <c r="L52" i="8"/>
  <c r="L30" i="8"/>
  <c r="L23" i="8"/>
  <c r="L22" i="8"/>
  <c r="L16" i="8"/>
  <c r="L30" i="9"/>
  <c r="L23" i="9"/>
  <c r="L22" i="9"/>
  <c r="L16" i="9"/>
  <c r="L69" i="9"/>
  <c r="L68" i="9"/>
  <c r="L67" i="9"/>
  <c r="L66" i="9"/>
  <c r="L65" i="9"/>
  <c r="L64" i="9"/>
  <c r="L62" i="9"/>
  <c r="L61" i="9"/>
  <c r="L59" i="9"/>
  <c r="L58" i="9"/>
  <c r="L57" i="9"/>
  <c r="L55" i="9"/>
  <c r="L52" i="9"/>
  <c r="L105" i="9"/>
  <c r="L104" i="9"/>
  <c r="L103" i="9"/>
  <c r="L102" i="9"/>
  <c r="L101" i="9"/>
  <c r="L100" i="9"/>
  <c r="L98" i="9"/>
  <c r="L97" i="9"/>
  <c r="L95" i="9"/>
  <c r="L94" i="9"/>
  <c r="L93" i="9"/>
  <c r="L91" i="9"/>
  <c r="L88" i="9"/>
  <c r="G95" i="9" l="1"/>
  <c r="G59" i="9"/>
  <c r="C89" i="4" l="1"/>
  <c r="C90" i="4"/>
  <c r="C53" i="4"/>
  <c r="C54" i="4"/>
  <c r="C9" i="5" l="1"/>
  <c r="C10" i="5"/>
  <c r="K22" i="5"/>
  <c r="K38" i="5"/>
  <c r="K110" i="9"/>
  <c r="K94" i="9"/>
  <c r="G69" i="9"/>
  <c r="G105" i="9" s="1"/>
  <c r="G68" i="9"/>
  <c r="G104" i="9" s="1"/>
  <c r="G67" i="9"/>
  <c r="G103" i="9" s="1"/>
  <c r="G66" i="9"/>
  <c r="G102" i="9" s="1"/>
  <c r="I102" i="9" s="1"/>
  <c r="G65" i="9"/>
  <c r="G101" i="9" s="1"/>
  <c r="G64" i="9"/>
  <c r="G100" i="9" s="1"/>
  <c r="G62" i="9"/>
  <c r="G98" i="9" s="1"/>
  <c r="G61" i="9"/>
  <c r="G97" i="9" s="1"/>
  <c r="I95" i="9"/>
  <c r="G58" i="9"/>
  <c r="G94" i="9" s="1"/>
  <c r="G55" i="9"/>
  <c r="G91" i="9" s="1"/>
  <c r="G52" i="9"/>
  <c r="G88" i="9" s="1"/>
  <c r="I88" i="9" s="1"/>
  <c r="K110" i="8"/>
  <c r="K94" i="8"/>
  <c r="G69" i="8"/>
  <c r="G105" i="8" s="1"/>
  <c r="G68" i="8"/>
  <c r="G104" i="8" s="1"/>
  <c r="G67" i="8"/>
  <c r="G103" i="8" s="1"/>
  <c r="G66" i="8"/>
  <c r="G102" i="8" s="1"/>
  <c r="I102" i="8" s="1"/>
  <c r="G65" i="8"/>
  <c r="G101" i="8" s="1"/>
  <c r="G64" i="8"/>
  <c r="G100" i="8" s="1"/>
  <c r="G62" i="8"/>
  <c r="G98" i="8" s="1"/>
  <c r="G61" i="8"/>
  <c r="G97" i="8" s="1"/>
  <c r="G59" i="8"/>
  <c r="G95" i="8" s="1"/>
  <c r="I95" i="8" s="1"/>
  <c r="G58" i="8"/>
  <c r="G94" i="8" s="1"/>
  <c r="G55" i="8"/>
  <c r="G91" i="8" s="1"/>
  <c r="G52" i="8"/>
  <c r="G88" i="8" s="1"/>
  <c r="I88" i="8" s="1"/>
  <c r="K110" i="7"/>
  <c r="G98" i="7"/>
  <c r="G97" i="7"/>
  <c r="K94" i="7"/>
  <c r="G69" i="7"/>
  <c r="G105" i="7" s="1"/>
  <c r="G68" i="7"/>
  <c r="G104" i="7" s="1"/>
  <c r="G67" i="7"/>
  <c r="G103" i="7" s="1"/>
  <c r="G66" i="7"/>
  <c r="G102" i="7" s="1"/>
  <c r="I102" i="7" s="1"/>
  <c r="G65" i="7"/>
  <c r="G101" i="7" s="1"/>
  <c r="G64" i="7"/>
  <c r="G100" i="7" s="1"/>
  <c r="G63" i="7"/>
  <c r="G99" i="7" s="1"/>
  <c r="G62" i="7"/>
  <c r="G61" i="7"/>
  <c r="G60" i="7"/>
  <c r="G96" i="7" s="1"/>
  <c r="G59" i="7"/>
  <c r="G95" i="7" s="1"/>
  <c r="I95" i="7" s="1"/>
  <c r="G58" i="7"/>
  <c r="G94" i="7" s="1"/>
  <c r="G56" i="7"/>
  <c r="G92" i="7" s="1"/>
  <c r="G55" i="7"/>
  <c r="G91" i="7" s="1"/>
  <c r="G52" i="7"/>
  <c r="G88" i="7" s="1"/>
  <c r="I88" i="7" s="1"/>
  <c r="C63" i="7"/>
  <c r="C99" i="7" s="1"/>
  <c r="C60" i="7"/>
  <c r="C96" i="7" s="1"/>
  <c r="C56" i="7"/>
  <c r="C92" i="7" s="1"/>
  <c r="C92" i="5"/>
  <c r="C82" i="5"/>
  <c r="C82" i="7" s="1"/>
  <c r="C82" i="8" s="1"/>
  <c r="C82" i="9" s="1"/>
  <c r="C81" i="5"/>
  <c r="C81" i="7" s="1"/>
  <c r="C99" i="5"/>
  <c r="C96" i="5"/>
  <c r="K110" i="5"/>
  <c r="K94" i="5"/>
  <c r="G69" i="5"/>
  <c r="G105" i="5" s="1"/>
  <c r="G68" i="5"/>
  <c r="G104" i="5" s="1"/>
  <c r="G67" i="5"/>
  <c r="G103" i="5" s="1"/>
  <c r="G66" i="5"/>
  <c r="G102" i="5" s="1"/>
  <c r="I102" i="5" s="1"/>
  <c r="G65" i="5"/>
  <c r="G101" i="5" s="1"/>
  <c r="G64" i="5"/>
  <c r="G100" i="5" s="1"/>
  <c r="G62" i="5"/>
  <c r="G98" i="5" s="1"/>
  <c r="G61" i="5"/>
  <c r="G97" i="5" s="1"/>
  <c r="G59" i="5"/>
  <c r="G95" i="5" s="1"/>
  <c r="I95" i="5" s="1"/>
  <c r="G58" i="5"/>
  <c r="G94" i="5" s="1"/>
  <c r="G55" i="5"/>
  <c r="G91" i="5" s="1"/>
  <c r="G52" i="5"/>
  <c r="G88" i="5" s="1"/>
  <c r="I88" i="5" s="1"/>
  <c r="G69" i="4"/>
  <c r="G68" i="4"/>
  <c r="G67" i="4"/>
  <c r="G66" i="4"/>
  <c r="G65" i="4"/>
  <c r="G64" i="4"/>
  <c r="G63" i="4"/>
  <c r="G62" i="4"/>
  <c r="G61" i="4"/>
  <c r="G60" i="4"/>
  <c r="G59" i="4"/>
  <c r="G58" i="4"/>
  <c r="G56" i="4"/>
  <c r="G55" i="4"/>
  <c r="G52" i="4"/>
  <c r="D91" i="5" l="1"/>
  <c r="H91" i="5"/>
  <c r="D105" i="5"/>
  <c r="H105" i="5"/>
  <c r="D105" i="7"/>
  <c r="D91" i="7"/>
  <c r="H104" i="7"/>
  <c r="I104" i="7" s="1"/>
  <c r="H90" i="7"/>
  <c r="D104" i="7"/>
  <c r="D90" i="7"/>
  <c r="D103" i="7"/>
  <c r="D89" i="7"/>
  <c r="H105" i="7"/>
  <c r="I105" i="7" s="1"/>
  <c r="H91" i="7"/>
  <c r="I91" i="7" s="1"/>
  <c r="C81" i="8"/>
  <c r="H103" i="7"/>
  <c r="I103" i="7" s="1"/>
  <c r="H89" i="7"/>
  <c r="H89" i="5"/>
  <c r="H103" i="5"/>
  <c r="D90" i="5"/>
  <c r="D104" i="5"/>
  <c r="H90" i="5"/>
  <c r="H104" i="5"/>
  <c r="D89" i="5"/>
  <c r="D103" i="5"/>
  <c r="H105" i="4"/>
  <c r="H104" i="4"/>
  <c r="H103" i="4"/>
  <c r="H101" i="4"/>
  <c r="H100" i="4"/>
  <c r="H98" i="4"/>
  <c r="H97" i="4"/>
  <c r="H93" i="4"/>
  <c r="H91" i="4"/>
  <c r="H90" i="4"/>
  <c r="H89" i="4"/>
  <c r="D105" i="4"/>
  <c r="E105" i="4" s="1"/>
  <c r="D104" i="4"/>
  <c r="E104" i="4" s="1"/>
  <c r="D103" i="4"/>
  <c r="E103" i="4" s="1"/>
  <c r="D101" i="4"/>
  <c r="E101" i="4" s="1"/>
  <c r="D100" i="4"/>
  <c r="E100" i="4" s="1"/>
  <c r="D98" i="4"/>
  <c r="E98" i="4" s="1"/>
  <c r="D97" i="4"/>
  <c r="E97" i="4" s="1"/>
  <c r="D93" i="4"/>
  <c r="D91" i="4"/>
  <c r="E91" i="4" s="1"/>
  <c r="E90" i="4"/>
  <c r="D89" i="4"/>
  <c r="E89" i="4" s="1"/>
  <c r="G105" i="4"/>
  <c r="G104" i="4"/>
  <c r="G103" i="4"/>
  <c r="G102" i="4"/>
  <c r="I102" i="4" s="1"/>
  <c r="G101" i="4"/>
  <c r="G100" i="4"/>
  <c r="G98" i="4"/>
  <c r="G97" i="4"/>
  <c r="G95" i="4"/>
  <c r="I95" i="4" s="1"/>
  <c r="G94" i="4"/>
  <c r="G91" i="4"/>
  <c r="G88" i="4"/>
  <c r="I88" i="4" s="1"/>
  <c r="K110" i="4"/>
  <c r="E102" i="4"/>
  <c r="E95" i="4"/>
  <c r="K94" i="4"/>
  <c r="C93" i="4"/>
  <c r="E88" i="4"/>
  <c r="E87" i="4"/>
  <c r="E86" i="4"/>
  <c r="E4" i="14"/>
  <c r="C4" i="14"/>
  <c r="D105" i="8" l="1"/>
  <c r="D91" i="8"/>
  <c r="H104" i="8"/>
  <c r="I104" i="8" s="1"/>
  <c r="H90" i="8"/>
  <c r="H103" i="8"/>
  <c r="I103" i="8" s="1"/>
  <c r="H89" i="8"/>
  <c r="D103" i="8"/>
  <c r="H105" i="8"/>
  <c r="I105" i="8" s="1"/>
  <c r="H91" i="8"/>
  <c r="I91" i="8" s="1"/>
  <c r="D104" i="8"/>
  <c r="D90" i="8"/>
  <c r="C81" i="9"/>
  <c r="D89" i="8"/>
  <c r="E93" i="4"/>
  <c r="I105" i="4"/>
  <c r="I104" i="4"/>
  <c r="I98" i="4"/>
  <c r="I103" i="4"/>
  <c r="I100" i="4"/>
  <c r="I101" i="4"/>
  <c r="I97" i="4"/>
  <c r="K97" i="4" s="1"/>
  <c r="I91" i="4"/>
  <c r="E92" i="4"/>
  <c r="K95" i="4"/>
  <c r="K88" i="4"/>
  <c r="K102" i="4"/>
  <c r="F12" i="15"/>
  <c r="D12" i="15"/>
  <c r="B12" i="15"/>
  <c r="H103" i="9" l="1"/>
  <c r="I103" i="9" s="1"/>
  <c r="H89" i="9"/>
  <c r="D103" i="9"/>
  <c r="D89" i="9"/>
  <c r="H105" i="9"/>
  <c r="I105" i="9" s="1"/>
  <c r="D105" i="9"/>
  <c r="D91" i="9"/>
  <c r="H104" i="9"/>
  <c r="I104" i="9" s="1"/>
  <c r="H90" i="9"/>
  <c r="D104" i="9"/>
  <c r="D90" i="9"/>
  <c r="H91" i="9"/>
  <c r="I91" i="9" s="1"/>
  <c r="E96" i="4"/>
  <c r="E99" i="4" s="1"/>
  <c r="E107" i="4" s="1"/>
  <c r="E108" i="4" s="1"/>
  <c r="E109" i="4" s="1"/>
  <c r="E111" i="4" s="1"/>
  <c r="B17" i="14" s="1"/>
  <c r="K105" i="4"/>
  <c r="K104" i="4"/>
  <c r="K103" i="4"/>
  <c r="K98" i="4"/>
  <c r="K100" i="4"/>
  <c r="K101" i="4"/>
  <c r="K91" i="4"/>
  <c r="D4" i="14" l="1"/>
  <c r="B4" i="14"/>
  <c r="C46" i="5"/>
  <c r="C45" i="5"/>
  <c r="C10" i="7"/>
  <c r="C10" i="8" s="1"/>
  <c r="C10" i="9" s="1"/>
  <c r="H31" i="5"/>
  <c r="I31" i="5" s="1"/>
  <c r="B35" i="10"/>
  <c r="B35" i="11" s="1"/>
  <c r="B35" i="12" s="1"/>
  <c r="B35" i="13" s="1"/>
  <c r="C30" i="13"/>
  <c r="C29" i="13"/>
  <c r="C30" i="12"/>
  <c r="C29" i="12"/>
  <c r="C30" i="11"/>
  <c r="C29" i="11"/>
  <c r="C30" i="10"/>
  <c r="C29" i="10"/>
  <c r="C33" i="9"/>
  <c r="C69" i="9" s="1"/>
  <c r="C105" i="9" s="1"/>
  <c r="E105" i="9" s="1"/>
  <c r="C32" i="9"/>
  <c r="C68" i="9" s="1"/>
  <c r="C104" i="9" s="1"/>
  <c r="E104" i="9" s="1"/>
  <c r="C31" i="9"/>
  <c r="C67" i="9" s="1"/>
  <c r="C103" i="9" s="1"/>
  <c r="E103" i="9" s="1"/>
  <c r="C30" i="9"/>
  <c r="C29" i="9"/>
  <c r="C65" i="9" s="1"/>
  <c r="C101" i="9" s="1"/>
  <c r="C28" i="9"/>
  <c r="C64" i="9" s="1"/>
  <c r="C100" i="9" s="1"/>
  <c r="C26" i="9"/>
  <c r="C62" i="9" s="1"/>
  <c r="C98" i="9" s="1"/>
  <c r="C25" i="9"/>
  <c r="C61" i="9" s="1"/>
  <c r="C97" i="9" s="1"/>
  <c r="C23" i="9"/>
  <c r="C22" i="9"/>
  <c r="C58" i="9" s="1"/>
  <c r="C94" i="9" s="1"/>
  <c r="C19" i="9"/>
  <c r="C55" i="9" s="1"/>
  <c r="C91" i="9" s="1"/>
  <c r="E91" i="9" s="1"/>
  <c r="C16" i="9"/>
  <c r="K74" i="9"/>
  <c r="I66" i="9"/>
  <c r="I59" i="9"/>
  <c r="K58" i="9"/>
  <c r="I52" i="9"/>
  <c r="K38" i="9"/>
  <c r="I30" i="9"/>
  <c r="I23" i="9"/>
  <c r="K22" i="9"/>
  <c r="G21" i="9"/>
  <c r="G57" i="9" s="1"/>
  <c r="G93" i="9" s="1"/>
  <c r="I16" i="9"/>
  <c r="C33" i="8"/>
  <c r="C69" i="8" s="1"/>
  <c r="C105" i="8" s="1"/>
  <c r="E105" i="8" s="1"/>
  <c r="C32" i="8"/>
  <c r="C68" i="8" s="1"/>
  <c r="C104" i="8" s="1"/>
  <c r="E104" i="8" s="1"/>
  <c r="C31" i="8"/>
  <c r="C67" i="8" s="1"/>
  <c r="C103" i="8" s="1"/>
  <c r="E103" i="8" s="1"/>
  <c r="C30" i="8"/>
  <c r="C29" i="8"/>
  <c r="C65" i="8" s="1"/>
  <c r="C101" i="8" s="1"/>
  <c r="C28" i="8"/>
  <c r="C64" i="8" s="1"/>
  <c r="C100" i="8" s="1"/>
  <c r="C27" i="8"/>
  <c r="C26" i="8"/>
  <c r="C62" i="8" s="1"/>
  <c r="C98" i="8" s="1"/>
  <c r="C25" i="8"/>
  <c r="C61" i="8" s="1"/>
  <c r="C97" i="8" s="1"/>
  <c r="C24" i="8"/>
  <c r="C23" i="8"/>
  <c r="C22" i="8"/>
  <c r="C58" i="8" s="1"/>
  <c r="C94" i="8" s="1"/>
  <c r="C20" i="8"/>
  <c r="C19" i="8"/>
  <c r="C55" i="8" s="1"/>
  <c r="C91" i="8" s="1"/>
  <c r="E91" i="8" s="1"/>
  <c r="C16" i="8"/>
  <c r="K74" i="8"/>
  <c r="I66" i="8"/>
  <c r="I59" i="8"/>
  <c r="K58" i="8"/>
  <c r="I52" i="8"/>
  <c r="K38" i="8"/>
  <c r="I30" i="8"/>
  <c r="I23" i="8"/>
  <c r="K22" i="8"/>
  <c r="G21" i="8"/>
  <c r="G57" i="8" s="1"/>
  <c r="G93" i="8" s="1"/>
  <c r="I16" i="8"/>
  <c r="C33" i="7"/>
  <c r="C69" i="7" s="1"/>
  <c r="C105" i="7" s="1"/>
  <c r="E105" i="7" s="1"/>
  <c r="C32" i="7"/>
  <c r="C68" i="7" s="1"/>
  <c r="C104" i="7" s="1"/>
  <c r="E104" i="7" s="1"/>
  <c r="C31" i="7"/>
  <c r="C67" i="7" s="1"/>
  <c r="C103" i="7" s="1"/>
  <c r="E103" i="7" s="1"/>
  <c r="C30" i="7"/>
  <c r="C29" i="7"/>
  <c r="C65" i="7" s="1"/>
  <c r="C101" i="7" s="1"/>
  <c r="C28" i="7"/>
  <c r="C64" i="7" s="1"/>
  <c r="C100" i="7" s="1"/>
  <c r="C26" i="7"/>
  <c r="C62" i="7" s="1"/>
  <c r="C98" i="7" s="1"/>
  <c r="C25" i="7"/>
  <c r="C61" i="7" s="1"/>
  <c r="C97" i="7" s="1"/>
  <c r="C23" i="7"/>
  <c r="C22" i="7"/>
  <c r="C58" i="7" s="1"/>
  <c r="C94" i="7" s="1"/>
  <c r="C19" i="7"/>
  <c r="C55" i="7" s="1"/>
  <c r="C91" i="7" s="1"/>
  <c r="E91" i="7" s="1"/>
  <c r="C16" i="7"/>
  <c r="K74" i="7"/>
  <c r="I66" i="7"/>
  <c r="I59" i="7"/>
  <c r="K58" i="7"/>
  <c r="I52" i="7"/>
  <c r="K38" i="7"/>
  <c r="I30" i="7"/>
  <c r="I23" i="7"/>
  <c r="K22" i="7"/>
  <c r="G21" i="7"/>
  <c r="G57" i="7" s="1"/>
  <c r="G93" i="7" s="1"/>
  <c r="I16" i="7"/>
  <c r="C33" i="5"/>
  <c r="C69" i="5" s="1"/>
  <c r="C105" i="5" s="1"/>
  <c r="C32" i="5"/>
  <c r="C68" i="5" s="1"/>
  <c r="C104" i="5" s="1"/>
  <c r="C31" i="5"/>
  <c r="C67" i="5" s="1"/>
  <c r="C103" i="5" s="1"/>
  <c r="C30" i="5"/>
  <c r="C29" i="5"/>
  <c r="C65" i="5" s="1"/>
  <c r="C101" i="5" s="1"/>
  <c r="C28" i="5"/>
  <c r="C64" i="5" s="1"/>
  <c r="C100" i="5" s="1"/>
  <c r="C26" i="5"/>
  <c r="C62" i="5" s="1"/>
  <c r="C98" i="5" s="1"/>
  <c r="C25" i="5"/>
  <c r="C61" i="5" s="1"/>
  <c r="C97" i="5" s="1"/>
  <c r="C23" i="5"/>
  <c r="C22" i="5"/>
  <c r="C58" i="5" s="1"/>
  <c r="C94" i="5" s="1"/>
  <c r="C19" i="5"/>
  <c r="C55" i="5" s="1"/>
  <c r="C91" i="5" s="1"/>
  <c r="C16" i="5"/>
  <c r="K74" i="5"/>
  <c r="I66" i="5"/>
  <c r="I59" i="5"/>
  <c r="K58" i="5"/>
  <c r="I52" i="5"/>
  <c r="I30" i="5"/>
  <c r="I23" i="5"/>
  <c r="G21" i="5"/>
  <c r="G57" i="5" s="1"/>
  <c r="G93" i="5" s="1"/>
  <c r="I16" i="5"/>
  <c r="H69" i="4"/>
  <c r="H68" i="4"/>
  <c r="I68" i="4" s="1"/>
  <c r="H67" i="4"/>
  <c r="I67" i="4" s="1"/>
  <c r="H65" i="4"/>
  <c r="I65" i="4" s="1"/>
  <c r="H64" i="4"/>
  <c r="I64" i="4" s="1"/>
  <c r="H62" i="4"/>
  <c r="I62" i="4" s="1"/>
  <c r="H61" i="4"/>
  <c r="I61" i="4" s="1"/>
  <c r="H57" i="4"/>
  <c r="H55" i="4"/>
  <c r="I55" i="4" s="1"/>
  <c r="H54" i="4"/>
  <c r="H53" i="4"/>
  <c r="C57" i="4"/>
  <c r="D69" i="4"/>
  <c r="E69" i="4" s="1"/>
  <c r="D68" i="4"/>
  <c r="E68" i="4" s="1"/>
  <c r="D67" i="4"/>
  <c r="E67" i="4" s="1"/>
  <c r="D65" i="4"/>
  <c r="E65" i="4" s="1"/>
  <c r="D64" i="4"/>
  <c r="E64" i="4" s="1"/>
  <c r="D62" i="4"/>
  <c r="E62" i="4" s="1"/>
  <c r="D61" i="4"/>
  <c r="E61" i="4" s="1"/>
  <c r="D57" i="4"/>
  <c r="E57" i="4" s="1"/>
  <c r="D55" i="4"/>
  <c r="E55" i="4" s="1"/>
  <c r="D54" i="4"/>
  <c r="E54" i="4" s="1"/>
  <c r="D53" i="4"/>
  <c r="E53" i="4" s="1"/>
  <c r="K74" i="4"/>
  <c r="I69" i="4"/>
  <c r="I66" i="4"/>
  <c r="E66" i="4"/>
  <c r="I59" i="4"/>
  <c r="E59" i="4"/>
  <c r="K58" i="4"/>
  <c r="I52" i="4"/>
  <c r="E52" i="4"/>
  <c r="E51" i="4"/>
  <c r="E50" i="4"/>
  <c r="G21" i="4"/>
  <c r="G57" i="4" s="1"/>
  <c r="G93" i="4" s="1"/>
  <c r="I93" i="4" s="1"/>
  <c r="C21" i="4"/>
  <c r="K38" i="4"/>
  <c r="K22" i="4"/>
  <c r="H19" i="4"/>
  <c r="H18" i="4"/>
  <c r="H17" i="4"/>
  <c r="D19" i="4"/>
  <c r="E19" i="4" s="1"/>
  <c r="D18" i="4"/>
  <c r="E18" i="4" s="1"/>
  <c r="D17" i="4"/>
  <c r="E17" i="4" s="1"/>
  <c r="H33" i="4"/>
  <c r="I33" i="4" s="1"/>
  <c r="H32" i="4"/>
  <c r="I32" i="4" s="1"/>
  <c r="H31" i="4"/>
  <c r="I31" i="4" s="1"/>
  <c r="I30" i="4"/>
  <c r="H29" i="4"/>
  <c r="I29" i="4" s="1"/>
  <c r="H28" i="4"/>
  <c r="I28" i="4" s="1"/>
  <c r="H26" i="4"/>
  <c r="I26" i="4" s="1"/>
  <c r="H25" i="4"/>
  <c r="I25" i="4" s="1"/>
  <c r="I23" i="4"/>
  <c r="H21" i="4"/>
  <c r="I19" i="4"/>
  <c r="L19" i="4" s="1"/>
  <c r="I16" i="4"/>
  <c r="D33" i="4"/>
  <c r="E33" i="4" s="1"/>
  <c r="D31" i="4"/>
  <c r="E31" i="4" s="1"/>
  <c r="D32" i="4"/>
  <c r="E32" i="4" s="1"/>
  <c r="E30" i="4"/>
  <c r="D29" i="4"/>
  <c r="E29" i="4" s="1"/>
  <c r="D28" i="4"/>
  <c r="E28" i="4" s="1"/>
  <c r="E14" i="4"/>
  <c r="E15" i="4"/>
  <c r="E16" i="4"/>
  <c r="D21" i="4"/>
  <c r="D26" i="4"/>
  <c r="E26" i="4" s="1"/>
  <c r="D25" i="4"/>
  <c r="E25" i="4" s="1"/>
  <c r="E23" i="4"/>
  <c r="K23" i="4" s="1"/>
  <c r="L31" i="4" l="1"/>
  <c r="L33" i="4"/>
  <c r="L32" i="4"/>
  <c r="L29" i="4"/>
  <c r="L25" i="4"/>
  <c r="L26" i="4"/>
  <c r="L28" i="4"/>
  <c r="E16" i="9"/>
  <c r="K16" i="9" s="1"/>
  <c r="C52" i="9"/>
  <c r="E30" i="9"/>
  <c r="C66" i="9"/>
  <c r="K91" i="9"/>
  <c r="K103" i="9"/>
  <c r="K104" i="9"/>
  <c r="E23" i="9"/>
  <c r="K23" i="9" s="1"/>
  <c r="C59" i="9"/>
  <c r="K105" i="9"/>
  <c r="K105" i="8"/>
  <c r="K91" i="8"/>
  <c r="K103" i="8"/>
  <c r="K104" i="8"/>
  <c r="K105" i="7"/>
  <c r="K91" i="7"/>
  <c r="K103" i="7"/>
  <c r="K104" i="7"/>
  <c r="E21" i="4"/>
  <c r="K16" i="4"/>
  <c r="K30" i="4"/>
  <c r="C46" i="7"/>
  <c r="D101" i="5"/>
  <c r="E101" i="5" s="1"/>
  <c r="H101" i="5"/>
  <c r="I101" i="5" s="1"/>
  <c r="D97" i="5"/>
  <c r="E97" i="5" s="1"/>
  <c r="H97" i="5"/>
  <c r="I97" i="5" s="1"/>
  <c r="H98" i="5"/>
  <c r="I98" i="5" s="1"/>
  <c r="H100" i="5"/>
  <c r="I100" i="5" s="1"/>
  <c r="D100" i="5"/>
  <c r="E100" i="5" s="1"/>
  <c r="D93" i="5"/>
  <c r="D98" i="5"/>
  <c r="E98" i="5" s="1"/>
  <c r="H93" i="5"/>
  <c r="I93" i="5" s="1"/>
  <c r="E16" i="5"/>
  <c r="K16" i="5" s="1"/>
  <c r="C52" i="5"/>
  <c r="E52" i="5" s="1"/>
  <c r="K52" i="5" s="1"/>
  <c r="E30" i="5"/>
  <c r="K30" i="5" s="1"/>
  <c r="C66" i="5"/>
  <c r="C102" i="5" s="1"/>
  <c r="E102" i="5" s="1"/>
  <c r="E30" i="8"/>
  <c r="C66" i="8"/>
  <c r="E23" i="8"/>
  <c r="C59" i="8"/>
  <c r="C21" i="9"/>
  <c r="C57" i="9" s="1"/>
  <c r="C93" i="9" s="1"/>
  <c r="E16" i="8"/>
  <c r="C52" i="8"/>
  <c r="C21" i="8"/>
  <c r="C57" i="8" s="1"/>
  <c r="C93" i="8" s="1"/>
  <c r="E16" i="7"/>
  <c r="K16" i="7" s="1"/>
  <c r="C52" i="7"/>
  <c r="E30" i="7"/>
  <c r="K30" i="7" s="1"/>
  <c r="C66" i="7"/>
  <c r="E23" i="7"/>
  <c r="C59" i="7"/>
  <c r="E23" i="5"/>
  <c r="K23" i="5" s="1"/>
  <c r="C59" i="5"/>
  <c r="E59" i="5" s="1"/>
  <c r="K59" i="5" s="1"/>
  <c r="D19" i="5"/>
  <c r="E19" i="5" s="1"/>
  <c r="D33" i="5"/>
  <c r="E33" i="5" s="1"/>
  <c r="H29" i="5"/>
  <c r="I29" i="5" s="1"/>
  <c r="H18" i="5"/>
  <c r="H32" i="5"/>
  <c r="I32" i="5" s="1"/>
  <c r="C21" i="7"/>
  <c r="C57" i="7" s="1"/>
  <c r="C93" i="7" s="1"/>
  <c r="C9" i="7"/>
  <c r="D31" i="7" s="1"/>
  <c r="E31" i="7" s="1"/>
  <c r="H25" i="5"/>
  <c r="I25" i="5" s="1"/>
  <c r="D26" i="5"/>
  <c r="E26" i="5" s="1"/>
  <c r="I57" i="4"/>
  <c r="K57" i="4" s="1"/>
  <c r="K59" i="4"/>
  <c r="C21" i="5"/>
  <c r="C57" i="5" s="1"/>
  <c r="C93" i="5" s="1"/>
  <c r="D17" i="5"/>
  <c r="D32" i="5"/>
  <c r="E32" i="5" s="1"/>
  <c r="K52" i="4"/>
  <c r="K66" i="4"/>
  <c r="I21" i="4"/>
  <c r="L21" i="4" s="1"/>
  <c r="H19" i="5"/>
  <c r="I19" i="5" s="1"/>
  <c r="H26" i="5"/>
  <c r="I26" i="5" s="1"/>
  <c r="H33" i="5"/>
  <c r="I33" i="5" s="1"/>
  <c r="D21" i="5"/>
  <c r="D29" i="5"/>
  <c r="E29" i="5" s="1"/>
  <c r="K93" i="4"/>
  <c r="D25" i="5"/>
  <c r="E25" i="5" s="1"/>
  <c r="D65" i="5"/>
  <c r="E65" i="5" s="1"/>
  <c r="E103" i="5"/>
  <c r="C45" i="7"/>
  <c r="E104" i="5"/>
  <c r="I103" i="5"/>
  <c r="E105" i="5"/>
  <c r="I104" i="5"/>
  <c r="I91" i="5"/>
  <c r="I105" i="5"/>
  <c r="E91" i="5"/>
  <c r="H17" i="5"/>
  <c r="H21" i="5"/>
  <c r="I21" i="5" s="1"/>
  <c r="D28" i="5"/>
  <c r="E28" i="5" s="1"/>
  <c r="D31" i="5"/>
  <c r="E31" i="5" s="1"/>
  <c r="K31" i="5" s="1"/>
  <c r="D18" i="5"/>
  <c r="H28" i="5"/>
  <c r="I28" i="5" s="1"/>
  <c r="K26" i="4"/>
  <c r="K33" i="4"/>
  <c r="K31" i="4"/>
  <c r="D54" i="5"/>
  <c r="D68" i="5"/>
  <c r="E68" i="5" s="1"/>
  <c r="H69" i="5"/>
  <c r="I69" i="5" s="1"/>
  <c r="H62" i="5"/>
  <c r="I62" i="5" s="1"/>
  <c r="D53" i="5"/>
  <c r="H57" i="5"/>
  <c r="I57" i="5" s="1"/>
  <c r="D64" i="5"/>
  <c r="E64" i="5" s="1"/>
  <c r="H68" i="5"/>
  <c r="I68" i="5" s="1"/>
  <c r="H53" i="5"/>
  <c r="H64" i="5"/>
  <c r="I64" i="5" s="1"/>
  <c r="D69" i="5"/>
  <c r="E69" i="5" s="1"/>
  <c r="D55" i="5"/>
  <c r="E55" i="5" s="1"/>
  <c r="D61" i="5"/>
  <c r="E61" i="5" s="1"/>
  <c r="H54" i="5"/>
  <c r="H55" i="5"/>
  <c r="I55" i="5" s="1"/>
  <c r="H61" i="5"/>
  <c r="I61" i="5" s="1"/>
  <c r="D67" i="5"/>
  <c r="E67" i="5" s="1"/>
  <c r="H65" i="5"/>
  <c r="I65" i="5" s="1"/>
  <c r="D57" i="5"/>
  <c r="D62" i="5"/>
  <c r="E62" i="5" s="1"/>
  <c r="K62" i="5" s="1"/>
  <c r="H67" i="5"/>
  <c r="I67" i="5" s="1"/>
  <c r="K19" i="4"/>
  <c r="K29" i="4"/>
  <c r="K25" i="4"/>
  <c r="K28" i="4"/>
  <c r="K32" i="4"/>
  <c r="K68" i="4"/>
  <c r="K65" i="4"/>
  <c r="K62" i="4"/>
  <c r="E56" i="4"/>
  <c r="E60" i="4" s="1"/>
  <c r="E63" i="4" s="1"/>
  <c r="E71" i="4" s="1"/>
  <c r="K55" i="4"/>
  <c r="K61" i="4"/>
  <c r="K64" i="4"/>
  <c r="K67" i="4"/>
  <c r="K69" i="4"/>
  <c r="E20" i="4"/>
  <c r="L19" i="5" l="1"/>
  <c r="L26" i="5"/>
  <c r="L32" i="5"/>
  <c r="L28" i="5"/>
  <c r="L33" i="5"/>
  <c r="L25" i="5"/>
  <c r="L31" i="5"/>
  <c r="L29" i="5"/>
  <c r="E24" i="4"/>
  <c r="E27" i="4" s="1"/>
  <c r="C95" i="9"/>
  <c r="E95" i="9" s="1"/>
  <c r="E59" i="9"/>
  <c r="C102" i="9"/>
  <c r="E102" i="9" s="1"/>
  <c r="E66" i="9"/>
  <c r="C88" i="9"/>
  <c r="E88" i="9" s="1"/>
  <c r="E52" i="9"/>
  <c r="K23" i="8"/>
  <c r="K30" i="9"/>
  <c r="K23" i="7"/>
  <c r="E52" i="8"/>
  <c r="C88" i="8"/>
  <c r="E88" i="8" s="1"/>
  <c r="E59" i="8"/>
  <c r="C95" i="8"/>
  <c r="E95" i="8" s="1"/>
  <c r="E66" i="8"/>
  <c r="C102" i="8"/>
  <c r="E102" i="8" s="1"/>
  <c r="E59" i="7"/>
  <c r="C95" i="7"/>
  <c r="E95" i="7" s="1"/>
  <c r="E66" i="7"/>
  <c r="K66" i="7" s="1"/>
  <c r="C102" i="7"/>
  <c r="E102" i="7" s="1"/>
  <c r="D19" i="7"/>
  <c r="E19" i="7" s="1"/>
  <c r="E52" i="7"/>
  <c r="C88" i="7"/>
  <c r="E88" i="7" s="1"/>
  <c r="H61" i="7"/>
  <c r="I61" i="7" s="1"/>
  <c r="D28" i="7"/>
  <c r="E28" i="7" s="1"/>
  <c r="H26" i="7"/>
  <c r="I26" i="7" s="1"/>
  <c r="E66" i="5"/>
  <c r="K66" i="5" s="1"/>
  <c r="K21" i="4"/>
  <c r="K102" i="5"/>
  <c r="K25" i="5"/>
  <c r="C88" i="5"/>
  <c r="E88" i="5" s="1"/>
  <c r="C95" i="5"/>
  <c r="E95" i="5" s="1"/>
  <c r="K95" i="5" s="1"/>
  <c r="K29" i="5"/>
  <c r="K26" i="5"/>
  <c r="C46" i="8"/>
  <c r="D98" i="7"/>
  <c r="E98" i="7" s="1"/>
  <c r="D93" i="7"/>
  <c r="E93" i="7" s="1"/>
  <c r="D100" i="7"/>
  <c r="E100" i="7" s="1"/>
  <c r="H97" i="7"/>
  <c r="I97" i="7" s="1"/>
  <c r="H100" i="7"/>
  <c r="I100" i="7" s="1"/>
  <c r="H98" i="7"/>
  <c r="I98" i="7" s="1"/>
  <c r="H101" i="7"/>
  <c r="I101" i="7" s="1"/>
  <c r="H93" i="7"/>
  <c r="I93" i="7" s="1"/>
  <c r="D101" i="7"/>
  <c r="E101" i="7" s="1"/>
  <c r="D97" i="7"/>
  <c r="E97" i="7" s="1"/>
  <c r="K33" i="5"/>
  <c r="H32" i="7"/>
  <c r="I32" i="7" s="1"/>
  <c r="K32" i="5"/>
  <c r="D17" i="7"/>
  <c r="H19" i="7"/>
  <c r="I19" i="7" s="1"/>
  <c r="K28" i="5"/>
  <c r="D18" i="7"/>
  <c r="H21" i="7"/>
  <c r="I21" i="7" s="1"/>
  <c r="K19" i="5"/>
  <c r="H18" i="7"/>
  <c r="K30" i="8"/>
  <c r="K16" i="8"/>
  <c r="K103" i="5"/>
  <c r="D32" i="7"/>
  <c r="E32" i="7" s="1"/>
  <c r="H33" i="7"/>
  <c r="I33" i="7" s="1"/>
  <c r="D29" i="7"/>
  <c r="E29" i="7" s="1"/>
  <c r="H17" i="7"/>
  <c r="D25" i="7"/>
  <c r="E25" i="7" s="1"/>
  <c r="D67" i="7"/>
  <c r="E67" i="7" s="1"/>
  <c r="H25" i="7"/>
  <c r="I25" i="7" s="1"/>
  <c r="D54" i="7"/>
  <c r="H31" i="7"/>
  <c r="I31" i="7" s="1"/>
  <c r="D33" i="7"/>
  <c r="E33" i="7" s="1"/>
  <c r="D26" i="7"/>
  <c r="E26" i="7" s="1"/>
  <c r="C45" i="8"/>
  <c r="C9" i="8"/>
  <c r="D31" i="8" s="1"/>
  <c r="E31" i="8" s="1"/>
  <c r="E21" i="5"/>
  <c r="L21" i="5" s="1"/>
  <c r="H54" i="7"/>
  <c r="H28" i="7"/>
  <c r="I28" i="7" s="1"/>
  <c r="D21" i="7"/>
  <c r="E21" i="7" s="1"/>
  <c r="H29" i="7"/>
  <c r="I29" i="7" s="1"/>
  <c r="H69" i="7"/>
  <c r="I69" i="7" s="1"/>
  <c r="D62" i="7"/>
  <c r="E62" i="7" s="1"/>
  <c r="H55" i="7"/>
  <c r="I55" i="7" s="1"/>
  <c r="D65" i="7"/>
  <c r="E65" i="7" s="1"/>
  <c r="D57" i="7"/>
  <c r="E57" i="7" s="1"/>
  <c r="E93" i="5"/>
  <c r="D55" i="7"/>
  <c r="E55" i="7" s="1"/>
  <c r="E57" i="5"/>
  <c r="D53" i="7"/>
  <c r="H64" i="7"/>
  <c r="I64" i="7" s="1"/>
  <c r="K100" i="5"/>
  <c r="D61" i="7"/>
  <c r="E61" i="7" s="1"/>
  <c r="H57" i="7"/>
  <c r="I57" i="7" s="1"/>
  <c r="H62" i="7"/>
  <c r="I62" i="7" s="1"/>
  <c r="K97" i="5"/>
  <c r="H53" i="7"/>
  <c r="K104" i="5"/>
  <c r="K101" i="5"/>
  <c r="H67" i="7"/>
  <c r="I67" i="7" s="1"/>
  <c r="D64" i="7"/>
  <c r="E64" i="7" s="1"/>
  <c r="K105" i="5"/>
  <c r="H68" i="7"/>
  <c r="I68" i="7" s="1"/>
  <c r="D69" i="7"/>
  <c r="E69" i="7" s="1"/>
  <c r="D68" i="7"/>
  <c r="E68" i="7" s="1"/>
  <c r="H65" i="7"/>
  <c r="I65" i="7" s="1"/>
  <c r="K98" i="5"/>
  <c r="K91" i="5"/>
  <c r="K67" i="5"/>
  <c r="K69" i="5"/>
  <c r="K61" i="5"/>
  <c r="K68" i="5"/>
  <c r="K65" i="5"/>
  <c r="K55" i="5"/>
  <c r="K64" i="5"/>
  <c r="E72" i="4"/>
  <c r="E73" i="4" s="1"/>
  <c r="E75" i="4" s="1"/>
  <c r="B16" i="14" s="1"/>
  <c r="L25" i="7" l="1"/>
  <c r="L21" i="7"/>
  <c r="L29" i="7"/>
  <c r="L33" i="7"/>
  <c r="K31" i="7"/>
  <c r="L31" i="7"/>
  <c r="L32" i="7"/>
  <c r="L28" i="7"/>
  <c r="L19" i="7"/>
  <c r="L26" i="7"/>
  <c r="K52" i="9"/>
  <c r="K88" i="9"/>
  <c r="K66" i="9"/>
  <c r="K102" i="9"/>
  <c r="K59" i="9"/>
  <c r="K95" i="9"/>
  <c r="K102" i="8"/>
  <c r="K66" i="8"/>
  <c r="K95" i="8"/>
  <c r="K59" i="8"/>
  <c r="K88" i="8"/>
  <c r="K52" i="8"/>
  <c r="K52" i="7"/>
  <c r="K19" i="7"/>
  <c r="K88" i="7"/>
  <c r="K95" i="7"/>
  <c r="K102" i="7"/>
  <c r="K59" i="7"/>
  <c r="K26" i="7"/>
  <c r="K28" i="7"/>
  <c r="K88" i="5"/>
  <c r="K25" i="7"/>
  <c r="K98" i="7"/>
  <c r="H65" i="8"/>
  <c r="I65" i="8" s="1"/>
  <c r="H57" i="8"/>
  <c r="I57" i="8" s="1"/>
  <c r="H68" i="8"/>
  <c r="I68" i="8" s="1"/>
  <c r="D65" i="8"/>
  <c r="E65" i="8" s="1"/>
  <c r="D57" i="8"/>
  <c r="E57" i="8" s="1"/>
  <c r="D55" i="8"/>
  <c r="E55" i="8" s="1"/>
  <c r="H62" i="8"/>
  <c r="I62" i="8" s="1"/>
  <c r="D67" i="8"/>
  <c r="E67" i="8" s="1"/>
  <c r="H69" i="8"/>
  <c r="I69" i="8" s="1"/>
  <c r="H64" i="8"/>
  <c r="I64" i="8" s="1"/>
  <c r="H55" i="8"/>
  <c r="I55" i="8" s="1"/>
  <c r="D69" i="8"/>
  <c r="E69" i="8" s="1"/>
  <c r="D64" i="8"/>
  <c r="E64" i="8" s="1"/>
  <c r="H54" i="8"/>
  <c r="D61" i="8"/>
  <c r="E61" i="8" s="1"/>
  <c r="D68" i="8"/>
  <c r="E68" i="8" s="1"/>
  <c r="D62" i="8"/>
  <c r="E62" i="8" s="1"/>
  <c r="D54" i="8"/>
  <c r="H67" i="8"/>
  <c r="I67" i="8" s="1"/>
  <c r="H61" i="8"/>
  <c r="I61" i="8" s="1"/>
  <c r="H53" i="8"/>
  <c r="D53" i="8"/>
  <c r="K100" i="7"/>
  <c r="K97" i="7"/>
  <c r="K93" i="7"/>
  <c r="K101" i="7"/>
  <c r="C46" i="9"/>
  <c r="D100" i="8"/>
  <c r="E100" i="8" s="1"/>
  <c r="D97" i="8"/>
  <c r="E97" i="8" s="1"/>
  <c r="H101" i="8"/>
  <c r="I101" i="8" s="1"/>
  <c r="D98" i="8"/>
  <c r="E98" i="8" s="1"/>
  <c r="H93" i="8"/>
  <c r="I93" i="8" s="1"/>
  <c r="H98" i="8"/>
  <c r="I98" i="8" s="1"/>
  <c r="D101" i="8"/>
  <c r="E101" i="8" s="1"/>
  <c r="H97" i="8"/>
  <c r="I97" i="8" s="1"/>
  <c r="D93" i="8"/>
  <c r="E93" i="8" s="1"/>
  <c r="H100" i="8"/>
  <c r="I100" i="8" s="1"/>
  <c r="K21" i="5"/>
  <c r="K32" i="7"/>
  <c r="K21" i="7"/>
  <c r="K57" i="7"/>
  <c r="K62" i="7"/>
  <c r="K67" i="7"/>
  <c r="H18" i="8"/>
  <c r="D19" i="8"/>
  <c r="E19" i="8" s="1"/>
  <c r="K65" i="7"/>
  <c r="H28" i="8"/>
  <c r="I28" i="8" s="1"/>
  <c r="K57" i="5"/>
  <c r="H19" i="8"/>
  <c r="I19" i="8" s="1"/>
  <c r="L19" i="8" s="1"/>
  <c r="H21" i="8"/>
  <c r="I21" i="8" s="1"/>
  <c r="D18" i="8"/>
  <c r="H31" i="8"/>
  <c r="I31" i="8" s="1"/>
  <c r="C45" i="9"/>
  <c r="H68" i="9" s="1"/>
  <c r="I68" i="9" s="1"/>
  <c r="D33" i="8"/>
  <c r="E33" i="8" s="1"/>
  <c r="D26" i="8"/>
  <c r="E26" i="8" s="1"/>
  <c r="H29" i="8"/>
  <c r="I29" i="8" s="1"/>
  <c r="L29" i="8" s="1"/>
  <c r="K33" i="7"/>
  <c r="H17" i="8"/>
  <c r="C9" i="9"/>
  <c r="D26" i="9" s="1"/>
  <c r="E26" i="9" s="1"/>
  <c r="H26" i="8"/>
  <c r="I26" i="8" s="1"/>
  <c r="L26" i="8" s="1"/>
  <c r="K55" i="7"/>
  <c r="K29" i="7"/>
  <c r="D29" i="8"/>
  <c r="E29" i="8" s="1"/>
  <c r="H33" i="8"/>
  <c r="I33" i="8" s="1"/>
  <c r="D25" i="8"/>
  <c r="E25" i="8" s="1"/>
  <c r="D28" i="8"/>
  <c r="E28" i="8" s="1"/>
  <c r="K69" i="7"/>
  <c r="D17" i="8"/>
  <c r="D32" i="8"/>
  <c r="E32" i="8" s="1"/>
  <c r="D21" i="8"/>
  <c r="E21" i="8" s="1"/>
  <c r="K93" i="5"/>
  <c r="H25" i="8"/>
  <c r="I25" i="8" s="1"/>
  <c r="H32" i="8"/>
  <c r="I32" i="8" s="1"/>
  <c r="L32" i="8" s="1"/>
  <c r="K61" i="7"/>
  <c r="K68" i="7"/>
  <c r="K64" i="7"/>
  <c r="E35" i="4"/>
  <c r="L25" i="8" l="1"/>
  <c r="L33" i="8"/>
  <c r="K31" i="8"/>
  <c r="L31" i="8"/>
  <c r="L28" i="8"/>
  <c r="L21" i="8"/>
  <c r="K98" i="8"/>
  <c r="K65" i="8"/>
  <c r="K57" i="8"/>
  <c r="H57" i="9"/>
  <c r="I57" i="9" s="1"/>
  <c r="K101" i="8"/>
  <c r="K100" i="8"/>
  <c r="H17" i="9"/>
  <c r="K97" i="8"/>
  <c r="H101" i="9"/>
  <c r="I101" i="9" s="1"/>
  <c r="H93" i="9"/>
  <c r="I93" i="9" s="1"/>
  <c r="H98" i="9"/>
  <c r="I98" i="9" s="1"/>
  <c r="D101" i="9"/>
  <c r="E101" i="9" s="1"/>
  <c r="H97" i="9"/>
  <c r="I97" i="9" s="1"/>
  <c r="D93" i="9"/>
  <c r="E93" i="9" s="1"/>
  <c r="D98" i="9"/>
  <c r="E98" i="9" s="1"/>
  <c r="D97" i="9"/>
  <c r="E97" i="9" s="1"/>
  <c r="D100" i="9"/>
  <c r="E100" i="9" s="1"/>
  <c r="H100" i="9"/>
  <c r="I100" i="9" s="1"/>
  <c r="K93" i="8"/>
  <c r="D28" i="9"/>
  <c r="E28" i="9" s="1"/>
  <c r="K19" i="8"/>
  <c r="K32" i="8"/>
  <c r="H33" i="9"/>
  <c r="I33" i="9" s="1"/>
  <c r="H67" i="9"/>
  <c r="I67" i="9" s="1"/>
  <c r="D67" i="9"/>
  <c r="E67" i="9" s="1"/>
  <c r="H65" i="9"/>
  <c r="I65" i="9" s="1"/>
  <c r="H53" i="9"/>
  <c r="H55" i="9"/>
  <c r="I55" i="9" s="1"/>
  <c r="D61" i="9"/>
  <c r="E61" i="9" s="1"/>
  <c r="H54" i="9"/>
  <c r="K61" i="8"/>
  <c r="D54" i="9"/>
  <c r="H64" i="9"/>
  <c r="I64" i="9" s="1"/>
  <c r="D64" i="9"/>
  <c r="E64" i="9" s="1"/>
  <c r="H62" i="9"/>
  <c r="I62" i="9" s="1"/>
  <c r="H61" i="9"/>
  <c r="I61" i="9" s="1"/>
  <c r="D68" i="9"/>
  <c r="E68" i="9" s="1"/>
  <c r="K62" i="8"/>
  <c r="K67" i="8"/>
  <c r="K64" i="8"/>
  <c r="K28" i="8"/>
  <c r="K55" i="8"/>
  <c r="D69" i="9"/>
  <c r="E69" i="9" s="1"/>
  <c r="D57" i="9"/>
  <c r="E57" i="9" s="1"/>
  <c r="D53" i="9"/>
  <c r="K33" i="8"/>
  <c r="K69" i="8"/>
  <c r="D62" i="9"/>
  <c r="E62" i="9" s="1"/>
  <c r="D55" i="9"/>
  <c r="E55" i="9" s="1"/>
  <c r="K26" i="8"/>
  <c r="D21" i="9"/>
  <c r="E21" i="9" s="1"/>
  <c r="H18" i="9"/>
  <c r="D18" i="9"/>
  <c r="D29" i="9"/>
  <c r="E29" i="9" s="1"/>
  <c r="D33" i="9"/>
  <c r="E33" i="9" s="1"/>
  <c r="H29" i="9"/>
  <c r="I29" i="9" s="1"/>
  <c r="D32" i="9"/>
  <c r="E32" i="9" s="1"/>
  <c r="H19" i="9"/>
  <c r="I19" i="9" s="1"/>
  <c r="D19" i="9"/>
  <c r="E19" i="9" s="1"/>
  <c r="D17" i="9"/>
  <c r="K68" i="8"/>
  <c r="H21" i="9"/>
  <c r="I21" i="9" s="1"/>
  <c r="D25" i="9"/>
  <c r="E25" i="9" s="1"/>
  <c r="D31" i="9"/>
  <c r="E31" i="9" s="1"/>
  <c r="K29" i="8"/>
  <c r="H31" i="9"/>
  <c r="I31" i="9" s="1"/>
  <c r="K25" i="8"/>
  <c r="H25" i="9"/>
  <c r="I25" i="9" s="1"/>
  <c r="H26" i="9"/>
  <c r="I26" i="9" s="1"/>
  <c r="L26" i="9" s="1"/>
  <c r="D65" i="9"/>
  <c r="E65" i="9" s="1"/>
  <c r="H69" i="9"/>
  <c r="I69" i="9" s="1"/>
  <c r="H32" i="9"/>
  <c r="I32" i="9" s="1"/>
  <c r="H28" i="9"/>
  <c r="I28" i="9" s="1"/>
  <c r="K21" i="8"/>
  <c r="E36" i="4"/>
  <c r="L28" i="9" l="1"/>
  <c r="L31" i="9"/>
  <c r="L21" i="9"/>
  <c r="L19" i="9"/>
  <c r="L32" i="9"/>
  <c r="L25" i="9"/>
  <c r="L29" i="9"/>
  <c r="L33" i="9"/>
  <c r="K68" i="9"/>
  <c r="K98" i="9"/>
  <c r="K100" i="9"/>
  <c r="K93" i="9"/>
  <c r="K101" i="9"/>
  <c r="K69" i="9"/>
  <c r="K97" i="9"/>
  <c r="K28" i="9"/>
  <c r="K33" i="9"/>
  <c r="K67" i="9"/>
  <c r="K62" i="9"/>
  <c r="K57" i="9"/>
  <c r="K65" i="9"/>
  <c r="K55" i="9"/>
  <c r="K61" i="9"/>
  <c r="K64" i="9"/>
  <c r="K31" i="9"/>
  <c r="K26" i="9"/>
  <c r="K19" i="9"/>
  <c r="K29" i="9"/>
  <c r="K32" i="9"/>
  <c r="K25" i="9"/>
  <c r="K21" i="9"/>
  <c r="E37" i="4"/>
  <c r="E39" i="4" l="1"/>
  <c r="B15" i="14" s="1"/>
  <c r="B29" i="1" l="1"/>
  <c r="B30" i="1"/>
  <c r="C30" i="1"/>
  <c r="C29" i="1"/>
  <c r="D29" i="1" l="1"/>
  <c r="D30" i="1"/>
  <c r="D31" i="1" l="1"/>
  <c r="E29" i="1" s="1"/>
  <c r="B38" i="1" s="1"/>
  <c r="C38" i="1" s="1"/>
  <c r="B43" i="1" l="1"/>
  <c r="B44" i="1" s="1"/>
  <c r="C44" i="1" s="1"/>
  <c r="D44" i="1" s="1"/>
  <c r="E30" i="1"/>
  <c r="B39" i="1" s="1"/>
  <c r="C39" i="1" s="1"/>
  <c r="D38" i="1"/>
  <c r="D39" i="1" l="1"/>
  <c r="D40" i="1" s="1"/>
  <c r="C43" i="1"/>
  <c r="C45" i="1" s="1"/>
  <c r="E44" i="1"/>
  <c r="B30" i="10"/>
  <c r="D30" i="10" s="1"/>
  <c r="G17" i="4"/>
  <c r="B40" i="1"/>
  <c r="G53" i="4" l="1"/>
  <c r="G89" i="4" s="1"/>
  <c r="I89" i="4" s="1"/>
  <c r="L89" i="4" s="1"/>
  <c r="G18" i="4"/>
  <c r="G54" i="4" s="1"/>
  <c r="G90" i="4" s="1"/>
  <c r="D14" i="15"/>
  <c r="E14" i="15" s="1"/>
  <c r="D43" i="1"/>
  <c r="D5" i="14"/>
  <c r="C17" i="5"/>
  <c r="I17" i="4"/>
  <c r="L17" i="4" s="1"/>
  <c r="I53" i="4" l="1"/>
  <c r="L53" i="4" s="1"/>
  <c r="E17" i="5"/>
  <c r="C53" i="5"/>
  <c r="E53" i="5" s="1"/>
  <c r="E5" i="14"/>
  <c r="I18" i="4"/>
  <c r="L18" i="4" s="1"/>
  <c r="C18" i="5"/>
  <c r="K89" i="4"/>
  <c r="B49" i="1"/>
  <c r="B50" i="1" s="1"/>
  <c r="B48" i="1"/>
  <c r="B29" i="10"/>
  <c r="D29" i="10" s="1"/>
  <c r="D31" i="10" s="1"/>
  <c r="E30" i="10" s="1"/>
  <c r="B39" i="10" s="1"/>
  <c r="C39" i="10" s="1"/>
  <c r="G14" i="4"/>
  <c r="E43" i="1"/>
  <c r="E45" i="1" s="1"/>
  <c r="F14" i="15" s="1"/>
  <c r="G14" i="15" s="1"/>
  <c r="K17" i="4"/>
  <c r="K53" i="4" l="1"/>
  <c r="C89" i="5"/>
  <c r="E89" i="5" s="1"/>
  <c r="E18" i="5"/>
  <c r="C54" i="5"/>
  <c r="I90" i="4"/>
  <c r="L90" i="4" s="1"/>
  <c r="I54" i="4"/>
  <c r="L54" i="4" s="1"/>
  <c r="K18" i="4"/>
  <c r="I14" i="4"/>
  <c r="G50" i="4"/>
  <c r="B14" i="15"/>
  <c r="C14" i="15" s="1"/>
  <c r="G15" i="4"/>
  <c r="C14" i="5"/>
  <c r="B5" i="14"/>
  <c r="D39" i="10"/>
  <c r="E29" i="10"/>
  <c r="K14" i="4" l="1"/>
  <c r="L14" i="4"/>
  <c r="E14" i="5"/>
  <c r="C50" i="5"/>
  <c r="C86" i="5" s="1"/>
  <c r="G86" i="4"/>
  <c r="I86" i="4" s="1"/>
  <c r="L86" i="4" s="1"/>
  <c r="I50" i="4"/>
  <c r="L50" i="4" s="1"/>
  <c r="K54" i="4"/>
  <c r="C90" i="5"/>
  <c r="E90" i="5" s="1"/>
  <c r="E54" i="5"/>
  <c r="G51" i="4"/>
  <c r="C5" i="14"/>
  <c r="C15" i="5"/>
  <c r="I15" i="4"/>
  <c r="K90" i="4"/>
  <c r="B43" i="10"/>
  <c r="B38" i="10"/>
  <c r="I20" i="4" l="1"/>
  <c r="K20" i="4" s="1"/>
  <c r="L15" i="4"/>
  <c r="E15" i="5"/>
  <c r="C51" i="5"/>
  <c r="K15" i="4"/>
  <c r="K50" i="4"/>
  <c r="G87" i="4"/>
  <c r="I87" i="4" s="1"/>
  <c r="I51" i="4"/>
  <c r="E50" i="5"/>
  <c r="E86" i="5"/>
  <c r="K86" i="4"/>
  <c r="B40" i="10"/>
  <c r="C38" i="10"/>
  <c r="D38" i="10" s="1"/>
  <c r="D40" i="10" s="1"/>
  <c r="C43" i="10"/>
  <c r="B44" i="10"/>
  <c r="C44" i="10" s="1"/>
  <c r="D44" i="10" s="1"/>
  <c r="I92" i="4" l="1"/>
  <c r="L92" i="4" s="1"/>
  <c r="L87" i="4"/>
  <c r="I56" i="4"/>
  <c r="L56" i="4" s="1"/>
  <c r="L51" i="4"/>
  <c r="I24" i="4"/>
  <c r="L20" i="4"/>
  <c r="E20" i="5"/>
  <c r="E24" i="5" s="1"/>
  <c r="E27" i="5" s="1"/>
  <c r="E35" i="5" s="1"/>
  <c r="E36" i="5" s="1"/>
  <c r="E37" i="5" s="1"/>
  <c r="E39" i="5" s="1"/>
  <c r="C87" i="5"/>
  <c r="E87" i="5" s="1"/>
  <c r="E92" i="5" s="1"/>
  <c r="E96" i="5" s="1"/>
  <c r="E99" i="5" s="1"/>
  <c r="E107" i="5" s="1"/>
  <c r="E108" i="5" s="1"/>
  <c r="E109" i="5" s="1"/>
  <c r="E111" i="5" s="1"/>
  <c r="E51" i="5"/>
  <c r="E56" i="5" s="1"/>
  <c r="E60" i="5" s="1"/>
  <c r="E63" i="5" s="1"/>
  <c r="E71" i="5" s="1"/>
  <c r="E72" i="5" s="1"/>
  <c r="E73" i="5" s="1"/>
  <c r="E75" i="5" s="1"/>
  <c r="K87" i="4"/>
  <c r="K51" i="4"/>
  <c r="G17" i="5"/>
  <c r="G18" i="5" s="1"/>
  <c r="E44" i="10"/>
  <c r="B30" i="11"/>
  <c r="D30" i="11" s="1"/>
  <c r="D43" i="10"/>
  <c r="C45" i="10"/>
  <c r="K92" i="4" l="1"/>
  <c r="I60" i="4"/>
  <c r="L60" i="4" s="1"/>
  <c r="I96" i="4"/>
  <c r="L96" i="4" s="1"/>
  <c r="K56" i="4"/>
  <c r="L24" i="4"/>
  <c r="K24" i="4"/>
  <c r="I27" i="4"/>
  <c r="K60" i="4"/>
  <c r="G53" i="5"/>
  <c r="D15" i="15"/>
  <c r="D6" i="14"/>
  <c r="B29" i="11"/>
  <c r="D29" i="11" s="1"/>
  <c r="G14" i="5"/>
  <c r="B48" i="10"/>
  <c r="B49" i="10"/>
  <c r="B50" i="10" s="1"/>
  <c r="E43" i="10"/>
  <c r="E45" i="10" s="1"/>
  <c r="F15" i="15" s="1"/>
  <c r="G15" i="15" s="1"/>
  <c r="C17" i="7"/>
  <c r="I17" i="5"/>
  <c r="K96" i="4" l="1"/>
  <c r="I99" i="4"/>
  <c r="L99" i="4" s="1"/>
  <c r="I63" i="4"/>
  <c r="L63" i="4" s="1"/>
  <c r="K17" i="5"/>
  <c r="L17" i="5"/>
  <c r="K27" i="4"/>
  <c r="I35" i="4"/>
  <c r="E17" i="7"/>
  <c r="C53" i="7"/>
  <c r="C89" i="7" s="1"/>
  <c r="E89" i="7" s="1"/>
  <c r="K99" i="4"/>
  <c r="G54" i="5"/>
  <c r="E6" i="14"/>
  <c r="C18" i="7"/>
  <c r="I18" i="5"/>
  <c r="E15" i="15"/>
  <c r="G50" i="5"/>
  <c r="G86" i="5" s="1"/>
  <c r="I86" i="5" s="1"/>
  <c r="L86" i="5" s="1"/>
  <c r="B15" i="15"/>
  <c r="G15" i="5"/>
  <c r="G89" i="5"/>
  <c r="I89" i="5" s="1"/>
  <c r="L89" i="5" s="1"/>
  <c r="I53" i="5"/>
  <c r="L53" i="5" s="1"/>
  <c r="B6" i="14"/>
  <c r="I14" i="5"/>
  <c r="C14" i="7"/>
  <c r="D31" i="11"/>
  <c r="E30" i="11" s="1"/>
  <c r="B39" i="11" s="1"/>
  <c r="C39" i="11" s="1"/>
  <c r="D39" i="11" s="1"/>
  <c r="K63" i="4" l="1"/>
  <c r="I107" i="4"/>
  <c r="L107" i="4" s="1"/>
  <c r="I71" i="4"/>
  <c r="L71" i="4" s="1"/>
  <c r="K18" i="5"/>
  <c r="L18" i="5"/>
  <c r="K14" i="5"/>
  <c r="L14" i="5"/>
  <c r="E53" i="7"/>
  <c r="I36" i="4"/>
  <c r="K35" i="4"/>
  <c r="E18" i="7"/>
  <c r="C54" i="7"/>
  <c r="C90" i="7" s="1"/>
  <c r="E90" i="7" s="1"/>
  <c r="E14" i="7"/>
  <c r="C50" i="7"/>
  <c r="C86" i="7" s="1"/>
  <c r="E86" i="7" s="1"/>
  <c r="I72" i="4"/>
  <c r="L72" i="4" s="1"/>
  <c r="K86" i="5"/>
  <c r="I50" i="5"/>
  <c r="L50" i="5" s="1"/>
  <c r="K53" i="5"/>
  <c r="G51" i="5"/>
  <c r="C6" i="14"/>
  <c r="I15" i="5"/>
  <c r="C15" i="7"/>
  <c r="K89" i="5"/>
  <c r="C15" i="15"/>
  <c r="G90" i="5"/>
  <c r="I90" i="5" s="1"/>
  <c r="L90" i="5" s="1"/>
  <c r="I54" i="5"/>
  <c r="L54" i="5" s="1"/>
  <c r="E29" i="11"/>
  <c r="B38" i="11" s="1"/>
  <c r="K71" i="4" l="1"/>
  <c r="K107" i="4"/>
  <c r="I108" i="4"/>
  <c r="L108" i="4" s="1"/>
  <c r="L36" i="4"/>
  <c r="I37" i="4"/>
  <c r="K36" i="4"/>
  <c r="K15" i="5"/>
  <c r="L15" i="5"/>
  <c r="E54" i="7"/>
  <c r="E50" i="7"/>
  <c r="E15" i="7"/>
  <c r="E20" i="7" s="1"/>
  <c r="E24" i="7" s="1"/>
  <c r="E27" i="7" s="1"/>
  <c r="E35" i="7" s="1"/>
  <c r="E36" i="7" s="1"/>
  <c r="E37" i="7" s="1"/>
  <c r="E39" i="7" s="1"/>
  <c r="C51" i="7"/>
  <c r="C87" i="7" s="1"/>
  <c r="E87" i="7" s="1"/>
  <c r="I73" i="4"/>
  <c r="L73" i="4" s="1"/>
  <c r="K72" i="4"/>
  <c r="K54" i="5"/>
  <c r="I20" i="5"/>
  <c r="L20" i="5" s="1"/>
  <c r="K90" i="5"/>
  <c r="G87" i="5"/>
  <c r="I87" i="5" s="1"/>
  <c r="L87" i="5" s="1"/>
  <c r="I51" i="5"/>
  <c r="L51" i="5" s="1"/>
  <c r="K50" i="5"/>
  <c r="B43" i="11"/>
  <c r="B44" i="11" s="1"/>
  <c r="C44" i="11" s="1"/>
  <c r="D44" i="11" s="1"/>
  <c r="B40" i="11"/>
  <c r="C38" i="11"/>
  <c r="D38" i="11" s="1"/>
  <c r="D40" i="11" s="1"/>
  <c r="K108" i="4" l="1"/>
  <c r="I109" i="4"/>
  <c r="L109" i="4" s="1"/>
  <c r="L37" i="4"/>
  <c r="I39" i="4"/>
  <c r="K37" i="4"/>
  <c r="E51" i="7"/>
  <c r="E56" i="7" s="1"/>
  <c r="E60" i="7" s="1"/>
  <c r="E63" i="7" s="1"/>
  <c r="E71" i="7" s="1"/>
  <c r="E72" i="7" s="1"/>
  <c r="E73" i="7" s="1"/>
  <c r="E75" i="7" s="1"/>
  <c r="E92" i="7"/>
  <c r="I24" i="5"/>
  <c r="K20" i="5"/>
  <c r="I111" i="4"/>
  <c r="K109" i="4"/>
  <c r="I75" i="4"/>
  <c r="K73" i="4"/>
  <c r="K51" i="5"/>
  <c r="K87" i="5"/>
  <c r="I92" i="5"/>
  <c r="L92" i="5" s="1"/>
  <c r="I56" i="5"/>
  <c r="L56" i="5" s="1"/>
  <c r="C43" i="11"/>
  <c r="D43" i="11" s="1"/>
  <c r="G17" i="7"/>
  <c r="G18" i="7" s="1"/>
  <c r="E44" i="11"/>
  <c r="B30" i="12"/>
  <c r="D30" i="12" s="1"/>
  <c r="C16" i="14" l="1"/>
  <c r="B21" i="14" s="1"/>
  <c r="L75" i="4"/>
  <c r="K24" i="5"/>
  <c r="L24" i="5"/>
  <c r="C15" i="14"/>
  <c r="B20" i="14" s="1"/>
  <c r="L39" i="4"/>
  <c r="E15" i="14" s="1"/>
  <c r="K39" i="4"/>
  <c r="D15" i="14" s="1"/>
  <c r="C17" i="14"/>
  <c r="B22" i="14" s="1"/>
  <c r="L111" i="4"/>
  <c r="E96" i="7"/>
  <c r="I27" i="5"/>
  <c r="G53" i="7"/>
  <c r="G89" i="7" s="1"/>
  <c r="I89" i="7" s="1"/>
  <c r="L89" i="7" s="1"/>
  <c r="D16" i="15"/>
  <c r="E16" i="14"/>
  <c r="K75" i="4"/>
  <c r="D16" i="14" s="1"/>
  <c r="K111" i="4"/>
  <c r="D17" i="14" s="1"/>
  <c r="E17" i="14"/>
  <c r="I96" i="5"/>
  <c r="L96" i="5" s="1"/>
  <c r="K92" i="5"/>
  <c r="I60" i="5"/>
  <c r="L60" i="5" s="1"/>
  <c r="K56" i="5"/>
  <c r="C45" i="11"/>
  <c r="D7" i="14"/>
  <c r="G14" i="7"/>
  <c r="B29" i="12"/>
  <c r="D29" i="12" s="1"/>
  <c r="B49" i="11"/>
  <c r="B50" i="11" s="1"/>
  <c r="E43" i="11"/>
  <c r="E45" i="11" s="1"/>
  <c r="F16" i="15" s="1"/>
  <c r="G16" i="15" s="1"/>
  <c r="B48" i="11"/>
  <c r="C17" i="8"/>
  <c r="I17" i="7"/>
  <c r="L17" i="7" s="1"/>
  <c r="K27" i="5" l="1"/>
  <c r="L27" i="5"/>
  <c r="K89" i="7"/>
  <c r="I53" i="7"/>
  <c r="E99" i="7"/>
  <c r="I35" i="5"/>
  <c r="E17" i="8"/>
  <c r="C53" i="8"/>
  <c r="G50" i="7"/>
  <c r="G86" i="7" s="1"/>
  <c r="I86" i="7" s="1"/>
  <c r="L86" i="7" s="1"/>
  <c r="B16" i="15"/>
  <c r="G15" i="7"/>
  <c r="G54" i="7"/>
  <c r="G90" i="7" s="1"/>
  <c r="I90" i="7" s="1"/>
  <c r="L90" i="7" s="1"/>
  <c r="E7" i="14"/>
  <c r="C18" i="8"/>
  <c r="I18" i="7"/>
  <c r="L18" i="7" s="1"/>
  <c r="E16" i="15"/>
  <c r="I63" i="5"/>
  <c r="L63" i="5" s="1"/>
  <c r="K60" i="5"/>
  <c r="I99" i="5"/>
  <c r="L99" i="5" s="1"/>
  <c r="K96" i="5"/>
  <c r="B7" i="14"/>
  <c r="K17" i="7"/>
  <c r="D31" i="12"/>
  <c r="E30" i="12" s="1"/>
  <c r="B39" i="12" s="1"/>
  <c r="C39" i="12" s="1"/>
  <c r="D39" i="12" s="1"/>
  <c r="I14" i="7"/>
  <c r="L14" i="7" s="1"/>
  <c r="C14" i="8"/>
  <c r="K35" i="5" l="1"/>
  <c r="L35" i="5"/>
  <c r="I50" i="7"/>
  <c r="L50" i="7" s="1"/>
  <c r="K53" i="7"/>
  <c r="L53" i="7"/>
  <c r="K86" i="7"/>
  <c r="E53" i="8"/>
  <c r="C89" i="8"/>
  <c r="E89" i="8" s="1"/>
  <c r="K90" i="7"/>
  <c r="E107" i="7"/>
  <c r="I36" i="5"/>
  <c r="E18" i="8"/>
  <c r="C54" i="8"/>
  <c r="C90" i="8" s="1"/>
  <c r="E90" i="8" s="1"/>
  <c r="E14" i="8"/>
  <c r="C50" i="8"/>
  <c r="G51" i="7"/>
  <c r="G87" i="7" s="1"/>
  <c r="I87" i="7" s="1"/>
  <c r="L87" i="7" s="1"/>
  <c r="C7" i="14"/>
  <c r="I15" i="7"/>
  <c r="C15" i="8"/>
  <c r="K18" i="7"/>
  <c r="C16" i="15"/>
  <c r="I54" i="7"/>
  <c r="L54" i="7" s="1"/>
  <c r="K99" i="5"/>
  <c r="I107" i="5"/>
  <c r="L107" i="5" s="1"/>
  <c r="K63" i="5"/>
  <c r="I71" i="5"/>
  <c r="L71" i="5" s="1"/>
  <c r="E29" i="12"/>
  <c r="B38" i="12" s="1"/>
  <c r="K14" i="7"/>
  <c r="K50" i="7" l="1"/>
  <c r="K36" i="5"/>
  <c r="L36" i="5"/>
  <c r="E54" i="8"/>
  <c r="I20" i="7"/>
  <c r="L20" i="7" s="1"/>
  <c r="L15" i="7"/>
  <c r="I37" i="5"/>
  <c r="E50" i="8"/>
  <c r="C86" i="8"/>
  <c r="E86" i="8" s="1"/>
  <c r="K87" i="7"/>
  <c r="I92" i="7"/>
  <c r="L92" i="7" s="1"/>
  <c r="E108" i="7"/>
  <c r="E15" i="8"/>
  <c r="E20" i="8" s="1"/>
  <c r="E24" i="8" s="1"/>
  <c r="E27" i="8" s="1"/>
  <c r="E35" i="8" s="1"/>
  <c r="E36" i="8" s="1"/>
  <c r="E37" i="8" s="1"/>
  <c r="E39" i="8" s="1"/>
  <c r="C51" i="8"/>
  <c r="C87" i="8" s="1"/>
  <c r="E87" i="8" s="1"/>
  <c r="K15" i="7"/>
  <c r="I51" i="7"/>
  <c r="L51" i="7" s="1"/>
  <c r="K54" i="7"/>
  <c r="I108" i="5"/>
  <c r="K107" i="5"/>
  <c r="K71" i="5"/>
  <c r="I72" i="5"/>
  <c r="L72" i="5" s="1"/>
  <c r="B43" i="12"/>
  <c r="C43" i="12" s="1"/>
  <c r="B40" i="12"/>
  <c r="C38" i="12"/>
  <c r="D38" i="12" s="1"/>
  <c r="D40" i="12" s="1"/>
  <c r="K20" i="7" l="1"/>
  <c r="I24" i="7"/>
  <c r="L24" i="7" s="1"/>
  <c r="K37" i="5"/>
  <c r="L37" i="5"/>
  <c r="I109" i="5"/>
  <c r="L109" i="5" s="1"/>
  <c r="L108" i="5"/>
  <c r="I39" i="5"/>
  <c r="E51" i="8"/>
  <c r="E56" i="8" s="1"/>
  <c r="E60" i="8" s="1"/>
  <c r="E63" i="8" s="1"/>
  <c r="E71" i="8" s="1"/>
  <c r="E72" i="8" s="1"/>
  <c r="E73" i="8" s="1"/>
  <c r="E75" i="8" s="1"/>
  <c r="E92" i="8"/>
  <c r="I96" i="7"/>
  <c r="L96" i="7" s="1"/>
  <c r="K92" i="7"/>
  <c r="E109" i="7"/>
  <c r="K51" i="7"/>
  <c r="I56" i="7"/>
  <c r="L56" i="7" s="1"/>
  <c r="I73" i="5"/>
  <c r="K72" i="5"/>
  <c r="K108" i="5"/>
  <c r="B44" i="12"/>
  <c r="C44" i="12" s="1"/>
  <c r="D44" i="12" s="1"/>
  <c r="D43" i="12"/>
  <c r="K24" i="7" l="1"/>
  <c r="I111" i="5"/>
  <c r="C22" i="14" s="1"/>
  <c r="B27" i="14" s="1"/>
  <c r="K109" i="5"/>
  <c r="C20" i="14"/>
  <c r="B25" i="14" s="1"/>
  <c r="L39" i="5"/>
  <c r="I27" i="7"/>
  <c r="L27" i="7" s="1"/>
  <c r="I75" i="5"/>
  <c r="L75" i="5" s="1"/>
  <c r="E21" i="14" s="1"/>
  <c r="L73" i="5"/>
  <c r="E20" i="14"/>
  <c r="K39" i="5"/>
  <c r="D20" i="14" s="1"/>
  <c r="I99" i="7"/>
  <c r="L99" i="7" s="1"/>
  <c r="K96" i="7"/>
  <c r="E96" i="8"/>
  <c r="E111" i="7"/>
  <c r="C21" i="14"/>
  <c r="B26" i="14" s="1"/>
  <c r="K75" i="5"/>
  <c r="D21" i="14" s="1"/>
  <c r="K56" i="7"/>
  <c r="I60" i="7"/>
  <c r="L60" i="7" s="1"/>
  <c r="K111" i="5"/>
  <c r="D22" i="14" s="1"/>
  <c r="K73" i="5"/>
  <c r="E44" i="12"/>
  <c r="B30" i="13"/>
  <c r="D30" i="13" s="1"/>
  <c r="G17" i="8"/>
  <c r="C45" i="12"/>
  <c r="G14" i="8"/>
  <c r="B48" i="12"/>
  <c r="E43" i="12"/>
  <c r="B29" i="13"/>
  <c r="D29" i="13" s="1"/>
  <c r="B49" i="12"/>
  <c r="B50" i="12" s="1"/>
  <c r="K27" i="7" l="1"/>
  <c r="I35" i="7"/>
  <c r="L35" i="7" s="1"/>
  <c r="L111" i="5"/>
  <c r="E22" i="14" s="1"/>
  <c r="E99" i="8"/>
  <c r="I107" i="7"/>
  <c r="L107" i="7" s="1"/>
  <c r="K99" i="7"/>
  <c r="D8" i="14"/>
  <c r="G53" i="8"/>
  <c r="G89" i="8" s="1"/>
  <c r="I89" i="8" s="1"/>
  <c r="L89" i="8" s="1"/>
  <c r="D17" i="15"/>
  <c r="G50" i="8"/>
  <c r="B17" i="15"/>
  <c r="G15" i="8"/>
  <c r="I63" i="7"/>
  <c r="L63" i="7" s="1"/>
  <c r="K60" i="7"/>
  <c r="E45" i="12"/>
  <c r="F17" i="15" s="1"/>
  <c r="G17" i="15" s="1"/>
  <c r="I17" i="8"/>
  <c r="C17" i="9"/>
  <c r="B8" i="14"/>
  <c r="D31" i="13"/>
  <c r="E30" i="13" s="1"/>
  <c r="B39" i="13" s="1"/>
  <c r="C39" i="13" s="1"/>
  <c r="D39" i="13" s="1"/>
  <c r="I14" i="8"/>
  <c r="L14" i="8" s="1"/>
  <c r="C14" i="9"/>
  <c r="I36" i="7"/>
  <c r="K35" i="7" l="1"/>
  <c r="I37" i="7"/>
  <c r="L37" i="7" s="1"/>
  <c r="L36" i="7"/>
  <c r="K17" i="8"/>
  <c r="L17" i="8"/>
  <c r="E14" i="9"/>
  <c r="C50" i="9"/>
  <c r="C86" i="9" s="1"/>
  <c r="E86" i="9" s="1"/>
  <c r="E17" i="9"/>
  <c r="C53" i="9"/>
  <c r="C89" i="9" s="1"/>
  <c r="E89" i="9" s="1"/>
  <c r="K89" i="8"/>
  <c r="I50" i="8"/>
  <c r="G86" i="8"/>
  <c r="I86" i="8" s="1"/>
  <c r="L86" i="8" s="1"/>
  <c r="I108" i="7"/>
  <c r="K107" i="7"/>
  <c r="E107" i="8"/>
  <c r="C17" i="15"/>
  <c r="G54" i="8"/>
  <c r="G90" i="8" s="1"/>
  <c r="I90" i="8" s="1"/>
  <c r="L90" i="8" s="1"/>
  <c r="E8" i="14"/>
  <c r="C18" i="9"/>
  <c r="I18" i="8"/>
  <c r="L18" i="8" s="1"/>
  <c r="E17" i="15"/>
  <c r="I53" i="8"/>
  <c r="L53" i="8" s="1"/>
  <c r="G51" i="8"/>
  <c r="G87" i="8" s="1"/>
  <c r="I87" i="8" s="1"/>
  <c r="L87" i="8" s="1"/>
  <c r="C8" i="14"/>
  <c r="I15" i="8"/>
  <c r="L15" i="8" s="1"/>
  <c r="C15" i="9"/>
  <c r="K63" i="7"/>
  <c r="I71" i="7"/>
  <c r="L71" i="7" s="1"/>
  <c r="E29" i="13"/>
  <c r="B38" i="13" s="1"/>
  <c r="K14" i="8"/>
  <c r="K36" i="7"/>
  <c r="I39" i="7" l="1"/>
  <c r="L39" i="7" s="1"/>
  <c r="E25" i="14" s="1"/>
  <c r="K37" i="7"/>
  <c r="E50" i="9"/>
  <c r="I109" i="7"/>
  <c r="L109" i="7" s="1"/>
  <c r="L108" i="7"/>
  <c r="C25" i="14"/>
  <c r="B30" i="14" s="1"/>
  <c r="E53" i="9"/>
  <c r="K50" i="8"/>
  <c r="L50" i="8"/>
  <c r="I20" i="8"/>
  <c r="L20" i="8" s="1"/>
  <c r="I92" i="8"/>
  <c r="L92" i="8" s="1"/>
  <c r="K86" i="8"/>
  <c r="E15" i="9"/>
  <c r="C51" i="9"/>
  <c r="C87" i="9" s="1"/>
  <c r="E87" i="9" s="1"/>
  <c r="E18" i="9"/>
  <c r="C54" i="9"/>
  <c r="C90" i="9" s="1"/>
  <c r="E90" i="9" s="1"/>
  <c r="K87" i="8"/>
  <c r="K90" i="8"/>
  <c r="E108" i="8"/>
  <c r="K108" i="7"/>
  <c r="K15" i="8"/>
  <c r="K53" i="8"/>
  <c r="I54" i="8"/>
  <c r="L54" i="8" s="1"/>
  <c r="K18" i="8"/>
  <c r="I51" i="8"/>
  <c r="L51" i="8" s="1"/>
  <c r="I72" i="7"/>
  <c r="L72" i="7" s="1"/>
  <c r="K71" i="7"/>
  <c r="B43" i="13"/>
  <c r="C43" i="13" s="1"/>
  <c r="K39" i="7"/>
  <c r="D25" i="14" s="1"/>
  <c r="C38" i="13"/>
  <c r="D38" i="13" s="1"/>
  <c r="D40" i="13" s="1"/>
  <c r="B40" i="13"/>
  <c r="K109" i="7" l="1"/>
  <c r="I111" i="7"/>
  <c r="L111" i="7" s="1"/>
  <c r="E27" i="14" s="1"/>
  <c r="I24" i="8"/>
  <c r="K20" i="8"/>
  <c r="E20" i="9"/>
  <c r="E24" i="9" s="1"/>
  <c r="E27" i="9" s="1"/>
  <c r="E35" i="9" s="1"/>
  <c r="E36" i="9" s="1"/>
  <c r="E37" i="9" s="1"/>
  <c r="E39" i="9" s="1"/>
  <c r="E92" i="9"/>
  <c r="E96" i="9" s="1"/>
  <c r="E54" i="9"/>
  <c r="E51" i="9"/>
  <c r="I96" i="8"/>
  <c r="L96" i="8" s="1"/>
  <c r="K92" i="8"/>
  <c r="C27" i="14"/>
  <c r="B32" i="14" s="1"/>
  <c r="E109" i="8"/>
  <c r="K54" i="8"/>
  <c r="K51" i="8"/>
  <c r="I56" i="8"/>
  <c r="L56" i="8" s="1"/>
  <c r="I73" i="7"/>
  <c r="L73" i="7" s="1"/>
  <c r="K72" i="7"/>
  <c r="B44" i="13"/>
  <c r="C44" i="13" s="1"/>
  <c r="D44" i="13" s="1"/>
  <c r="D43" i="13"/>
  <c r="I27" i="8" l="1"/>
  <c r="L27" i="8" s="1"/>
  <c r="L24" i="8"/>
  <c r="K111" i="7"/>
  <c r="D27" i="14" s="1"/>
  <c r="K24" i="8"/>
  <c r="E99" i="9"/>
  <c r="E56" i="9"/>
  <c r="E60" i="9" s="1"/>
  <c r="E63" i="9" s="1"/>
  <c r="E71" i="9" s="1"/>
  <c r="E72" i="9" s="1"/>
  <c r="E73" i="9" s="1"/>
  <c r="E75" i="9" s="1"/>
  <c r="I99" i="8"/>
  <c r="L99" i="8" s="1"/>
  <c r="K96" i="8"/>
  <c r="E111" i="8"/>
  <c r="I60" i="8"/>
  <c r="L60" i="8" s="1"/>
  <c r="K56" i="8"/>
  <c r="K73" i="7"/>
  <c r="I75" i="7"/>
  <c r="E44" i="13"/>
  <c r="G17" i="9"/>
  <c r="C45" i="13"/>
  <c r="K27" i="8"/>
  <c r="G14" i="9"/>
  <c r="G50" i="9" s="1"/>
  <c r="G86" i="9" s="1"/>
  <c r="I86" i="9" s="1"/>
  <c r="L86" i="9" s="1"/>
  <c r="B48" i="13"/>
  <c r="B49" i="13"/>
  <c r="B50" i="13" s="1"/>
  <c r="E43" i="13"/>
  <c r="I35" i="8" l="1"/>
  <c r="L35" i="8" s="1"/>
  <c r="G53" i="9"/>
  <c r="G89" i="9" s="1"/>
  <c r="I89" i="9" s="1"/>
  <c r="L89" i="9" s="1"/>
  <c r="G54" i="9"/>
  <c r="C26" i="14"/>
  <c r="B31" i="14" s="1"/>
  <c r="L75" i="7"/>
  <c r="E26" i="14" s="1"/>
  <c r="K86" i="9"/>
  <c r="K89" i="9"/>
  <c r="E107" i="9"/>
  <c r="I107" i="8"/>
  <c r="L107" i="8" s="1"/>
  <c r="K99" i="8"/>
  <c r="I14" i="9"/>
  <c r="L14" i="9" s="1"/>
  <c r="B18" i="15"/>
  <c r="C18" i="15" s="1"/>
  <c r="C19" i="15" s="1"/>
  <c r="G15" i="9"/>
  <c r="G51" i="9" s="1"/>
  <c r="D18" i="15"/>
  <c r="I63" i="8"/>
  <c r="L63" i="8" s="1"/>
  <c r="K60" i="8"/>
  <c r="K75" i="7"/>
  <c r="D26" i="14" s="1"/>
  <c r="E45" i="13"/>
  <c r="F18" i="15" s="1"/>
  <c r="G18" i="15" s="1"/>
  <c r="G19" i="15" s="1"/>
  <c r="B9" i="14"/>
  <c r="I17" i="9"/>
  <c r="L17" i="9" s="1"/>
  <c r="D9" i="14"/>
  <c r="I50" i="9"/>
  <c r="L50" i="9" s="1"/>
  <c r="K35" i="8" l="1"/>
  <c r="I36" i="8"/>
  <c r="I37" i="8" s="1"/>
  <c r="L37" i="8" s="1"/>
  <c r="I53" i="9"/>
  <c r="L53" i="9" s="1"/>
  <c r="G87" i="9"/>
  <c r="I87" i="9" s="1"/>
  <c r="L87" i="9" s="1"/>
  <c r="I51" i="9"/>
  <c r="L51" i="9" s="1"/>
  <c r="G90" i="9"/>
  <c r="I90" i="9" s="1"/>
  <c r="L90" i="9" s="1"/>
  <c r="I54" i="9"/>
  <c r="I108" i="8"/>
  <c r="L108" i="8" s="1"/>
  <c r="K107" i="8"/>
  <c r="E108" i="9"/>
  <c r="E9" i="14"/>
  <c r="I18" i="9"/>
  <c r="L18" i="9" s="1"/>
  <c r="C9" i="14"/>
  <c r="I15" i="9"/>
  <c r="L15" i="9" s="1"/>
  <c r="D19" i="15"/>
  <c r="E18" i="15"/>
  <c r="I71" i="8"/>
  <c r="L71" i="8" s="1"/>
  <c r="K63" i="8"/>
  <c r="K14" i="9"/>
  <c r="K17" i="9"/>
  <c r="K50" i="9"/>
  <c r="L36" i="8" l="1"/>
  <c r="K36" i="8"/>
  <c r="K53" i="9"/>
  <c r="I39" i="8"/>
  <c r="K39" i="8" s="1"/>
  <c r="D30" i="14" s="1"/>
  <c r="I56" i="9"/>
  <c r="L56" i="9" s="1"/>
  <c r="L54" i="9"/>
  <c r="K37" i="8"/>
  <c r="K90" i="9"/>
  <c r="K51" i="9"/>
  <c r="K54" i="9"/>
  <c r="K87" i="9"/>
  <c r="I92" i="9"/>
  <c r="L92" i="9" s="1"/>
  <c r="E109" i="9"/>
  <c r="I109" i="8"/>
  <c r="L109" i="8" s="1"/>
  <c r="K108" i="8"/>
  <c r="K18" i="9"/>
  <c r="K15" i="9"/>
  <c r="I20" i="9"/>
  <c r="I72" i="8"/>
  <c r="L72" i="8" s="1"/>
  <c r="K71" i="8"/>
  <c r="K56" i="9"/>
  <c r="I60" i="9" l="1"/>
  <c r="L60" i="9" s="1"/>
  <c r="I24" i="9"/>
  <c r="L24" i="9" s="1"/>
  <c r="L20" i="9"/>
  <c r="C30" i="14"/>
  <c r="B35" i="14" s="1"/>
  <c r="L39" i="8"/>
  <c r="E30" i="14" s="1"/>
  <c r="I96" i="9"/>
  <c r="L96" i="9" s="1"/>
  <c r="K92" i="9"/>
  <c r="E111" i="9"/>
  <c r="I111" i="8"/>
  <c r="L111" i="8" s="1"/>
  <c r="K109" i="8"/>
  <c r="K20" i="9"/>
  <c r="I73" i="8"/>
  <c r="L73" i="8" s="1"/>
  <c r="K72" i="8"/>
  <c r="I63" i="9"/>
  <c r="I27" i="9" l="1"/>
  <c r="L27" i="9" s="1"/>
  <c r="K60" i="9"/>
  <c r="K24" i="9"/>
  <c r="K63" i="9"/>
  <c r="L63" i="9"/>
  <c r="I99" i="9"/>
  <c r="L99" i="9" s="1"/>
  <c r="K96" i="9"/>
  <c r="I35" i="9"/>
  <c r="L35" i="9" s="1"/>
  <c r="C32" i="14"/>
  <c r="B37" i="14" s="1"/>
  <c r="K111" i="8"/>
  <c r="D32" i="14" s="1"/>
  <c r="E32" i="14"/>
  <c r="I75" i="8"/>
  <c r="K73" i="8"/>
  <c r="I71" i="9"/>
  <c r="K27" i="9" l="1"/>
  <c r="C31" i="14"/>
  <c r="B36" i="14" s="1"/>
  <c r="L75" i="8"/>
  <c r="E31" i="14" s="1"/>
  <c r="I72" i="9"/>
  <c r="L71" i="9"/>
  <c r="I36" i="9"/>
  <c r="I107" i="9"/>
  <c r="L107" i="9" s="1"/>
  <c r="K99" i="9"/>
  <c r="K35" i="9"/>
  <c r="K75" i="8"/>
  <c r="D31" i="14" s="1"/>
  <c r="K71" i="9"/>
  <c r="I37" i="9" l="1"/>
  <c r="L37" i="9" s="1"/>
  <c r="L36" i="9"/>
  <c r="I73" i="9"/>
  <c r="L72" i="9"/>
  <c r="K72" i="9"/>
  <c r="K36" i="9"/>
  <c r="I108" i="9"/>
  <c r="L108" i="9" s="1"/>
  <c r="K107" i="9"/>
  <c r="K37" i="9" l="1"/>
  <c r="I39" i="9"/>
  <c r="L73" i="9"/>
  <c r="K73" i="9"/>
  <c r="I75" i="9"/>
  <c r="I109" i="9"/>
  <c r="K108" i="9"/>
  <c r="C35" i="14" l="1"/>
  <c r="L39" i="9"/>
  <c r="E35" i="14" s="1"/>
  <c r="K39" i="9"/>
  <c r="D35" i="14" s="1"/>
  <c r="C36" i="14"/>
  <c r="L75" i="9"/>
  <c r="E36" i="14" s="1"/>
  <c r="K75" i="9"/>
  <c r="D36" i="14" s="1"/>
  <c r="I111" i="9"/>
  <c r="L111" i="9" s="1"/>
  <c r="L109" i="9"/>
  <c r="K109" i="9"/>
  <c r="C37" i="14" l="1"/>
  <c r="K111" i="9"/>
  <c r="D37" i="14" s="1"/>
  <c r="E37" i="14"/>
</calcChain>
</file>

<file path=xl/sharedStrings.xml><?xml version="1.0" encoding="utf-8"?>
<sst xmlns="http://schemas.openxmlformats.org/spreadsheetml/2006/main" count="1127" uniqueCount="119">
  <si>
    <t>New Rate Design Policy For Residential Customers</t>
  </si>
  <si>
    <t>A)  Data Inputs</t>
  </si>
  <si>
    <t>Test Year Billing Determinants for Residential Class</t>
  </si>
  <si>
    <t>Customers</t>
  </si>
  <si>
    <t>kWh</t>
  </si>
  <si>
    <r>
      <t>Proposed Residential Class Specific Revenue Requirement</t>
    </r>
    <r>
      <rPr>
        <vertAlign val="superscript"/>
        <sz val="10"/>
        <rFont val="Arial"/>
        <family val="2"/>
      </rPr>
      <t>1</t>
    </r>
  </si>
  <si>
    <t>Residential Base Rates on Current Tariff</t>
  </si>
  <si>
    <t>Monthly Fixed Charge ($)</t>
  </si>
  <si>
    <t>Distribution Volumetric Rate ($/kWh)</t>
  </si>
  <si>
    <t>B) Current Fixed/Variable Split</t>
  </si>
  <si>
    <t>Base Rates</t>
  </si>
  <si>
    <t>Billing Determinants</t>
  </si>
  <si>
    <t>Revenue</t>
  </si>
  <si>
    <t>% of Total Revenue</t>
  </si>
  <si>
    <t>Fixed</t>
  </si>
  <si>
    <t>Variable</t>
  </si>
  <si>
    <t>TOTAL</t>
  </si>
  <si>
    <t>-</t>
  </si>
  <si>
    <t>C) Calculating Test Year Base Rates</t>
  </si>
  <si>
    <r>
      <t>Number of Required Rate Design Policy Transition Years</t>
    </r>
    <r>
      <rPr>
        <vertAlign val="superscript"/>
        <sz val="10"/>
        <rFont val="Arial"/>
        <family val="2"/>
      </rPr>
      <t>2</t>
    </r>
  </si>
  <si>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</si>
  <si>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</si>
  <si>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</si>
  <si>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</si>
  <si>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</si>
  <si>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</si>
  <si>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</si>
  <si>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Arial"/>
        <family val="2"/>
      </rPr>
      <t>3</t>
    </r>
  </si>
  <si>
    <t>Change in Fixed Rate</t>
  </si>
  <si>
    <t>Difference Between Revenues @ Proposed Rates and Class Specific Revenue Requirement</t>
  </si>
  <si>
    <t>Notes:</t>
  </si>
  <si>
    <r>
      <rPr>
        <sz val="10"/>
        <rFont val="Arial"/>
        <family val="2"/>
      </rPr>
      <t>1</t>
    </r>
    <r>
      <rPr>
        <b/>
        <sz val="10"/>
        <rFont val="Arial"/>
        <family val="2"/>
      </rPr>
      <t xml:space="preserve">     </t>
    </r>
    <r>
      <rPr>
        <sz val="10"/>
        <rFont val="Arial"/>
        <family val="2"/>
      </rPr>
      <t>The final residential class specific revenue requirement, as shown in Appendix 2-P, should be used (i.e. the revenue requirement after any proposed adjustments to R/C ratios).</t>
    </r>
  </si>
  <si>
    <t>2     Default number of transition years for rate design policy change is 4. Where the change in the residential rate design will result in the fixed charge increasing by more than $4/year, a distributor may propose an additional transition year.</t>
  </si>
  <si>
    <t>3     Change in fixed rate due to rate design policy should be less than $4. The difference between the proposed class revenue requirement and the revenue at calculated base rates should be minimal (i.e. should be reasonably considered as a rounding error)</t>
  </si>
  <si>
    <t>.</t>
  </si>
  <si>
    <t>Volume</t>
  </si>
  <si>
    <t>Monthly Service Charge</t>
  </si>
  <si>
    <t>Approved Oct 31 2015</t>
  </si>
  <si>
    <t>Proposed</t>
  </si>
  <si>
    <t>Impact</t>
  </si>
  <si>
    <t>$ Change</t>
  </si>
  <si>
    <t>% Change</t>
  </si>
  <si>
    <t>Distribution Volumetric Rate</t>
  </si>
  <si>
    <t>Sub-Total A (excluding pass through)</t>
  </si>
  <si>
    <t>Line Losses on Cost of Power</t>
  </si>
  <si>
    <t>Total Deferral/Variance Account Rate Riders</t>
  </si>
  <si>
    <t>Smart Meter Entity Charge</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</si>
  <si>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</si>
  <si>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</si>
  <si>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</si>
  <si>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</si>
  <si>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</si>
  <si>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</si>
  <si>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</si>
  <si>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TOU - Off Peak</t>
  </si>
  <si>
    <t>TOU - Mid Peak</t>
  </si>
  <si>
    <t>TOU - On Peak</t>
  </si>
  <si>
    <t>Total Bill on TOU (before Taxes)</t>
  </si>
  <si>
    <t>HST</t>
  </si>
  <si>
    <t>Proposed January 1 2016</t>
  </si>
  <si>
    <t>Rate Rider per Hydro One Networks' Acquisition Agreement</t>
  </si>
  <si>
    <t>Monthly</t>
  </si>
  <si>
    <t>per kWh</t>
  </si>
  <si>
    <t>Rate Rider for Recovery of Smart Meter Incremental Revenue Requirements</t>
  </si>
  <si>
    <t xml:space="preserve">Rate Rider for Recovery of  Incremental Capital </t>
  </si>
  <si>
    <t>Loss Adjustment Factor</t>
  </si>
  <si>
    <t>Consumption kWh</t>
  </si>
  <si>
    <t>Proposed January 1 2017</t>
  </si>
  <si>
    <t>Proposed January 1 2018</t>
  </si>
  <si>
    <t>Proposed January 1 2019</t>
  </si>
  <si>
    <t>Proposed January 1 2020</t>
  </si>
  <si>
    <t>Rate Effective Dates</t>
  </si>
  <si>
    <t>Fixed Service Charge</t>
  </si>
  <si>
    <t>Net Change</t>
  </si>
  <si>
    <t>Volumetric Charge</t>
  </si>
  <si>
    <t>Revenue Requirement</t>
  </si>
  <si>
    <t>Current Approved</t>
  </si>
  <si>
    <t>May 1 2014</t>
  </si>
  <si>
    <t>January 1 2016</t>
  </si>
  <si>
    <t>January 1 2017</t>
  </si>
  <si>
    <t>January 1 2018</t>
  </si>
  <si>
    <t>January 1 2019</t>
  </si>
  <si>
    <t>January 1 2020</t>
  </si>
  <si>
    <t>Average Net Change</t>
  </si>
  <si>
    <t>Cumulative Net Change</t>
  </si>
  <si>
    <t>Residential Class Distribution Rate Design -  Proposed 5 Year Transition Period (2016 - 2020)</t>
  </si>
  <si>
    <t>1% Fixed Acquisition Rider</t>
  </si>
  <si>
    <t>1% Volumetric Acquisition Rider</t>
  </si>
  <si>
    <t>Proposed Rate Effective Dates</t>
  </si>
  <si>
    <t>October 31 2015</t>
  </si>
  <si>
    <t>January   1 2016</t>
  </si>
  <si>
    <t>January   1 2017</t>
  </si>
  <si>
    <t>January   1 2018</t>
  </si>
  <si>
    <t>January   1 2019</t>
  </si>
  <si>
    <t>January   1 2020</t>
  </si>
  <si>
    <t>Table 1: Proposed Residential Rates and Acquisition Riders -  Five Year Rate Period  (2016-2020)</t>
  </si>
  <si>
    <t>Total Bill Including HST</t>
  </si>
  <si>
    <t>Woodstock Residential Customer Class TOU</t>
  </si>
  <si>
    <t>Oct 31 2015</t>
  </si>
  <si>
    <t>Jan 1 2016</t>
  </si>
  <si>
    <t>Total Impact $</t>
  </si>
  <si>
    <t>Total Impact %</t>
  </si>
  <si>
    <t>Jan 1 2017</t>
  </si>
  <si>
    <t>Jan 1 2018</t>
  </si>
  <si>
    <t>Jan 1 2019</t>
  </si>
  <si>
    <t>Jan 1 2020</t>
  </si>
  <si>
    <t>800 kWh</t>
  </si>
  <si>
    <t>Total kWh</t>
  </si>
  <si>
    <t>Rate ($)</t>
  </si>
  <si>
    <t>Charge ($)</t>
  </si>
  <si>
    <r>
      <t>January 1 2016 Adjustment</t>
    </r>
    <r>
      <rPr>
        <b/>
        <sz val="9"/>
        <rFont val="Arial"/>
        <family val="2"/>
      </rPr>
      <t xml:space="preserve"> (Filing Requirements Appendix 2-PA)</t>
    </r>
  </si>
  <si>
    <r>
      <t>January 1 2017 Adjustment</t>
    </r>
    <r>
      <rPr>
        <b/>
        <sz val="9"/>
        <rFont val="Arial"/>
        <family val="2"/>
      </rPr>
      <t xml:space="preserve"> (Filing Requirements Appendix 2-PA)</t>
    </r>
  </si>
  <si>
    <r>
      <t>January 1 2018 Adjustment</t>
    </r>
    <r>
      <rPr>
        <b/>
        <sz val="9"/>
        <rFont val="Arial"/>
        <family val="2"/>
      </rPr>
      <t xml:space="preserve"> (Filing Requirements Appendix 2-PA)</t>
    </r>
  </si>
  <si>
    <r>
      <t>January 1 2019 Adjustment</t>
    </r>
    <r>
      <rPr>
        <b/>
        <sz val="9"/>
        <rFont val="Arial"/>
        <family val="2"/>
      </rPr>
      <t xml:space="preserve"> (Filing Requirements Appendix 2-PA)</t>
    </r>
  </si>
  <si>
    <r>
      <t>January 1 2020 Adjustment</t>
    </r>
    <r>
      <rPr>
        <b/>
        <sz val="9"/>
        <rFont val="Arial"/>
        <family val="2"/>
      </rPr>
      <t xml:space="preserve"> (Filing Requirements Appendix 2-PA)</t>
    </r>
  </si>
  <si>
    <t>Table 2: Total Monthly Residential TOU  Bill Impacts -  Five Year Rate Period (2016-2020)</t>
  </si>
  <si>
    <t>1,500 kWh</t>
  </si>
  <si>
    <r>
      <t xml:space="preserve">Total Bill </t>
    </r>
    <r>
      <rPr>
        <sz val="11"/>
        <rFont val="Arial"/>
        <family val="2"/>
      </rPr>
      <t>(including HST)</t>
    </r>
  </si>
  <si>
    <t>285 kWh</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</si>
</sst>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5" formatCode="&quot;$&quot;#,##0_);\(&quot;$&quot;#,##0\)"/>
    <numFmt numFmtId="164" formatCode="_-&quot;$&quot;* #,##0.00_-;\-&quot;$&quot;* #,##0.00_-;_-&quot;$&quot;* &quot;-&quot;??_-;_-@_-"/>
    <numFmt numFmtId="165" formatCode="_-* #,##0.00_-;\-* #,##0.00_-;_-* &quot;-&quot;??_-;_-@_-"/>
    <numFmt numFmtId="166" formatCode="_-* #,##0_-;\-* #,##0_-;_-* &quot;-&quot;??_-;_-@_-"/>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 numFmtId="174" formatCode="_-&quot;$&quot;* #,##0.0000_-;\-&quot;$&quot;* #,##0.0000_-;_-&quot;$&quot;* &quot;-&quot;??_-;_-@_-"/>
    <numFmt numFmtId="175" formatCode="#,##0.0000_ ;\-#,##0.0000\ "/>
    <numFmt numFmtId="176" formatCode="_-&quot;$&quot;* #,##0_-;\-&quot;$&quot;* #,##0_-;_-&quot;$&quot;* &quot;-&quot;??_-;_-@_-"/>
    <numFmt numFmtId="177" formatCode="&quot;$&quot;_(* #,##0.00_);&quot;$&quot;_(* \(#,##0.00\);&quot;$&quot;_(* &quot;-&quot;??_);&quot;$&quot;_(@_)"/>
    <numFmt numFmtId="178" formatCode="&quot;$&quot;_(* #,##0.0000_);&quot;$&quot;_(* \(#,##0.0000\);&quot;$&quot;_(* &quot;-&quot;??_);&quot;$&quot;_(@_)"/>
    <numFmt numFmtId="179" formatCode="&quot;$&quot;_(* #,##0.00000_);&quot;$&quot;_(* \(#,##0.00000\);&quot;$&quot;_(* &quot;-&quot;??_);&quot;$&quot;_(@_)"/>
    <numFmt numFmtId="180" formatCode="&quot;$&quot;_(* #,##0_);&quot;$&quot;_(* \(#,##0\);&quot;$&quot;_(* &quot;-&quot;??_);&quot;$&quot;_(@_)"/>
    <numFmt numFmtId="181" formatCode="0.0%;\(0.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vertAlign val="superscript"/>
      <sz val="10"/>
      <name val="Arial"/>
      <family val="2"/>
    </font>
    <font>
      <b/>
      <vertAlign val="superscript"/>
      <sz val="10"/>
      <name val="Arial"/>
      <family val="2"/>
    </font>
    <font>
      <sz val="11"/>
      <color theme="1"/>
      <name val="Arial"/>
      <family val="2"/>
    </font>
    <font>
      <sz val="10"/>
      <color theme="1"/>
      <name val="Arial"/>
      <family val="2"/>
    </font>
    <font>
      <b/>
      <sz val="10"/>
      <color theme="1"/>
      <name val="Arial"/>
      <family val="2"/>
    </font>
    <font>
      <b/>
      <sz val="11"/>
      <name val="Arial"/>
      <family val="2"/>
    </font>
    <font>
      <sz val="11"/>
      <name val="Arial"/>
      <family val="2"/>
    </font>
    <font>
      <b/>
      <sz val="11"/>
      <color theme="1"/>
      <name val="Arial"/>
      <family val="2"/>
    </font>
    <font>
      <sz val="11"/>
      <color rgb="FFFF0000"/>
      <name val="Arial"/>
      <family val="2"/>
    </font>
    <font>
      <b/>
      <sz val="9"/>
      <name val="Arial"/>
      <family val="2"/>
    </font>
    <font>
      <b/>
      <i/>
      <sz val="11"/>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s>
  <cellStyleXfs count="96">
    <xf numFmtId="0" fontId="0" fillId="0" borderId="0"/>
    <xf numFmtId="165" fontId="18"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8" fillId="0" borderId="0"/>
    <xf numFmtId="167" fontId="18" fillId="0" borderId="0"/>
    <xf numFmtId="168" fontId="18" fillId="0" borderId="0"/>
    <xf numFmtId="167" fontId="18" fillId="0" borderId="0"/>
    <xf numFmtId="167" fontId="18" fillId="0" borderId="0"/>
    <xf numFmtId="167" fontId="18" fillId="0" borderId="0"/>
    <xf numFmtId="167" fontId="18" fillId="0" borderId="0"/>
    <xf numFmtId="169" fontId="18" fillId="0" borderId="0"/>
    <xf numFmtId="170" fontId="18" fillId="0" borderId="0"/>
    <xf numFmtId="169"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3"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20" fillId="34"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0" fillId="35" borderId="23" applyNumberFormat="0" applyBorder="0" applyAlignment="0" applyProtection="0"/>
    <xf numFmtId="0" fontId="9" fillId="5" borderId="4" applyNumberFormat="0" applyAlignment="0" applyProtection="0"/>
    <xf numFmtId="0" fontId="12" fillId="0" borderId="6" applyNumberFormat="0" applyFill="0" applyAlignment="0" applyProtection="0"/>
    <xf numFmtId="171" fontId="18" fillId="0" borderId="0"/>
    <xf numFmtId="172" fontId="18" fillId="0" borderId="0"/>
    <xf numFmtId="171" fontId="18" fillId="0" borderId="0"/>
    <xf numFmtId="171" fontId="18" fillId="0" borderId="0"/>
    <xf numFmtId="171" fontId="18" fillId="0" borderId="0"/>
    <xf numFmtId="171" fontId="18" fillId="0" borderId="0"/>
    <xf numFmtId="0" fontId="8" fillId="4" borderId="0" applyNumberFormat="0" applyBorder="0" applyAlignment="0" applyProtection="0"/>
    <xf numFmtId="173" fontId="18"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9"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165" fontId="18" fillId="0" borderId="0" applyFont="0" applyFill="0" applyBorder="0" applyAlignment="0" applyProtection="0"/>
    <xf numFmtId="167" fontId="18" fillId="0" borderId="0"/>
    <xf numFmtId="171" fontId="18" fillId="0" borderId="0"/>
    <xf numFmtId="167" fontId="18" fillId="0" borderId="0"/>
    <xf numFmtId="171" fontId="18" fillId="0" borderId="0"/>
    <xf numFmtId="167" fontId="18" fillId="0" borderId="0"/>
    <xf numFmtId="171" fontId="18" fillId="0" borderId="0"/>
    <xf numFmtId="9" fontId="1" fillId="0" borderId="0" applyFont="0" applyFill="0" applyBorder="0" applyAlignment="0" applyProtection="0"/>
  </cellStyleXfs>
  <cellXfs count="261">
    <xf numFmtId="0" fontId="0" fillId="0" borderId="0" xfId="0"/>
    <xf numFmtId="0" fontId="18" fillId="0" borderId="0" xfId="4" applyProtection="1">
      <protection locked="0"/>
    </xf>
    <xf numFmtId="0" fontId="19" fillId="0" borderId="0" xfId="4" applyFont="1" applyAlignment="1" applyProtection="1">
      <alignment horizontal="left"/>
      <protection locked="0"/>
    </xf>
    <xf numFmtId="0" fontId="20" fillId="0" borderId="0" xfId="4" applyFont="1" applyAlignment="1" applyProtection="1">
      <alignment horizontal="right" vertical="top"/>
      <protection locked="0"/>
    </xf>
    <xf numFmtId="0" fontId="18" fillId="0" borderId="0" xfId="4" applyFont="1" applyProtection="1">
      <protection locked="0"/>
    </xf>
    <xf numFmtId="0" fontId="19" fillId="0" borderId="0" xfId="4" applyFont="1" applyProtection="1">
      <protection locked="0"/>
    </xf>
    <xf numFmtId="0" fontId="18" fillId="0" borderId="12" xfId="4" applyFont="1" applyBorder="1" applyProtection="1">
      <protection locked="0"/>
    </xf>
    <xf numFmtId="166" fontId="18" fillId="33" borderId="13" xfId="1" applyNumberFormat="1" applyFont="1" applyFill="1" applyBorder="1" applyAlignment="1" applyProtection="1">
      <alignment horizontal="right" vertical="top"/>
      <protection locked="0"/>
    </xf>
    <xf numFmtId="0" fontId="18" fillId="0" borderId="14" xfId="4" applyFont="1" applyBorder="1" applyProtection="1">
      <protection locked="0"/>
    </xf>
    <xf numFmtId="166" fontId="18" fillId="33" borderId="15" xfId="1" applyNumberFormat="1" applyFont="1" applyFill="1" applyBorder="1" applyAlignment="1" applyProtection="1">
      <alignment horizontal="right" vertical="top"/>
      <protection locked="0"/>
    </xf>
    <xf numFmtId="0" fontId="18" fillId="0" borderId="16" xfId="4" applyFont="1" applyBorder="1" applyAlignment="1" applyProtection="1">
      <alignment wrapText="1"/>
      <protection locked="0"/>
    </xf>
    <xf numFmtId="164" fontId="18" fillId="33" borderId="17" xfId="2" applyFont="1" applyFill="1" applyBorder="1" applyAlignment="1" applyProtection="1">
      <alignment horizontal="right" vertical="top"/>
      <protection locked="0"/>
    </xf>
    <xf numFmtId="0" fontId="18" fillId="33" borderId="13" xfId="4" applyFont="1" applyFill="1" applyBorder="1" applyAlignment="1" applyProtection="1">
      <alignment horizontal="right" vertical="top"/>
      <protection locked="0"/>
    </xf>
    <xf numFmtId="0" fontId="18" fillId="33" borderId="15" xfId="4" applyFont="1" applyFill="1" applyBorder="1" applyAlignment="1" applyProtection="1">
      <alignment horizontal="right" vertical="top"/>
      <protection locked="0"/>
    </xf>
    <xf numFmtId="0" fontId="18" fillId="0" borderId="18" xfId="4" applyBorder="1" applyAlignment="1" applyProtection="1">
      <alignment horizontal="center"/>
      <protection locked="0"/>
    </xf>
    <xf numFmtId="0" fontId="19" fillId="0" borderId="19" xfId="4" applyFont="1" applyBorder="1" applyAlignment="1" applyProtection="1">
      <alignment horizontal="center"/>
      <protection locked="0"/>
    </xf>
    <xf numFmtId="0" fontId="19" fillId="0" borderId="20" xfId="4" applyFont="1" applyBorder="1" applyAlignment="1" applyProtection="1">
      <alignment horizontal="center"/>
      <protection locked="0"/>
    </xf>
    <xf numFmtId="0" fontId="19" fillId="0" borderId="21" xfId="4" applyFont="1" applyBorder="1" applyAlignment="1" applyProtection="1">
      <alignment horizontal="center"/>
      <protection locked="0"/>
    </xf>
    <xf numFmtId="0" fontId="19" fillId="0" borderId="22" xfId="4" applyFont="1" applyBorder="1" applyAlignment="1" applyProtection="1">
      <alignment horizontal="center"/>
      <protection locked="0"/>
    </xf>
    <xf numFmtId="0" fontId="18" fillId="0" borderId="23" xfId="4" applyBorder="1" applyProtection="1">
      <protection locked="0"/>
    </xf>
    <xf numFmtId="166" fontId="0" fillId="0" borderId="24" xfId="1" applyNumberFormat="1" applyFont="1" applyBorder="1" applyProtection="1">
      <protection locked="0"/>
    </xf>
    <xf numFmtId="164" fontId="0" fillId="0" borderId="23" xfId="2" applyFont="1" applyBorder="1" applyProtection="1">
      <protection locked="0"/>
    </xf>
    <xf numFmtId="10" fontId="0" fillId="0" borderId="13" xfId="3" applyNumberFormat="1" applyFont="1" applyBorder="1" applyProtection="1">
      <protection locked="0"/>
    </xf>
    <xf numFmtId="166" fontId="0" fillId="0" borderId="25" xfId="1" applyNumberFormat="1" applyFont="1" applyBorder="1" applyProtection="1">
      <protection locked="0"/>
    </xf>
    <xf numFmtId="0" fontId="19" fillId="0" borderId="14" xfId="4" applyFont="1" applyBorder="1" applyProtection="1">
      <protection locked="0"/>
    </xf>
    <xf numFmtId="0" fontId="18" fillId="0" borderId="26" xfId="4" applyFont="1" applyBorder="1" applyAlignment="1" applyProtection="1">
      <alignment horizontal="center"/>
      <protection locked="0"/>
    </xf>
    <xf numFmtId="166" fontId="18" fillId="0" borderId="27" xfId="1" applyNumberFormat="1" applyFont="1" applyBorder="1" applyAlignment="1" applyProtection="1">
      <alignment horizontal="center"/>
      <protection locked="0"/>
    </xf>
    <xf numFmtId="164" fontId="0" fillId="0" borderId="28" xfId="2" applyFont="1" applyBorder="1" applyProtection="1">
      <protection locked="0"/>
    </xf>
    <xf numFmtId="0" fontId="18" fillId="0" borderId="15" xfId="4" applyFont="1" applyBorder="1" applyAlignment="1" applyProtection="1">
      <alignment horizontal="center"/>
      <protection locked="0"/>
    </xf>
    <xf numFmtId="0" fontId="19" fillId="0" borderId="0" xfId="4" applyFont="1" applyFill="1" applyBorder="1" applyProtection="1">
      <protection locked="0"/>
    </xf>
    <xf numFmtId="0" fontId="18" fillId="0" borderId="16" xfId="4" applyFont="1" applyFill="1" applyBorder="1" applyAlignment="1" applyProtection="1">
      <alignment wrapText="1"/>
      <protection locked="0"/>
    </xf>
    <xf numFmtId="0" fontId="18" fillId="33" borderId="17" xfId="4" applyFont="1" applyFill="1" applyBorder="1" applyAlignment="1" applyProtection="1">
      <alignment horizontal="center" vertical="center"/>
      <protection locked="0"/>
    </xf>
    <xf numFmtId="0" fontId="18" fillId="0" borderId="18" xfId="4" applyFont="1" applyBorder="1" applyProtection="1">
      <protection locked="0"/>
    </xf>
    <xf numFmtId="0" fontId="19" fillId="0" borderId="20" xfId="4" applyFont="1" applyBorder="1" applyAlignment="1" applyProtection="1">
      <alignment horizontal="center" vertical="center" wrapText="1"/>
      <protection locked="0"/>
    </xf>
    <xf numFmtId="0" fontId="19" fillId="0" borderId="19" xfId="4" applyFont="1" applyBorder="1" applyAlignment="1" applyProtection="1">
      <alignment horizontal="center" vertical="center" wrapText="1"/>
      <protection locked="0"/>
    </xf>
    <xf numFmtId="0" fontId="19" fillId="0" borderId="29" xfId="4" applyFont="1" applyBorder="1" applyAlignment="1" applyProtection="1">
      <alignment horizontal="center" wrapText="1"/>
      <protection locked="0"/>
    </xf>
    <xf numFmtId="0" fontId="18" fillId="0" borderId="30" xfId="4" applyBorder="1" applyProtection="1">
      <protection locked="0"/>
    </xf>
    <xf numFmtId="164" fontId="0" fillId="0" borderId="13" xfId="2" applyFont="1" applyBorder="1" applyProtection="1">
      <protection locked="0"/>
    </xf>
    <xf numFmtId="0" fontId="18" fillId="0" borderId="31" xfId="4" applyFont="1" applyBorder="1" applyProtection="1">
      <protection locked="0"/>
    </xf>
    <xf numFmtId="164" fontId="0" fillId="0" borderId="25" xfId="2" applyFont="1" applyBorder="1" applyProtection="1">
      <protection locked="0"/>
    </xf>
    <xf numFmtId="0" fontId="18" fillId="0" borderId="32" xfId="4" applyBorder="1" applyProtection="1">
      <protection locked="0"/>
    </xf>
    <xf numFmtId="0" fontId="18" fillId="0" borderId="33" xfId="4" applyFont="1" applyFill="1" applyBorder="1" applyProtection="1">
      <protection locked="0"/>
    </xf>
    <xf numFmtId="164" fontId="0" fillId="0" borderId="27" xfId="2" applyFont="1" applyBorder="1" applyProtection="1">
      <protection locked="0"/>
    </xf>
    <xf numFmtId="0" fontId="18" fillId="0" borderId="34" xfId="4" applyBorder="1" applyAlignment="1" applyProtection="1">
      <alignment horizontal="center"/>
      <protection locked="0"/>
    </xf>
    <xf numFmtId="164" fontId="0" fillId="0" borderId="35" xfId="2" applyFont="1" applyBorder="1" applyProtection="1">
      <protection locked="0"/>
    </xf>
    <xf numFmtId="0" fontId="19" fillId="0" borderId="20" xfId="4" applyFont="1" applyBorder="1" applyAlignment="1" applyProtection="1">
      <alignment horizontal="center" wrapText="1"/>
      <protection locked="0"/>
    </xf>
    <xf numFmtId="0" fontId="19" fillId="0" borderId="19" xfId="4" applyFont="1" applyBorder="1" applyAlignment="1" applyProtection="1">
      <alignment horizontal="center" wrapText="1"/>
      <protection locked="0"/>
    </xf>
    <xf numFmtId="0" fontId="19" fillId="0" borderId="22" xfId="4" applyFont="1" applyBorder="1" applyAlignment="1" applyProtection="1">
      <alignment horizontal="center" wrapText="1"/>
      <protection locked="0"/>
    </xf>
    <xf numFmtId="10" fontId="0" fillId="0" borderId="23" xfId="3" applyNumberFormat="1" applyFont="1" applyBorder="1" applyProtection="1">
      <protection locked="0"/>
    </xf>
    <xf numFmtId="164" fontId="18" fillId="0" borderId="23" xfId="4" applyNumberFormat="1" applyBorder="1" applyProtection="1">
      <protection locked="0"/>
    </xf>
    <xf numFmtId="10" fontId="0" fillId="0" borderId="25" xfId="3" applyNumberFormat="1" applyFont="1" applyBorder="1" applyProtection="1">
      <protection locked="0"/>
    </xf>
    <xf numFmtId="164" fontId="18" fillId="0" borderId="25" xfId="4" applyNumberFormat="1" applyBorder="1" applyProtection="1">
      <protection locked="0"/>
    </xf>
    <xf numFmtId="164" fontId="0" fillId="0" borderId="36" xfId="2" applyFont="1" applyBorder="1" applyProtection="1">
      <protection locked="0"/>
    </xf>
    <xf numFmtId="0" fontId="18" fillId="0" borderId="27" xfId="4" applyBorder="1" applyAlignment="1" applyProtection="1">
      <alignment horizontal="center"/>
      <protection locked="0"/>
    </xf>
    <xf numFmtId="164" fontId="0" fillId="0" borderId="15" xfId="2" applyFont="1" applyBorder="1" applyProtection="1">
      <protection locked="0"/>
    </xf>
    <xf numFmtId="10" fontId="0" fillId="0" borderId="15" xfId="3" applyNumberFormat="1" applyFont="1" applyBorder="1" applyProtection="1">
      <protection locked="0"/>
    </xf>
    <xf numFmtId="0" fontId="18" fillId="0" borderId="0" xfId="4" applyFont="1" applyFill="1" applyAlignment="1" applyProtection="1">
      <alignment vertical="top" wrapText="1"/>
      <protection locked="0"/>
    </xf>
    <xf numFmtId="0" fontId="18" fillId="0" borderId="0" xfId="4" applyFont="1" applyFill="1" applyAlignment="1" applyProtection="1">
      <alignment horizontal="left" vertical="top" wrapText="1"/>
      <protection locked="0"/>
    </xf>
    <xf numFmtId="0" fontId="18" fillId="0" borderId="0" xfId="4" applyFill="1" applyAlignment="1" applyProtection="1">
      <alignment horizontal="left" vertical="top" wrapText="1"/>
      <protection locked="0"/>
    </xf>
    <xf numFmtId="0" fontId="18" fillId="0" borderId="0" xfId="4" applyFont="1" applyFill="1" applyAlignment="1" applyProtection="1">
      <alignment horizontal="left" vertical="top" wrapText="1"/>
      <protection locked="0"/>
    </xf>
    <xf numFmtId="0" fontId="19" fillId="0" borderId="22" xfId="4" applyFont="1" applyBorder="1" applyAlignment="1" applyProtection="1">
      <alignment horizontal="center"/>
      <protection locked="0"/>
    </xf>
    <xf numFmtId="166" fontId="18" fillId="0" borderId="0" xfId="4" applyNumberFormat="1" applyProtection="1">
      <protection locked="0"/>
    </xf>
    <xf numFmtId="10" fontId="18" fillId="0" borderId="0" xfId="3" applyNumberFormat="1" applyProtection="1">
      <protection locked="0"/>
    </xf>
    <xf numFmtId="164" fontId="24" fillId="37" borderId="45" xfId="85" applyFont="1" applyFill="1" applyBorder="1" applyAlignment="1" applyProtection="1">
      <alignment horizontal="right" vertical="center"/>
    </xf>
    <xf numFmtId="174" fontId="24" fillId="37" borderId="23" xfId="85" applyNumberFormat="1" applyFont="1" applyFill="1" applyBorder="1" applyAlignment="1" applyProtection="1">
      <alignment horizontal="right" vertical="center"/>
      <protection locked="0"/>
    </xf>
    <xf numFmtId="0" fontId="28" fillId="0" borderId="0" xfId="4" applyFont="1" applyFill="1" applyAlignment="1" applyProtection="1">
      <alignment horizontal="right" vertical="center"/>
      <protection locked="0"/>
    </xf>
    <xf numFmtId="0" fontId="27" fillId="0" borderId="0" xfId="4" applyFont="1" applyFill="1" applyAlignment="1" applyProtection="1">
      <alignment horizontal="right" vertical="center"/>
      <protection locked="0"/>
    </xf>
    <xf numFmtId="177" fontId="24" fillId="36" borderId="43" xfId="46" applyNumberFormat="1" applyFont="1" applyFill="1" applyBorder="1" applyAlignment="1" applyProtection="1">
      <alignment horizontal="right" vertical="center"/>
      <protection locked="0"/>
    </xf>
    <xf numFmtId="10" fontId="29" fillId="0" borderId="42" xfId="86" applyNumberFormat="1" applyFont="1" applyBorder="1" applyAlignment="1" applyProtection="1">
      <alignment horizontal="right" vertical="center"/>
    </xf>
    <xf numFmtId="164" fontId="28" fillId="36" borderId="43" xfId="85" applyNumberFormat="1" applyFont="1" applyFill="1" applyBorder="1" applyAlignment="1" applyProtection="1">
      <alignment horizontal="right" vertical="center"/>
      <protection locked="0"/>
    </xf>
    <xf numFmtId="178" fontId="24" fillId="36" borderId="43" xfId="46" applyNumberFormat="1" applyFont="1" applyFill="1" applyBorder="1" applyAlignment="1" applyProtection="1">
      <alignment horizontal="right" vertical="center"/>
      <protection locked="0"/>
    </xf>
    <xf numFmtId="0" fontId="25" fillId="0" borderId="0" xfId="0" applyFont="1"/>
    <xf numFmtId="0" fontId="18" fillId="0" borderId="0" xfId="4" applyProtection="1">
      <protection locked="0"/>
    </xf>
    <xf numFmtId="0" fontId="19" fillId="0" borderId="0" xfId="4" applyFont="1" applyProtection="1">
      <protection locked="0"/>
    </xf>
    <xf numFmtId="0" fontId="28" fillId="0" borderId="43" xfId="4" applyFont="1" applyFill="1" applyBorder="1" applyAlignment="1" applyProtection="1">
      <alignment horizontal="right" vertical="center"/>
    </xf>
    <xf numFmtId="0" fontId="28" fillId="0" borderId="0" xfId="4" applyFont="1" applyBorder="1" applyAlignment="1" applyProtection="1">
      <alignment horizontal="right" vertical="center"/>
      <protection locked="0"/>
    </xf>
    <xf numFmtId="166" fontId="28" fillId="0" borderId="43" xfId="4" applyNumberFormat="1" applyFont="1" applyFill="1" applyBorder="1" applyAlignment="1" applyProtection="1">
      <alignment horizontal="right" vertical="center"/>
      <protection locked="0"/>
    </xf>
    <xf numFmtId="0" fontId="28" fillId="36" borderId="0" xfId="4" applyFont="1" applyFill="1" applyAlignment="1" applyProtection="1">
      <alignment horizontal="right" vertical="center"/>
      <protection locked="0"/>
    </xf>
    <xf numFmtId="166" fontId="28" fillId="0" borderId="43" xfId="41" applyNumberFormat="1" applyFont="1" applyFill="1" applyBorder="1" applyAlignment="1" applyProtection="1">
      <alignment horizontal="right" vertical="center"/>
      <protection locked="0"/>
    </xf>
    <xf numFmtId="0" fontId="28" fillId="0" borderId="0" xfId="4" applyFont="1" applyAlignment="1" applyProtection="1">
      <alignment horizontal="right" vertical="center"/>
      <protection locked="0"/>
    </xf>
    <xf numFmtId="0" fontId="28" fillId="37" borderId="23" xfId="4" applyFont="1" applyFill="1" applyBorder="1" applyAlignment="1" applyProtection="1">
      <alignment horizontal="right" vertical="center"/>
      <protection locked="0"/>
    </xf>
    <xf numFmtId="166" fontId="28" fillId="36" borderId="43" xfId="41" applyNumberFormat="1" applyFont="1" applyFill="1" applyBorder="1" applyAlignment="1" applyProtection="1">
      <alignment horizontal="right" vertical="center"/>
      <protection locked="0"/>
    </xf>
    <xf numFmtId="0" fontId="27" fillId="36" borderId="0" xfId="4" applyFont="1" applyFill="1" applyAlignment="1" applyProtection="1">
      <alignment horizontal="right" vertical="center"/>
      <protection locked="0"/>
    </xf>
    <xf numFmtId="174" fontId="28" fillId="0" borderId="43" xfId="85" applyNumberFormat="1" applyFont="1" applyFill="1" applyBorder="1" applyAlignment="1" applyProtection="1">
      <alignment horizontal="right" vertical="center"/>
      <protection locked="0"/>
    </xf>
    <xf numFmtId="0" fontId="28" fillId="38" borderId="39" xfId="4" applyFont="1" applyFill="1" applyBorder="1" applyAlignment="1" applyProtection="1">
      <alignment horizontal="right" vertical="center"/>
      <protection locked="0"/>
    </xf>
    <xf numFmtId="0" fontId="27" fillId="0" borderId="0" xfId="4" applyFont="1" applyFill="1" applyBorder="1" applyAlignment="1" applyProtection="1">
      <alignment horizontal="right" vertical="center"/>
      <protection locked="0"/>
    </xf>
    <xf numFmtId="0" fontId="28" fillId="0" borderId="0" xfId="4" applyFont="1" applyFill="1" applyBorder="1" applyAlignment="1" applyProtection="1">
      <alignment horizontal="right" vertical="center"/>
      <protection locked="0"/>
    </xf>
    <xf numFmtId="174" fontId="24" fillId="36" borderId="43" xfId="85" applyNumberFormat="1" applyFont="1" applyFill="1" applyBorder="1" applyAlignment="1" applyProtection="1">
      <alignment horizontal="right" vertical="center"/>
      <protection locked="0"/>
    </xf>
    <xf numFmtId="174" fontId="28" fillId="36" borderId="43" xfId="85" applyNumberFormat="1" applyFont="1" applyFill="1" applyBorder="1" applyAlignment="1" applyProtection="1">
      <alignment horizontal="right" vertical="center"/>
      <protection locked="0"/>
    </xf>
    <xf numFmtId="164" fontId="24" fillId="0" borderId="42" xfId="85" applyFont="1" applyBorder="1" applyAlignment="1" applyProtection="1">
      <alignment horizontal="right" vertical="center"/>
    </xf>
    <xf numFmtId="164" fontId="27" fillId="37" borderId="45" xfId="4" applyNumberFormat="1" applyFont="1" applyFill="1" applyBorder="1" applyAlignment="1" applyProtection="1">
      <alignment horizontal="right" vertical="center"/>
    </xf>
    <xf numFmtId="164" fontId="28" fillId="38" borderId="39" xfId="85" applyFont="1" applyFill="1" applyBorder="1" applyAlignment="1" applyProtection="1">
      <alignment horizontal="right" vertical="center"/>
    </xf>
    <xf numFmtId="164" fontId="27" fillId="0" borderId="41" xfId="4" applyNumberFormat="1" applyFont="1" applyFill="1" applyBorder="1" applyAlignment="1" applyProtection="1">
      <alignment horizontal="right" vertical="center"/>
    </xf>
    <xf numFmtId="164" fontId="28" fillId="0" borderId="41" xfId="4" applyNumberFormat="1" applyFont="1" applyFill="1" applyBorder="1" applyAlignment="1" applyProtection="1">
      <alignment horizontal="right" vertical="center"/>
    </xf>
    <xf numFmtId="164" fontId="30" fillId="0" borderId="41" xfId="4" applyNumberFormat="1" applyFont="1" applyFill="1" applyBorder="1" applyAlignment="1" applyProtection="1">
      <alignment horizontal="right" vertical="center"/>
    </xf>
    <xf numFmtId="164" fontId="28" fillId="0" borderId="43" xfId="4" applyNumberFormat="1" applyFont="1" applyBorder="1" applyAlignment="1" applyProtection="1">
      <alignment horizontal="right" vertical="center"/>
    </xf>
    <xf numFmtId="10" fontId="24" fillId="0" borderId="42" xfId="86" applyNumberFormat="1" applyFont="1" applyBorder="1" applyAlignment="1" applyProtection="1">
      <alignment horizontal="right" vertical="center"/>
    </xf>
    <xf numFmtId="10" fontId="27" fillId="37" borderId="45" xfId="86" applyNumberFormat="1" applyFont="1" applyFill="1" applyBorder="1" applyAlignment="1" applyProtection="1">
      <alignment horizontal="right" vertical="center"/>
    </xf>
    <xf numFmtId="10" fontId="28" fillId="38" borderId="40" xfId="86" applyNumberFormat="1" applyFont="1" applyFill="1" applyBorder="1" applyAlignment="1" applyProtection="1">
      <alignment horizontal="right" vertical="center"/>
    </xf>
    <xf numFmtId="164" fontId="27" fillId="0" borderId="43" xfId="4" applyNumberFormat="1" applyFont="1" applyFill="1" applyBorder="1" applyAlignment="1" applyProtection="1">
      <alignment horizontal="right" vertical="center"/>
    </xf>
    <xf numFmtId="164" fontId="28" fillId="0" borderId="43" xfId="4" applyNumberFormat="1" applyFont="1" applyFill="1" applyBorder="1" applyAlignment="1" applyProtection="1">
      <alignment horizontal="right" vertical="center"/>
    </xf>
    <xf numFmtId="164" fontId="30" fillId="0" borderId="43" xfId="4" applyNumberFormat="1" applyFont="1" applyFill="1" applyBorder="1" applyAlignment="1" applyProtection="1">
      <alignment horizontal="right" vertical="center"/>
    </xf>
    <xf numFmtId="9" fontId="28" fillId="0" borderId="43" xfId="4" applyNumberFormat="1" applyFont="1" applyFill="1" applyBorder="1" applyAlignment="1" applyProtection="1">
      <alignment horizontal="right" vertical="center"/>
    </xf>
    <xf numFmtId="9" fontId="28" fillId="0" borderId="0" xfId="4" applyNumberFormat="1" applyFont="1" applyFill="1" applyBorder="1" applyAlignment="1" applyProtection="1">
      <alignment horizontal="right" vertical="center"/>
    </xf>
    <xf numFmtId="0" fontId="27" fillId="0" borderId="43" xfId="4" applyFont="1" applyFill="1" applyBorder="1" applyAlignment="1" applyProtection="1">
      <alignment horizontal="right" vertical="center"/>
    </xf>
    <xf numFmtId="9" fontId="27" fillId="0" borderId="43" xfId="4" applyNumberFormat="1" applyFont="1" applyFill="1" applyBorder="1" applyAlignment="1" applyProtection="1">
      <alignment horizontal="right" vertical="center"/>
    </xf>
    <xf numFmtId="0" fontId="28" fillId="0" borderId="0" xfId="4" applyFont="1" applyFill="1" applyBorder="1" applyAlignment="1" applyProtection="1">
      <alignment horizontal="right" vertical="center"/>
    </xf>
    <xf numFmtId="164" fontId="24" fillId="36" borderId="43" xfId="85" applyNumberFormat="1" applyFont="1" applyFill="1" applyBorder="1" applyAlignment="1" applyProtection="1">
      <alignment horizontal="right" vertical="center"/>
      <protection locked="0"/>
    </xf>
    <xf numFmtId="175" fontId="24" fillId="36" borderId="43" xfId="85" applyNumberFormat="1" applyFont="1" applyFill="1" applyBorder="1" applyAlignment="1" applyProtection="1">
      <alignment horizontal="right" vertical="center"/>
      <protection locked="0"/>
    </xf>
    <xf numFmtId="0" fontId="28" fillId="0" borderId="43" xfId="4" applyFont="1" applyFill="1" applyBorder="1" applyAlignment="1" applyProtection="1">
      <alignment horizontal="right" vertical="center"/>
      <protection locked="0"/>
    </xf>
    <xf numFmtId="0" fontId="25" fillId="0" borderId="23" xfId="0" applyFont="1" applyBorder="1"/>
    <xf numFmtId="177" fontId="25" fillId="36" borderId="23" xfId="46" applyNumberFormat="1" applyFont="1" applyFill="1" applyBorder="1" applyAlignment="1" applyProtection="1">
      <alignment horizontal="right" vertical="center"/>
      <protection locked="0"/>
    </xf>
    <xf numFmtId="178" fontId="25" fillId="36" borderId="23" xfId="46" applyNumberFormat="1" applyFont="1" applyFill="1" applyBorder="1" applyAlignment="1" applyProtection="1">
      <alignment horizontal="right" vertical="center"/>
      <protection locked="0"/>
    </xf>
    <xf numFmtId="176" fontId="25" fillId="0" borderId="23" xfId="2" applyNumberFormat="1" applyFont="1" applyBorder="1"/>
    <xf numFmtId="180" fontId="25" fillId="36" borderId="23" xfId="46" applyNumberFormat="1" applyFont="1" applyFill="1" applyBorder="1" applyAlignment="1" applyProtection="1">
      <alignment horizontal="right" vertical="center"/>
      <protection locked="0"/>
    </xf>
    <xf numFmtId="0" fontId="26" fillId="39" borderId="32" xfId="0" applyFont="1" applyFill="1" applyBorder="1" applyAlignment="1">
      <alignment horizontal="centerContinuous"/>
    </xf>
    <xf numFmtId="0" fontId="26" fillId="39" borderId="47" xfId="0" applyFont="1" applyFill="1" applyBorder="1" applyAlignment="1">
      <alignment horizontal="centerContinuous"/>
    </xf>
    <xf numFmtId="0" fontId="26" fillId="39" borderId="46" xfId="0" applyFont="1" applyFill="1" applyBorder="1" applyAlignment="1">
      <alignment horizontal="centerContinuous"/>
    </xf>
    <xf numFmtId="0" fontId="26" fillId="0" borderId="30" xfId="0" applyFont="1" applyBorder="1" applyAlignment="1">
      <alignment wrapText="1"/>
    </xf>
    <xf numFmtId="0" fontId="26" fillId="0" borderId="50" xfId="0" applyFont="1" applyBorder="1" applyAlignment="1">
      <alignment wrapText="1"/>
    </xf>
    <xf numFmtId="177" fontId="26" fillId="0" borderId="45" xfId="0" applyNumberFormat="1" applyFont="1" applyBorder="1" applyAlignment="1">
      <alignment wrapText="1"/>
    </xf>
    <xf numFmtId="180" fontId="26" fillId="0" borderId="45" xfId="0" applyNumberFormat="1" applyFont="1" applyBorder="1" applyAlignment="1">
      <alignment wrapText="1"/>
    </xf>
    <xf numFmtId="0" fontId="26" fillId="39" borderId="23" xfId="0" applyFont="1" applyFill="1" applyBorder="1" applyAlignment="1">
      <alignment horizontal="center" wrapText="1"/>
    </xf>
    <xf numFmtId="179" fontId="25" fillId="0" borderId="0" xfId="0" applyNumberFormat="1" applyFont="1"/>
    <xf numFmtId="0" fontId="26" fillId="39" borderId="32" xfId="0" applyFont="1" applyFill="1" applyBorder="1" applyAlignment="1">
      <alignment horizontal="centerContinuous" wrapText="1"/>
    </xf>
    <xf numFmtId="0" fontId="26" fillId="39" borderId="47" xfId="0" applyFont="1" applyFill="1" applyBorder="1" applyAlignment="1">
      <alignment horizontal="centerContinuous" wrapText="1"/>
    </xf>
    <xf numFmtId="0" fontId="26" fillId="39" borderId="30" xfId="0" applyFont="1" applyFill="1" applyBorder="1" applyAlignment="1">
      <alignment horizontal="centerContinuous" wrapText="1"/>
    </xf>
    <xf numFmtId="0" fontId="26" fillId="39" borderId="50" xfId="0" applyFont="1" applyFill="1" applyBorder="1" applyAlignment="1">
      <alignment horizontal="centerContinuous" wrapText="1"/>
    </xf>
    <xf numFmtId="0" fontId="26" fillId="39" borderId="45" xfId="0" applyFont="1" applyFill="1" applyBorder="1" applyAlignment="1">
      <alignment horizontal="centerContinuous" wrapText="1"/>
    </xf>
    <xf numFmtId="0" fontId="26" fillId="39" borderId="23" xfId="0" applyFont="1" applyFill="1" applyBorder="1" applyAlignment="1">
      <alignment wrapText="1"/>
    </xf>
    <xf numFmtId="9" fontId="28" fillId="0" borderId="25" xfId="4" applyNumberFormat="1" applyFont="1" applyFill="1" applyBorder="1" applyAlignment="1" applyProtection="1">
      <alignment horizontal="right" vertical="center"/>
    </xf>
    <xf numFmtId="9" fontId="28" fillId="0" borderId="47" xfId="4" applyNumberFormat="1" applyFont="1" applyFill="1" applyBorder="1" applyAlignment="1" applyProtection="1">
      <alignment horizontal="right" vertical="center"/>
    </xf>
    <xf numFmtId="164" fontId="27" fillId="0" borderId="32" xfId="4" applyNumberFormat="1" applyFont="1" applyFill="1" applyBorder="1" applyAlignment="1" applyProtection="1">
      <alignment horizontal="right" vertical="center"/>
    </xf>
    <xf numFmtId="0" fontId="27" fillId="0" borderId="25" xfId="4" applyFont="1" applyFill="1" applyBorder="1" applyAlignment="1" applyProtection="1">
      <alignment horizontal="right" vertical="center"/>
    </xf>
    <xf numFmtId="9" fontId="27" fillId="0" borderId="25" xfId="4" applyNumberFormat="1" applyFont="1" applyFill="1" applyBorder="1" applyAlignment="1" applyProtection="1">
      <alignment horizontal="right" vertical="center"/>
    </xf>
    <xf numFmtId="0" fontId="27" fillId="0" borderId="47" xfId="4" applyFont="1" applyFill="1" applyBorder="1" applyAlignment="1" applyProtection="1">
      <alignment horizontal="right" vertical="center"/>
      <protection locked="0"/>
    </xf>
    <xf numFmtId="164" fontId="27" fillId="0" borderId="25" xfId="4" applyNumberFormat="1" applyFont="1" applyFill="1" applyBorder="1" applyAlignment="1" applyProtection="1">
      <alignment horizontal="right" vertical="center"/>
    </xf>
    <xf numFmtId="174" fontId="28" fillId="38" borderId="39" xfId="85" applyNumberFormat="1" applyFont="1" applyFill="1" applyBorder="1" applyAlignment="1" applyProtection="1">
      <alignment horizontal="right" vertical="center"/>
      <protection locked="0"/>
    </xf>
    <xf numFmtId="164" fontId="28" fillId="38" borderId="39" xfId="4" applyNumberFormat="1" applyFont="1" applyFill="1" applyBorder="1" applyAlignment="1" applyProtection="1">
      <alignment horizontal="right" vertical="center"/>
    </xf>
    <xf numFmtId="164" fontId="27" fillId="0" borderId="53" xfId="4" applyNumberFormat="1" applyFont="1" applyFill="1" applyBorder="1" applyAlignment="1" applyProtection="1">
      <alignment horizontal="right" vertical="center"/>
    </xf>
    <xf numFmtId="177" fontId="29" fillId="36" borderId="43" xfId="46" applyNumberFormat="1" applyFont="1" applyFill="1" applyBorder="1" applyAlignment="1" applyProtection="1">
      <alignment horizontal="right" vertical="center"/>
      <protection locked="0"/>
    </xf>
    <xf numFmtId="177" fontId="29" fillId="37" borderId="23" xfId="46" applyNumberFormat="1" applyFont="1" applyFill="1" applyBorder="1" applyAlignment="1" applyProtection="1">
      <alignment horizontal="right" vertical="center"/>
      <protection locked="0"/>
    </xf>
    <xf numFmtId="0" fontId="28" fillId="37" borderId="27" xfId="4" applyFont="1" applyFill="1" applyBorder="1" applyAlignment="1" applyProtection="1">
      <alignment horizontal="right" vertical="center"/>
    </xf>
    <xf numFmtId="0" fontId="28" fillId="37" borderId="34" xfId="4" applyFont="1" applyFill="1" applyBorder="1" applyAlignment="1" applyProtection="1">
      <alignment horizontal="right" vertical="center"/>
    </xf>
    <xf numFmtId="164" fontId="27" fillId="37" borderId="26" xfId="4" applyNumberFormat="1" applyFont="1" applyFill="1" applyBorder="1" applyAlignment="1" applyProtection="1">
      <alignment horizontal="right" vertical="center"/>
    </xf>
    <xf numFmtId="0" fontId="27" fillId="37" borderId="27" xfId="4" applyFont="1" applyFill="1" applyBorder="1" applyAlignment="1" applyProtection="1">
      <alignment horizontal="right" vertical="center"/>
    </xf>
    <xf numFmtId="0" fontId="27" fillId="37" borderId="34" xfId="4" applyFont="1" applyFill="1" applyBorder="1" applyAlignment="1" applyProtection="1">
      <alignment horizontal="right" vertical="center"/>
      <protection locked="0"/>
    </xf>
    <xf numFmtId="177" fontId="29" fillId="37" borderId="27" xfId="46" applyNumberFormat="1" applyFont="1" applyFill="1" applyBorder="1" applyAlignment="1" applyProtection="1">
      <alignment horizontal="right" vertical="center"/>
      <protection locked="0"/>
    </xf>
    <xf numFmtId="10" fontId="29" fillId="37" borderId="28" xfId="86" applyNumberFormat="1" applyFont="1" applyFill="1" applyBorder="1" applyAlignment="1" applyProtection="1">
      <alignment horizontal="right" vertical="center"/>
    </xf>
    <xf numFmtId="164" fontId="27" fillId="37" borderId="27" xfId="4" applyNumberFormat="1" applyFont="1" applyFill="1" applyBorder="1" applyAlignment="1" applyProtection="1">
      <alignment horizontal="right" vertical="center"/>
    </xf>
    <xf numFmtId="0" fontId="25" fillId="0" borderId="0" xfId="0" applyFont="1" applyAlignment="1">
      <alignment wrapText="1"/>
    </xf>
    <xf numFmtId="177" fontId="25" fillId="36" borderId="43" xfId="46" applyNumberFormat="1" applyFont="1" applyFill="1" applyBorder="1" applyAlignment="1" applyProtection="1">
      <alignment horizontal="right" vertical="center"/>
      <protection locked="0"/>
    </xf>
    <xf numFmtId="177" fontId="25" fillId="36" borderId="25" xfId="46" applyNumberFormat="1" applyFont="1" applyFill="1" applyBorder="1" applyAlignment="1" applyProtection="1">
      <alignment horizontal="right" vertical="center"/>
      <protection locked="0"/>
    </xf>
    <xf numFmtId="0" fontId="25" fillId="0" borderId="41" xfId="0" applyFont="1" applyBorder="1"/>
    <xf numFmtId="0" fontId="25" fillId="0" borderId="0" xfId="0" applyFont="1" applyBorder="1"/>
    <xf numFmtId="177" fontId="25" fillId="36" borderId="24" xfId="46" applyNumberFormat="1" applyFont="1" applyFill="1" applyBorder="1" applyAlignment="1" applyProtection="1">
      <alignment horizontal="right" vertical="center"/>
      <protection locked="0"/>
    </xf>
    <xf numFmtId="0" fontId="25" fillId="0" borderId="25" xfId="0" applyFont="1" applyBorder="1"/>
    <xf numFmtId="0" fontId="25" fillId="0" borderId="43" xfId="0" applyFont="1" applyBorder="1"/>
    <xf numFmtId="0" fontId="25" fillId="0" borderId="24" xfId="0" applyFont="1" applyBorder="1"/>
    <xf numFmtId="164" fontId="25" fillId="0" borderId="32" xfId="0" applyNumberFormat="1" applyFont="1" applyBorder="1"/>
    <xf numFmtId="164" fontId="25" fillId="0" borderId="41" xfId="0" applyNumberFormat="1" applyFont="1" applyBorder="1"/>
    <xf numFmtId="164" fontId="25" fillId="0" borderId="48" xfId="0" applyNumberFormat="1" applyFont="1" applyBorder="1"/>
    <xf numFmtId="0" fontId="26" fillId="39" borderId="46" xfId="0" applyFont="1" applyFill="1" applyBorder="1" applyAlignment="1">
      <alignment horizontal="centerContinuous" wrapText="1"/>
    </xf>
    <xf numFmtId="0" fontId="25" fillId="0" borderId="42" xfId="0" applyFont="1" applyBorder="1"/>
    <xf numFmtId="181" fontId="25" fillId="0" borderId="25" xfId="3" applyNumberFormat="1" applyFont="1" applyBorder="1"/>
    <xf numFmtId="181" fontId="25" fillId="0" borderId="43" xfId="3" applyNumberFormat="1" applyFont="1" applyBorder="1"/>
    <xf numFmtId="181" fontId="25" fillId="0" borderId="24" xfId="3" applyNumberFormat="1" applyFont="1" applyBorder="1"/>
    <xf numFmtId="0" fontId="26" fillId="39" borderId="25" xfId="0" applyFont="1" applyFill="1" applyBorder="1" applyAlignment="1">
      <alignment wrapText="1"/>
    </xf>
    <xf numFmtId="177" fontId="25" fillId="0" borderId="32" xfId="0" applyNumberFormat="1" applyFont="1" applyBorder="1"/>
    <xf numFmtId="177" fontId="25" fillId="0" borderId="41" xfId="0" applyNumberFormat="1" applyFont="1" applyBorder="1"/>
    <xf numFmtId="177" fontId="25" fillId="0" borderId="48" xfId="0" applyNumberFormat="1" applyFont="1" applyBorder="1"/>
    <xf numFmtId="177" fontId="25" fillId="0" borderId="25" xfId="0" applyNumberFormat="1" applyFont="1" applyBorder="1"/>
    <xf numFmtId="177" fontId="25" fillId="0" borderId="43" xfId="0" applyNumberFormat="1" applyFont="1" applyBorder="1"/>
    <xf numFmtId="177" fontId="25" fillId="0" borderId="24" xfId="0" applyNumberFormat="1" applyFont="1" applyBorder="1"/>
    <xf numFmtId="177" fontId="25" fillId="0" borderId="25" xfId="0" applyNumberFormat="1" applyFont="1" applyBorder="1" applyAlignment="1">
      <alignment wrapText="1"/>
    </xf>
    <xf numFmtId="177" fontId="25" fillId="0" borderId="43" xfId="0" applyNumberFormat="1" applyFont="1" applyBorder="1" applyAlignment="1">
      <alignment wrapText="1"/>
    </xf>
    <xf numFmtId="177" fontId="25" fillId="0" borderId="24" xfId="0" applyNumberFormat="1" applyFont="1" applyBorder="1" applyAlignment="1">
      <alignment wrapText="1"/>
    </xf>
    <xf numFmtId="0" fontId="25" fillId="0" borderId="41" xfId="0" applyFont="1" applyBorder="1" applyAlignment="1">
      <alignment wrapText="1"/>
    </xf>
    <xf numFmtId="0" fontId="19" fillId="0" borderId="0" xfId="4" applyFont="1" applyFill="1" applyAlignment="1" applyProtection="1">
      <alignment horizontal="left"/>
      <protection locked="0"/>
    </xf>
    <xf numFmtId="0" fontId="20" fillId="0" borderId="0" xfId="4" applyFont="1" applyFill="1" applyAlignment="1" applyProtection="1">
      <alignment horizontal="right" vertical="top"/>
      <protection locked="0"/>
    </xf>
    <xf numFmtId="178" fontId="26" fillId="0" borderId="23" xfId="0" applyNumberFormat="1" applyFont="1" applyBorder="1" applyAlignment="1">
      <alignment wrapText="1"/>
    </xf>
    <xf numFmtId="0" fontId="26" fillId="39" borderId="25" xfId="0" applyFont="1" applyFill="1" applyBorder="1" applyAlignment="1">
      <alignment horizontal="center" wrapText="1"/>
    </xf>
    <xf numFmtId="0" fontId="26" fillId="39" borderId="32" xfId="0" applyFont="1" applyFill="1" applyBorder="1" applyAlignment="1">
      <alignment horizontal="center" wrapText="1"/>
    </xf>
    <xf numFmtId="0" fontId="28" fillId="0" borderId="0" xfId="4" applyFont="1" applyProtection="1">
      <protection locked="0"/>
    </xf>
    <xf numFmtId="0" fontId="27" fillId="0" borderId="0" xfId="4" applyFont="1" applyAlignment="1" applyProtection="1">
      <alignment horizontal="left"/>
      <protection locked="0"/>
    </xf>
    <xf numFmtId="0" fontId="28" fillId="0" borderId="0" xfId="4" applyFont="1" applyAlignment="1" applyProtection="1">
      <alignment horizontal="right" vertical="top"/>
      <protection locked="0"/>
    </xf>
    <xf numFmtId="0" fontId="1" fillId="0" borderId="0" xfId="0" applyFont="1"/>
    <xf numFmtId="0" fontId="28" fillId="0" borderId="0" xfId="4" applyFont="1" applyProtection="1"/>
    <xf numFmtId="0" fontId="27" fillId="0" borderId="0" xfId="4" applyFont="1" applyAlignment="1" applyProtection="1"/>
    <xf numFmtId="0" fontId="27" fillId="0" borderId="0" xfId="4" applyFont="1" applyAlignment="1" applyProtection="1">
      <alignment horizontal="center"/>
    </xf>
    <xf numFmtId="0" fontId="27" fillId="0" borderId="23" xfId="4" applyFont="1" applyBorder="1" applyAlignment="1" applyProtection="1">
      <alignment horizontal="center"/>
    </xf>
    <xf numFmtId="0" fontId="27" fillId="0" borderId="45" xfId="4" applyFont="1" applyBorder="1" applyAlignment="1" applyProtection="1">
      <alignment horizontal="center"/>
    </xf>
    <xf numFmtId="0" fontId="27" fillId="0" borderId="43" xfId="4" applyFont="1" applyFill="1" applyBorder="1" applyAlignment="1" applyProtection="1">
      <alignment horizontal="center" wrapText="1"/>
    </xf>
    <xf numFmtId="0" fontId="27" fillId="0" borderId="42" xfId="4" applyFont="1" applyFill="1" applyBorder="1" applyAlignment="1" applyProtection="1">
      <alignment horizontal="center" wrapText="1"/>
    </xf>
    <xf numFmtId="0" fontId="28" fillId="0" borderId="32" xfId="4" applyFont="1" applyBorder="1" applyAlignment="1" applyProtection="1">
      <alignment vertical="top"/>
    </xf>
    <xf numFmtId="0" fontId="28" fillId="0" borderId="25" xfId="4" applyFont="1" applyFill="1" applyBorder="1" applyAlignment="1" applyProtection="1">
      <alignment vertical="top"/>
      <protection locked="0"/>
    </xf>
    <xf numFmtId="0" fontId="28" fillId="0" borderId="41" xfId="4" applyFont="1" applyBorder="1" applyAlignment="1" applyProtection="1">
      <alignment vertical="top"/>
    </xf>
    <xf numFmtId="0" fontId="28" fillId="0" borderId="43" xfId="4" applyFont="1" applyFill="1" applyBorder="1" applyAlignment="1" applyProtection="1">
      <alignment vertical="top"/>
      <protection locked="0"/>
    </xf>
    <xf numFmtId="0" fontId="28" fillId="0" borderId="41" xfId="4" applyFont="1" applyFill="1" applyBorder="1" applyAlignment="1" applyProtection="1">
      <alignment vertical="top"/>
    </xf>
    <xf numFmtId="0" fontId="27" fillId="37" borderId="30" xfId="4" applyFont="1" applyFill="1" applyBorder="1" applyAlignment="1" applyProtection="1">
      <alignment vertical="top"/>
    </xf>
    <xf numFmtId="0" fontId="28" fillId="37" borderId="23" xfId="4" applyFont="1" applyFill="1" applyBorder="1" applyAlignment="1" applyProtection="1">
      <alignment vertical="top"/>
      <protection locked="0"/>
    </xf>
    <xf numFmtId="0" fontId="28" fillId="0" borderId="41" xfId="4" applyFont="1" applyFill="1" applyBorder="1" applyAlignment="1" applyProtection="1">
      <alignment vertical="top" wrapText="1"/>
    </xf>
    <xf numFmtId="0" fontId="27" fillId="37" borderId="30" xfId="4" applyFont="1" applyFill="1" applyBorder="1" applyAlignment="1" applyProtection="1">
      <alignment vertical="top" wrapText="1"/>
    </xf>
    <xf numFmtId="0" fontId="28" fillId="37" borderId="23" xfId="4" applyFont="1" applyFill="1" applyBorder="1" applyProtection="1">
      <protection locked="0"/>
    </xf>
    <xf numFmtId="0" fontId="28" fillId="0" borderId="41" xfId="4" applyFont="1" applyBorder="1" applyAlignment="1" applyProtection="1">
      <alignment vertical="center"/>
    </xf>
    <xf numFmtId="0" fontId="28" fillId="0" borderId="48" xfId="4" applyFont="1" applyBorder="1" applyAlignment="1" applyProtection="1">
      <alignment horizontal="left" vertical="center" wrapText="1"/>
    </xf>
    <xf numFmtId="0" fontId="28" fillId="0" borderId="41" xfId="4" applyFont="1" applyBorder="1" applyAlignment="1" applyProtection="1">
      <alignment vertical="top" wrapText="1"/>
    </xf>
    <xf numFmtId="0" fontId="28" fillId="0" borderId="52" xfId="4" applyFont="1" applyBorder="1" applyProtection="1"/>
    <xf numFmtId="0" fontId="28" fillId="0" borderId="51" xfId="4" applyFont="1" applyFill="1" applyBorder="1" applyAlignment="1" applyProtection="1">
      <alignment vertical="top"/>
      <protection locked="0"/>
    </xf>
    <xf numFmtId="0" fontId="28" fillId="38" borderId="38" xfId="4" applyFont="1" applyFill="1" applyBorder="1" applyProtection="1"/>
    <xf numFmtId="0" fontId="28" fillId="38" borderId="39" xfId="4" applyFont="1" applyFill="1" applyBorder="1" applyAlignment="1" applyProtection="1">
      <alignment vertical="top"/>
      <protection locked="0"/>
    </xf>
    <xf numFmtId="0" fontId="27" fillId="0" borderId="0" xfId="4" applyFont="1" applyFill="1" applyAlignment="1" applyProtection="1">
      <alignment vertical="top"/>
    </xf>
    <xf numFmtId="0" fontId="28" fillId="0" borderId="53" xfId="4" applyFont="1" applyBorder="1" applyAlignment="1" applyProtection="1">
      <alignment vertical="top"/>
      <protection locked="0"/>
    </xf>
    <xf numFmtId="0" fontId="28" fillId="0" borderId="0" xfId="4" applyFont="1" applyFill="1" applyAlignment="1" applyProtection="1">
      <alignment horizontal="left" vertical="top" indent="1"/>
    </xf>
    <xf numFmtId="0" fontId="28" fillId="0" borderId="43" xfId="4" applyFont="1" applyBorder="1" applyAlignment="1" applyProtection="1">
      <alignment vertical="top"/>
      <protection locked="0"/>
    </xf>
    <xf numFmtId="0" fontId="27" fillId="0" borderId="0" xfId="4" applyFont="1" applyAlignment="1" applyProtection="1">
      <alignment horizontal="left" vertical="top" wrapText="1" indent="1"/>
    </xf>
    <xf numFmtId="0" fontId="32" fillId="0" borderId="0" xfId="4" applyFont="1" applyAlignment="1" applyProtection="1">
      <alignment horizontal="left" vertical="top" wrapText="1" indent="1"/>
    </xf>
    <xf numFmtId="0" fontId="27" fillId="37" borderId="26" xfId="4" applyFont="1" applyFill="1" applyBorder="1" applyAlignment="1" applyProtection="1">
      <alignment horizontal="left" vertical="top" wrapText="1"/>
    </xf>
    <xf numFmtId="0" fontId="28" fillId="37" borderId="27" xfId="4" applyFont="1" applyFill="1" applyBorder="1" applyAlignment="1" applyProtection="1">
      <alignment vertical="top"/>
      <protection locked="0"/>
    </xf>
    <xf numFmtId="0" fontId="28" fillId="0" borderId="50" xfId="4" applyFont="1" applyBorder="1" applyProtection="1"/>
    <xf numFmtId="0" fontId="27" fillId="0" borderId="23" xfId="4" applyFont="1" applyFill="1" applyBorder="1" applyAlignment="1" applyProtection="1">
      <alignment horizontal="center" wrapText="1"/>
    </xf>
    <xf numFmtId="0" fontId="27" fillId="0" borderId="45" xfId="4" applyFont="1" applyFill="1" applyBorder="1" applyAlignment="1" applyProtection="1">
      <alignment horizontal="center" wrapText="1"/>
    </xf>
    <xf numFmtId="0" fontId="28" fillId="0" borderId="0" xfId="4" applyFont="1" applyAlignment="1" applyProtection="1">
      <alignment vertical="top"/>
      <protection locked="0"/>
    </xf>
    <xf numFmtId="0" fontId="27" fillId="0" borderId="32" xfId="4" applyFont="1" applyFill="1" applyBorder="1" applyAlignment="1" applyProtection="1">
      <alignment vertical="top"/>
    </xf>
    <xf numFmtId="0" fontId="28" fillId="0" borderId="47" xfId="4" applyFont="1" applyBorder="1" applyAlignment="1" applyProtection="1">
      <alignment vertical="top"/>
      <protection locked="0"/>
    </xf>
    <xf numFmtId="0" fontId="28" fillId="0" borderId="41" xfId="4" applyFont="1" applyFill="1" applyBorder="1" applyAlignment="1" applyProtection="1">
      <alignment horizontal="left" vertical="top" indent="1"/>
    </xf>
    <xf numFmtId="0" fontId="28" fillId="0" borderId="0" xfId="4" applyFont="1" applyBorder="1" applyAlignment="1" applyProtection="1">
      <alignment vertical="top"/>
      <protection locked="0"/>
    </xf>
    <xf numFmtId="0" fontId="27" fillId="0" borderId="41" xfId="4" applyFont="1" applyBorder="1" applyAlignment="1" applyProtection="1">
      <alignment horizontal="left" vertical="top" wrapText="1" indent="1"/>
    </xf>
    <xf numFmtId="0" fontId="32" fillId="0" borderId="41" xfId="4" applyFont="1" applyBorder="1" applyAlignment="1" applyProtection="1">
      <alignment horizontal="left" vertical="top" wrapText="1" indent="1"/>
    </xf>
    <xf numFmtId="0" fontId="24" fillId="0" borderId="32" xfId="0" applyFont="1" applyBorder="1"/>
    <xf numFmtId="0" fontId="24" fillId="0" borderId="47" xfId="0" applyFont="1" applyBorder="1"/>
    <xf numFmtId="0" fontId="24" fillId="0" borderId="46" xfId="0" applyFont="1" applyBorder="1"/>
    <xf numFmtId="0" fontId="24" fillId="0" borderId="0" xfId="0" applyFont="1"/>
    <xf numFmtId="0" fontId="24" fillId="0" borderId="41" xfId="0" applyFont="1" applyBorder="1"/>
    <xf numFmtId="0" fontId="24" fillId="0" borderId="0" xfId="0" applyFont="1" applyBorder="1"/>
    <xf numFmtId="0" fontId="24" fillId="0" borderId="42" xfId="0" applyFont="1" applyBorder="1"/>
    <xf numFmtId="0" fontId="29" fillId="33" borderId="42" xfId="0" applyNumberFormat="1" applyFont="1" applyFill="1" applyBorder="1"/>
    <xf numFmtId="0" fontId="24" fillId="0" borderId="48" xfId="0" applyFont="1" applyBorder="1"/>
    <xf numFmtId="0" fontId="24" fillId="0" borderId="49" xfId="0" applyFont="1" applyBorder="1"/>
    <xf numFmtId="0" fontId="24" fillId="0" borderId="44" xfId="0" applyFont="1" applyBorder="1"/>
    <xf numFmtId="0" fontId="29" fillId="0" borderId="42" xfId="0" applyNumberFormat="1" applyFont="1" applyBorder="1"/>
    <xf numFmtId="0" fontId="24" fillId="0" borderId="44" xfId="0" applyNumberFormat="1" applyFont="1" applyBorder="1"/>
    <xf numFmtId="0" fontId="27" fillId="0" borderId="0" xfId="4" applyFont="1" applyAlignment="1" applyProtection="1">
      <alignment horizontal="right" vertical="top"/>
      <protection locked="0"/>
    </xf>
    <xf numFmtId="164" fontId="18" fillId="0" borderId="0" xfId="4" applyNumberFormat="1" applyProtection="1">
      <protection locked="0"/>
    </xf>
    <xf numFmtId="179" fontId="25" fillId="36" borderId="23" xfId="46" applyNumberFormat="1" applyFont="1" applyFill="1" applyBorder="1" applyAlignment="1" applyProtection="1">
      <alignment horizontal="right" vertical="center"/>
      <protection locked="0"/>
    </xf>
    <xf numFmtId="179" fontId="24" fillId="36" borderId="43" xfId="46" applyNumberFormat="1" applyFont="1" applyFill="1" applyBorder="1" applyAlignment="1" applyProtection="1">
      <alignment horizontal="right" vertical="center"/>
      <protection locked="0"/>
    </xf>
    <xf numFmtId="0" fontId="19" fillId="0" borderId="0" xfId="4" applyFont="1" applyFill="1" applyAlignment="1" applyProtection="1">
      <alignment horizontal="left" vertical="center" wrapText="1"/>
      <protection locked="0"/>
    </xf>
    <xf numFmtId="0" fontId="18" fillId="0" borderId="0" xfId="4" applyFont="1" applyFill="1" applyAlignment="1" applyProtection="1">
      <alignment horizontal="left" vertical="top" wrapText="1"/>
      <protection locked="0"/>
    </xf>
    <xf numFmtId="0" fontId="21" fillId="0" borderId="0" xfId="4" applyFont="1" applyAlignment="1" applyProtection="1">
      <alignment horizontal="center"/>
      <protection locked="0"/>
    </xf>
    <xf numFmtId="0" fontId="19" fillId="0" borderId="10" xfId="4" applyFont="1" applyBorder="1" applyAlignment="1" applyProtection="1">
      <alignment horizontal="center"/>
      <protection locked="0"/>
    </xf>
    <xf numFmtId="0" fontId="19" fillId="0" borderId="11" xfId="4" applyFont="1" applyBorder="1" applyAlignment="1" applyProtection="1">
      <alignment horizontal="center"/>
      <protection locked="0"/>
    </xf>
    <xf numFmtId="0" fontId="19" fillId="0" borderId="18" xfId="4" applyFont="1" applyBorder="1" applyAlignment="1" applyProtection="1">
      <alignment horizontal="center"/>
      <protection locked="0"/>
    </xf>
    <xf numFmtId="0" fontId="19" fillId="0" borderId="22" xfId="4" applyFont="1" applyBorder="1" applyAlignment="1" applyProtection="1">
      <alignment horizontal="center"/>
      <protection locked="0"/>
    </xf>
    <xf numFmtId="0" fontId="18" fillId="0" borderId="31" xfId="4" applyFont="1" applyBorder="1" applyAlignment="1" applyProtection="1">
      <alignment wrapText="1"/>
      <protection locked="0"/>
    </xf>
    <xf numFmtId="0" fontId="18" fillId="0" borderId="37" xfId="4" applyFont="1" applyBorder="1" applyAlignment="1" applyProtection="1">
      <alignment wrapText="1"/>
      <protection locked="0"/>
    </xf>
    <xf numFmtId="0" fontId="27" fillId="0" borderId="32" xfId="4" applyFont="1" applyBorder="1" applyAlignment="1" applyProtection="1">
      <alignment horizontal="center"/>
    </xf>
    <xf numFmtId="0" fontId="27" fillId="0" borderId="47" xfId="4" applyFont="1" applyBorder="1" applyAlignment="1" applyProtection="1">
      <alignment horizontal="center"/>
    </xf>
    <xf numFmtId="0" fontId="27" fillId="0" borderId="46" xfId="4" applyFont="1" applyBorder="1" applyAlignment="1" applyProtection="1">
      <alignment horizontal="center"/>
    </xf>
    <xf numFmtId="0" fontId="27" fillId="0" borderId="30" xfId="4" applyFont="1" applyBorder="1" applyAlignment="1" applyProtection="1">
      <alignment horizontal="center"/>
    </xf>
    <xf numFmtId="0" fontId="27" fillId="0" borderId="50" xfId="4" applyFont="1" applyBorder="1" applyAlignment="1" applyProtection="1">
      <alignment horizontal="center"/>
    </xf>
    <xf numFmtId="0" fontId="27" fillId="0" borderId="45" xfId="4" applyFont="1" applyBorder="1" applyAlignment="1" applyProtection="1">
      <alignment horizontal="center"/>
    </xf>
  </cellXfs>
  <cellStyles count="96">
    <cellStyle name="$" xfId="5"/>
    <cellStyle name="$.00" xfId="6"/>
    <cellStyle name="$_9. Rev2Cost_GDPIPI" xfId="7"/>
    <cellStyle name="$_9. Rev2Cost_GDPIPI 2" xfId="91"/>
    <cellStyle name="$_lists" xfId="8"/>
    <cellStyle name="$_lists 2" xfId="89"/>
    <cellStyle name="$_lists_4. Current Monthly Fixed Charge" xfId="9"/>
    <cellStyle name="$_Sheet4" xfId="10"/>
    <cellStyle name="$_Sheet4 2" xfId="93"/>
    <cellStyle name="$M" xfId="11"/>
    <cellStyle name="$M.00" xfId="12"/>
    <cellStyle name="$M_9. Rev2Cost_GDPIPI" xfId="13"/>
    <cellStyle name="20% - Accent1 2" xfId="14"/>
    <cellStyle name="20% - Accent2 2" xfId="15"/>
    <cellStyle name="20% - Accent3 2" xfId="16"/>
    <cellStyle name="20% - Accent4 2" xfId="17"/>
    <cellStyle name="20% - Accent5 2" xfId="18"/>
    <cellStyle name="20% - Accent6 2" xfId="19"/>
    <cellStyle name="40% - Accent1 2" xfId="20"/>
    <cellStyle name="40% - Accent2 2" xfId="21"/>
    <cellStyle name="40% - Accent3 2" xfId="22"/>
    <cellStyle name="40% - Accent4 2" xfId="23"/>
    <cellStyle name="40% - Accent5 2" xfId="24"/>
    <cellStyle name="40% - Accent6 2" xfId="25"/>
    <cellStyle name="60% - Accent1 2" xfId="26"/>
    <cellStyle name="60% - Accent2 2" xfId="27"/>
    <cellStyle name="60% - Accent3 2" xfId="28"/>
    <cellStyle name="60% - Accent4 2" xfId="29"/>
    <cellStyle name="60% - Accent5 2" xfId="30"/>
    <cellStyle name="60% - Accent6 2" xfId="31"/>
    <cellStyle name="Accent1 2" xfId="32"/>
    <cellStyle name="Accent2 2" xfId="33"/>
    <cellStyle name="Accent3 2" xfId="34"/>
    <cellStyle name="Accent4 2" xfId="35"/>
    <cellStyle name="Accent5 2" xfId="36"/>
    <cellStyle name="Accent6 2" xfId="37"/>
    <cellStyle name="Bad 2" xfId="38"/>
    <cellStyle name="Calculation 2" xfId="39"/>
    <cellStyle name="Check Cell 2" xfId="40"/>
    <cellStyle name="Comma" xfId="1" builtinId="3"/>
    <cellStyle name="Comma 2" xfId="41"/>
    <cellStyle name="Comma 3" xfId="42"/>
    <cellStyle name="Comma 3 2" xfId="43"/>
    <cellStyle name="Comma 4" xfId="44"/>
    <cellStyle name="Comma 4 2" xfId="88"/>
    <cellStyle name="Comma0" xfId="45"/>
    <cellStyle name="Currency" xfId="2" builtinId="4"/>
    <cellStyle name="Currency 2" xfId="46"/>
    <cellStyle name="Currency 2 2" xfId="85"/>
    <cellStyle name="Currency 3" xfId="47"/>
    <cellStyle name="Currency0" xfId="48"/>
    <cellStyle name="Date" xfId="49"/>
    <cellStyle name="Explanatory Text 2" xfId="50"/>
    <cellStyle name="Fixed" xfId="51"/>
    <cellStyle name="Good 2" xfId="52"/>
    <cellStyle name="Grey" xfId="53"/>
    <cellStyle name="Heading 1 2" xfId="54"/>
    <cellStyle name="Heading 2 2" xfId="55"/>
    <cellStyle name="Heading 3 2" xfId="56"/>
    <cellStyle name="Heading 4 2" xfId="57"/>
    <cellStyle name="Input [yellow]" xfId="58"/>
    <cellStyle name="Input 2" xfId="59"/>
    <cellStyle name="Linked Cell 2" xfId="60"/>
    <cellStyle name="M" xfId="61"/>
    <cellStyle name="M.00" xfId="62"/>
    <cellStyle name="M_9. Rev2Cost_GDPIPI" xfId="63"/>
    <cellStyle name="M_9. Rev2Cost_GDPIPI 2" xfId="92"/>
    <cellStyle name="M_lists" xfId="64"/>
    <cellStyle name="M_lists 2" xfId="90"/>
    <cellStyle name="M_lists_4. Current Monthly Fixed Charge" xfId="65"/>
    <cellStyle name="M_Sheet4" xfId="66"/>
    <cellStyle name="M_Sheet4 2" xfId="94"/>
    <cellStyle name="Neutral 2" xfId="67"/>
    <cellStyle name="Normal" xfId="0" builtinId="0"/>
    <cellStyle name="Normal - Style1" xfId="68"/>
    <cellStyle name="Normal 2" xfId="4"/>
    <cellStyle name="Normal 3" xfId="69"/>
    <cellStyle name="Normal 4" xfId="70"/>
    <cellStyle name="Normal 5" xfId="71"/>
    <cellStyle name="Normal 5 2" xfId="72"/>
    <cellStyle name="Normal 6" xfId="73"/>
    <cellStyle name="Note 2" xfId="74"/>
    <cellStyle name="Output 2" xfId="75"/>
    <cellStyle name="Percent" xfId="3" builtinId="5"/>
    <cellStyle name="Percent [2]" xfId="76"/>
    <cellStyle name="Percent 2" xfId="77"/>
    <cellStyle name="Percent 2 2" xfId="86"/>
    <cellStyle name="Percent 3" xfId="78"/>
    <cellStyle name="Percent 3 2" xfId="79"/>
    <cellStyle name="Percent 4" xfId="80"/>
    <cellStyle name="Percent 5" xfId="84"/>
    <cellStyle name="Percent 6" xfId="87"/>
    <cellStyle name="Percent 7" xfId="95"/>
    <cellStyle name="Title 2" xfId="81"/>
    <cellStyle name="Total 2" xfId="82"/>
    <cellStyle name="Warning Text 2"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bramoMa\AppData\Local\Microsoft\Windows\Temporary%20Internet%20Files\Content.Outlook\B6TDOTQJ\2016_Filing_Requirements_Chapter2_Appendices_Accounting%20Updated_kcr_sv.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180164\Downloads\Woodstock%202016_Filing_Requirements_Chapter2_Appendic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 val="Sheet1"/>
    </sheetNames>
    <sheetDataSet>
      <sheetData sheetId="0">
        <row r="3">
          <cell r="AA3" t="str">
            <v>Algoma Power Inc.</v>
          </cell>
        </row>
        <row r="4">
          <cell r="AA4" t="str">
            <v>Atikokan Hydro Inc.</v>
          </cell>
        </row>
        <row r="5">
          <cell r="AA5" t="str">
            <v>Attawapiskat Power Corporation</v>
          </cell>
        </row>
        <row r="6">
          <cell r="AA6" t="str">
            <v>Bluewater Power Distribution Corporation</v>
          </cell>
        </row>
        <row r="7">
          <cell r="AA7" t="str">
            <v>Brant County Power Inc.</v>
          </cell>
        </row>
        <row r="8">
          <cell r="AA8" t="str">
            <v>Brantford Power Inc.</v>
          </cell>
        </row>
        <row r="9">
          <cell r="AA9" t="str">
            <v>Burlington Hydro Inc.</v>
          </cell>
        </row>
        <row r="10">
          <cell r="AA10" t="str">
            <v>Cambridge and North Dumfries Hydro Inc.</v>
          </cell>
        </row>
        <row r="11">
          <cell r="AA11" t="str">
            <v>Canadian Niagara Power Inc.</v>
          </cell>
        </row>
        <row r="12">
          <cell r="AA12" t="str">
            <v>Centre Wellington Hydro Ltd.</v>
          </cell>
        </row>
        <row r="13">
          <cell r="AA13" t="str">
            <v>Chapleau Public Utilities Corporation</v>
          </cell>
        </row>
        <row r="14">
          <cell r="AA14" t="str">
            <v>COLLUS PowerStream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Corporation</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E26" t="str">
            <v/>
          </cell>
          <cell r="AA26" t="str">
            <v>Greater Sudbury Hydro Inc.</v>
          </cell>
        </row>
        <row r="27">
          <cell r="AA27" t="str">
            <v>Grimsby Power Inc.</v>
          </cell>
        </row>
        <row r="28">
          <cell r="AA28" t="str">
            <v>Guelph Hydro Electric Systems Inc.</v>
          </cell>
        </row>
        <row r="29">
          <cell r="AA29" t="str">
            <v>Haldimand County Hydro Inc.</v>
          </cell>
        </row>
        <row r="30">
          <cell r="AA30" t="str">
            <v>Halton Hills Hydro Inc.</v>
          </cell>
        </row>
        <row r="31">
          <cell r="AA31" t="str">
            <v>Hearst Power Distribution Company Limited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Innpower Corporation</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Newmarket-Tay Power Distribution Ltd.</v>
          </cell>
        </row>
        <row r="50">
          <cell r="AA50" t="str">
            <v>Niagara Peninsula Energy Inc.</v>
          </cell>
        </row>
        <row r="51">
          <cell r="AA51" t="str">
            <v>Niagara-on-the-Lake Hydro Inc.</v>
          </cell>
        </row>
        <row r="52">
          <cell r="AA52" t="str">
            <v>Norfolk Power Distribution Inc.</v>
          </cell>
        </row>
        <row r="53">
          <cell r="AA53" t="str">
            <v>North Bay Hydro Distribution Limited</v>
          </cell>
        </row>
        <row r="54">
          <cell r="AA54" t="str">
            <v>Northern Ontario Wires Inc.</v>
          </cell>
        </row>
        <row r="55">
          <cell r="AA55" t="str">
            <v>Oakville Hydro Electricity Distribution Inc.</v>
          </cell>
        </row>
        <row r="56">
          <cell r="AA56" t="str">
            <v>Orangeville Hydro Limited</v>
          </cell>
        </row>
        <row r="57">
          <cell r="AA57" t="str">
            <v>Orillia Power Distribution Corporation</v>
          </cell>
        </row>
        <row r="58">
          <cell r="AA58" t="str">
            <v>Oshawa PUC Networks Inc.</v>
          </cell>
        </row>
        <row r="59">
          <cell r="AA59" t="str">
            <v>Ottawa River Power Corporation</v>
          </cell>
        </row>
        <row r="60">
          <cell r="AA60" t="str">
            <v>Peterborough Distribution Incorporated</v>
          </cell>
        </row>
        <row r="61">
          <cell r="AA61" t="str">
            <v>PowerStream Inc.</v>
          </cell>
        </row>
        <row r="62">
          <cell r="AA62" t="str">
            <v>PUC Distribution Inc.</v>
          </cell>
        </row>
        <row r="63">
          <cell r="AA63" t="str">
            <v>Renfrew Hydro Inc.</v>
          </cell>
        </row>
        <row r="64">
          <cell r="AA64" t="str">
            <v>Rideau St. Lawrence Distribution Inc.</v>
          </cell>
        </row>
        <row r="65">
          <cell r="AA65" t="str">
            <v>Sioux Lookout Hydro Inc.</v>
          </cell>
        </row>
        <row r="66">
          <cell r="AA66" t="str">
            <v>St. Thomas Energy Inc.</v>
          </cell>
        </row>
        <row r="67">
          <cell r="AA67" t="str">
            <v>Thunder Bay Hydro Electricity Distribution Inc.</v>
          </cell>
        </row>
        <row r="68">
          <cell r="AA68" t="str">
            <v>Tillsonburg Hydro Inc.</v>
          </cell>
        </row>
        <row r="69">
          <cell r="AA69" t="str">
            <v>Toronto Hydro-Electric System Limited</v>
          </cell>
        </row>
        <row r="70">
          <cell r="AA70" t="str">
            <v>Veridian Connections Inc.</v>
          </cell>
        </row>
        <row r="71">
          <cell r="AA71" t="str">
            <v>Wasaga Distribution Inc.</v>
          </cell>
        </row>
        <row r="72">
          <cell r="AA72" t="str">
            <v>Waterloo North Hydro Inc.</v>
          </cell>
        </row>
        <row r="73">
          <cell r="AA73" t="str">
            <v>Welland Hydro-Electric System Corp.</v>
          </cell>
        </row>
        <row r="74">
          <cell r="AA74" t="str">
            <v>Wellington North Power Inc.</v>
          </cell>
        </row>
        <row r="75">
          <cell r="AA75" t="str">
            <v>West Coast Huron Energy Inc.</v>
          </cell>
        </row>
        <row r="76">
          <cell r="AA76" t="str">
            <v>Westario Power Inc.</v>
          </cell>
        </row>
        <row r="77">
          <cell r="AA77" t="str">
            <v>Whitby Hydro Electric Corporation</v>
          </cell>
        </row>
        <row r="78">
          <cell r="AA78" t="str">
            <v>Woodstock Hydro Services Inc.</v>
          </cell>
        </row>
        <row r="79">
          <cell r="AA79" t="str">
            <v>Ottawa River Power Corporation</v>
          </cell>
        </row>
        <row r="80">
          <cell r="AA80" t="str">
            <v>Parry Sound Power Corporation</v>
          </cell>
        </row>
        <row r="81">
          <cell r="AA81" t="str">
            <v>Peterborough Distribution Inc.</v>
          </cell>
        </row>
        <row r="82">
          <cell r="AA82" t="str">
            <v>PowerStream Inc.</v>
          </cell>
        </row>
        <row r="83">
          <cell r="AA83" t="str">
            <v>PUC Distribution Inc.</v>
          </cell>
        </row>
        <row r="84">
          <cell r="AA84" t="str">
            <v>Renfrew Hydro Inc.</v>
          </cell>
        </row>
        <row r="85">
          <cell r="AA85" t="str">
            <v>Rideau St. Lawrence Distribution Inc.</v>
          </cell>
        </row>
        <row r="86">
          <cell r="AA86" t="str">
            <v>St. Thomas Energy Inc.</v>
          </cell>
        </row>
        <row r="87">
          <cell r="AA87" t="str">
            <v>Sioux Lookout Hydro Inc.</v>
          </cell>
        </row>
        <row r="88">
          <cell r="AA88" t="str">
            <v>Thunder Bay Hydro Electricity Distribution</v>
          </cell>
        </row>
        <row r="89">
          <cell r="AA89" t="str">
            <v>Tillsonburg Hydro Inc.</v>
          </cell>
        </row>
        <row r="90">
          <cell r="AA90" t="str">
            <v>Toronto Hydro-Electric System Limited</v>
          </cell>
        </row>
        <row r="91">
          <cell r="AA91" t="str">
            <v>Veridian Connections Inc.</v>
          </cell>
        </row>
        <row r="92">
          <cell r="AA92" t="str">
            <v>Wasaga Distribution Inc.</v>
          </cell>
        </row>
        <row r="93">
          <cell r="AA93" t="str">
            <v>Waterloo North Hydro Inc.</v>
          </cell>
        </row>
        <row r="94">
          <cell r="AA94" t="str">
            <v>Welland Hydro Electric System Corp.</v>
          </cell>
        </row>
        <row r="95">
          <cell r="AA95" t="str">
            <v>Wellington North Power Inc.</v>
          </cell>
        </row>
        <row r="96">
          <cell r="AA96" t="str">
            <v>West Coast Huron Energy Inc.</v>
          </cell>
        </row>
        <row r="97">
          <cell r="AA97" t="str">
            <v>Westario Power Inc.</v>
          </cell>
        </row>
        <row r="98">
          <cell r="AA98" t="str">
            <v>Whitby Hydro Electric Corporation</v>
          </cell>
        </row>
        <row r="99">
          <cell r="AA99"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8" refreshError="1"/>
      <sheetData sheetId="59" refreshError="1"/>
      <sheetData sheetId="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Corporation</v>
          </cell>
        </row>
        <row r="7">
          <cell r="AA7" t="str">
            <v>Brant County Power Inc.</v>
          </cell>
        </row>
        <row r="8">
          <cell r="AA8" t="str">
            <v>Brantford Power Inc.</v>
          </cell>
        </row>
        <row r="9">
          <cell r="AA9" t="str">
            <v>Burlington Hydro Inc.</v>
          </cell>
        </row>
        <row r="10">
          <cell r="AA10" t="str">
            <v>Cambridge and North Dumfries Hydro Inc.</v>
          </cell>
        </row>
        <row r="11">
          <cell r="AA11" t="str">
            <v>Canadian Niagara Power Inc.</v>
          </cell>
        </row>
        <row r="12">
          <cell r="AA12" t="str">
            <v>Centre Wellington Hydro Ltd.</v>
          </cell>
        </row>
        <row r="13">
          <cell r="AA13" t="str">
            <v>Chapleau Public Utilities Corporation</v>
          </cell>
        </row>
        <row r="14">
          <cell r="AA14" t="str">
            <v>COLLUS PowerStream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Corporation</v>
          </cell>
        </row>
        <row r="21">
          <cell r="AA21" t="str">
            <v>Espanola Regional Hydro Distribution Corporation</v>
          </cell>
        </row>
        <row r="22">
          <cell r="AA22" t="str">
            <v>Essex Powerlines Corporation</v>
          </cell>
        </row>
        <row r="23">
          <cell r="AA23" t="str">
            <v>Festival Hydro Inc.</v>
          </cell>
        </row>
        <row r="24">
          <cell r="E24">
            <v>2016</v>
          </cell>
          <cell r="AA24" t="str">
            <v>Fort Albany Power Corporation</v>
          </cell>
        </row>
        <row r="25">
          <cell r="AA25" t="str">
            <v>Fort Frances Power Corporation</v>
          </cell>
        </row>
        <row r="26">
          <cell r="E26">
            <v>2015</v>
          </cell>
          <cell r="AA26" t="str">
            <v>Greater Sudbury Hydro Inc.</v>
          </cell>
        </row>
        <row r="27">
          <cell r="AA27" t="str">
            <v>Grimsby Power Inc.</v>
          </cell>
        </row>
        <row r="28">
          <cell r="E28">
            <v>2011</v>
          </cell>
          <cell r="AA28" t="str">
            <v>Guelph Hydro Electric Systems Inc.</v>
          </cell>
        </row>
        <row r="29">
          <cell r="AA29" t="str">
            <v>Haldimand County Hydro Inc.</v>
          </cell>
        </row>
        <row r="30">
          <cell r="AA30" t="str">
            <v>Halton Hills Hydro Inc.</v>
          </cell>
        </row>
        <row r="31">
          <cell r="AA31" t="str">
            <v>Hearst Power Distribution Company Limited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Innpower Corporation</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Newmarket-Tay Power Distribution Ltd.</v>
          </cell>
        </row>
        <row r="50">
          <cell r="AA50" t="str">
            <v>Niagara Peninsula Energy Inc.</v>
          </cell>
        </row>
        <row r="51">
          <cell r="AA51" t="str">
            <v>Niagara-on-the-Lake Hydro Inc.</v>
          </cell>
        </row>
        <row r="52">
          <cell r="AA52" t="str">
            <v>Norfolk Power Distribution Inc.</v>
          </cell>
        </row>
        <row r="53">
          <cell r="AA53" t="str">
            <v>North Bay Hydro Distribution Limited</v>
          </cell>
        </row>
        <row r="54">
          <cell r="AA54" t="str">
            <v>Northern Ontario Wires Inc.</v>
          </cell>
        </row>
        <row r="55">
          <cell r="AA55" t="str">
            <v>Oakville Hydro Electricity Distribution Inc.</v>
          </cell>
        </row>
        <row r="56">
          <cell r="AA56" t="str">
            <v>Orangeville Hydro Limited</v>
          </cell>
        </row>
        <row r="57">
          <cell r="AA57" t="str">
            <v>Orillia Power Distribution Corporation</v>
          </cell>
        </row>
        <row r="58">
          <cell r="AA58" t="str">
            <v>Oshawa PUC Networks Inc.</v>
          </cell>
        </row>
        <row r="59">
          <cell r="AA59" t="str">
            <v>Ottawa River Power Corporation</v>
          </cell>
        </row>
        <row r="60">
          <cell r="AA60" t="str">
            <v>Peterborough Distribution Incorporated</v>
          </cell>
        </row>
        <row r="61">
          <cell r="AA61" t="str">
            <v>PowerStream Inc.</v>
          </cell>
        </row>
        <row r="62">
          <cell r="AA62" t="str">
            <v>PUC Distribution Inc.</v>
          </cell>
        </row>
        <row r="63">
          <cell r="AA63" t="str">
            <v>Renfrew Hydro Inc.</v>
          </cell>
        </row>
        <row r="64">
          <cell r="AA64" t="str">
            <v>Rideau St. Lawrence Distribution Inc.</v>
          </cell>
        </row>
        <row r="65">
          <cell r="AA65" t="str">
            <v>Sioux Lookout Hydro Inc.</v>
          </cell>
        </row>
        <row r="66">
          <cell r="AA66" t="str">
            <v>St. Thomas Energy Inc.</v>
          </cell>
        </row>
        <row r="67">
          <cell r="AA67" t="str">
            <v>Thunder Bay Hydro Electricity Distribution Inc.</v>
          </cell>
        </row>
        <row r="68">
          <cell r="AA68" t="str">
            <v>Tillsonburg Hydro Inc.</v>
          </cell>
        </row>
        <row r="69">
          <cell r="AA69" t="str">
            <v>Toronto Hydro-Electric System Limited</v>
          </cell>
        </row>
        <row r="70">
          <cell r="AA70" t="str">
            <v>Veridian Connections Inc.</v>
          </cell>
        </row>
        <row r="71">
          <cell r="AA71" t="str">
            <v>Wasaga Distribution Inc.</v>
          </cell>
        </row>
        <row r="72">
          <cell r="AA72" t="str">
            <v>Waterloo North Hydro Inc.</v>
          </cell>
        </row>
        <row r="73">
          <cell r="AA73" t="str">
            <v>Welland Hydro-Electric System Corp.</v>
          </cell>
        </row>
        <row r="74">
          <cell r="AA74" t="str">
            <v>Wellington North Power Inc.</v>
          </cell>
        </row>
        <row r="75">
          <cell r="AA75" t="str">
            <v>West Coast Huron Energy Inc.</v>
          </cell>
        </row>
        <row r="76">
          <cell r="AA76" t="str">
            <v>Westario Power Inc.</v>
          </cell>
        </row>
        <row r="77">
          <cell r="AA77" t="str">
            <v>Whitby Hydro Electric Corporation</v>
          </cell>
        </row>
        <row r="78">
          <cell r="AA7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1">
          <cell r="Z1" t="str">
            <v>Account History</v>
          </cell>
          <cell r="AA1" t="str">
            <v>Account set up charge/change of occupancy charge (plus credit agency costs if applicable)</v>
          </cell>
        </row>
        <row r="2">
          <cell r="A2" t="str">
            <v>DISTRIBUTED GENERATION [DGEN]</v>
          </cell>
          <cell r="L2" t="str">
            <v>Total Loss Factor – Primary Metered Customer</v>
          </cell>
          <cell r="N2" t="str">
            <v>$</v>
          </cell>
          <cell r="Z2" t="str">
            <v>Account set up charge/change of occupancy charge</v>
          </cell>
          <cell r="AA2" t="str">
            <v>Administrative Billing Charge</v>
          </cell>
        </row>
        <row r="3">
          <cell r="A3" t="str">
            <v>EMBEDDED DISTRIBUTOR</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EMBEDDED DISTRIBUTOR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SINGLE PHASE ENERGY-BILLED [F1]</v>
          </cell>
          <cell r="L5" t="str">
            <v>Total Loss Factor – Secondary Metered Customer</v>
          </cell>
          <cell r="N5" t="str">
            <v>$/kVA</v>
          </cell>
          <cell r="Z5" t="str">
            <v>Arrears certificate</v>
          </cell>
          <cell r="AA5" t="str">
            <v>Collection of account charge – no disconnection</v>
          </cell>
        </row>
        <row r="6">
          <cell r="A6" t="str">
            <v>FARMS - THREE PHASE ENERGY-BILLED [F3]</v>
          </cell>
          <cell r="L6" t="str">
            <v>Total Loss Factor – Secondary Metered Customer &lt; 5,000 kW</v>
          </cell>
          <cell r="Z6" t="str">
            <v>Arrears certificate (credit reference)</v>
          </cell>
          <cell r="AA6" t="str">
            <v>Collection of account charge – no disconnection – after regular hours</v>
          </cell>
        </row>
        <row r="7">
          <cell r="A7" t="str">
            <v>GENERAL SERVICE - COMMERCIAL</v>
          </cell>
        </row>
        <row r="8">
          <cell r="A8" t="str">
            <v>GENERAL SERVICE - INSTITUTIONAL</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2,999 KW</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 INTERVAL METERS</v>
          </cell>
          <cell r="L11" t="str">
            <v>Distribution Loss Factor - Primary Metered Customer &lt; 5,000 kW</v>
          </cell>
          <cell r="Z11" t="str">
            <v>Credit check (plus credit agency costs)</v>
          </cell>
          <cell r="AA11" t="str">
            <v>Credit Card Convenience Charge</v>
          </cell>
        </row>
        <row r="12">
          <cell r="A12" t="str">
            <v>GENERAL SERVICE 1,000 TO 4,999 KW (CO-GENERATION)</v>
          </cell>
          <cell r="L12" t="str">
            <v>Distribution Loss Factor - Primary Metered Customer &gt; 5,000 kW</v>
          </cell>
          <cell r="Z12" t="str">
            <v>Credit reference Letter</v>
          </cell>
          <cell r="AA12" t="str">
            <v>Disconnect/Reconnect at meter – after regular hours</v>
          </cell>
        </row>
        <row r="13">
          <cell r="A13" t="str">
            <v>GENERAL SERVICE 1,500 TO 4,999 KW</v>
          </cell>
        </row>
        <row r="14">
          <cell r="A14" t="str">
            <v>GENERAL SERVICE 2,500 TO 4,999 KW</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INTERMEDIATE USE</v>
          </cell>
          <cell r="Z16" t="str">
            <v>Dispute Test – Commercial self contained -- MC</v>
          </cell>
          <cell r="AA16" t="str">
            <v>Disconnect/Reconnect at pole – during regular hours</v>
          </cell>
        </row>
        <row r="17">
          <cell r="A17" t="str">
            <v>GENERAL SERVICE 3,000 TO 4,999 KW - INTERVAL METERED</v>
          </cell>
          <cell r="Z17" t="str">
            <v>Dispute Test – Commercial TT -- MC</v>
          </cell>
          <cell r="AA17" t="str">
            <v>Disconnect/Reconnect Charge – At Meter – After Hours</v>
          </cell>
        </row>
        <row r="18">
          <cell r="A18" t="str">
            <v>GENERAL SERVICE 3,000 TO 4,999 KW - TIME OF USE</v>
          </cell>
          <cell r="Z18" t="str">
            <v>Dispute Test – Residential</v>
          </cell>
          <cell r="AA18" t="str">
            <v>Disconnect/Reconnect Charge – At Meter – During Regular Hours</v>
          </cell>
        </row>
        <row r="19">
          <cell r="A19" t="str">
            <v>GENERAL SERVICE 50 TO 1,000 KW</v>
          </cell>
          <cell r="Z19" t="str">
            <v>Duplicate Invoices for previous billing</v>
          </cell>
          <cell r="AA19" t="str">
            <v>Disconnect/Reconnect Charge – At Pole – After Hours</v>
          </cell>
        </row>
        <row r="20">
          <cell r="A20" t="str">
            <v>GENERAL SERVICE 50 TO 1,000 KW - INTERVAL METERS</v>
          </cell>
          <cell r="Z20" t="str">
            <v>Easement Letter</v>
          </cell>
          <cell r="AA20" t="str">
            <v>Disconnect/Reconnect Charge – At Pole – During Regular Hours</v>
          </cell>
        </row>
        <row r="21">
          <cell r="A21" t="str">
            <v>GENERAL SERVICE 50 TO 1,000 KW - NON INTERVAL METERS</v>
          </cell>
          <cell r="Z21" t="str">
            <v>Income Tax Letter</v>
          </cell>
          <cell r="AA21" t="str">
            <v>Disconnect/Reconnect Charges for non payment of account - At Meter After Hours</v>
          </cell>
        </row>
        <row r="22">
          <cell r="A22" t="str">
            <v>GENERAL SERVICE 50 TO 1,499 KW</v>
          </cell>
          <cell r="Z22" t="str">
            <v>Interval Meter Interrogation</v>
          </cell>
          <cell r="AA22" t="str">
            <v>Disconnect/Reconnect charges for non payment of account – at meter after regular hours</v>
          </cell>
        </row>
        <row r="23">
          <cell r="A23" t="str">
            <v>GENERAL SERVICE 50 TO 1,499 KW - INTERVAL METERED</v>
          </cell>
          <cell r="Z23" t="str">
            <v>Interval meter request change</v>
          </cell>
          <cell r="AA23" t="str">
            <v>Disconnect/Reconnect Charges for non payment of account - At Meter During Regular Hours</v>
          </cell>
        </row>
        <row r="24">
          <cell r="A24" t="str">
            <v>GENERAL SERVICE 50 TO 2,499 KW</v>
          </cell>
          <cell r="Z24" t="str">
            <v>Legal letter</v>
          </cell>
          <cell r="AA24" t="str">
            <v>Disconnect/Reconnect charges for non payment of account – at meter during regular hours</v>
          </cell>
        </row>
        <row r="25">
          <cell r="A25" t="str">
            <v>GENERAL SERVICE 50 TO 2,999 KW</v>
          </cell>
          <cell r="Z25" t="str">
            <v>Legal letter charge</v>
          </cell>
          <cell r="AA25" t="str">
            <v>Disconnect/Reconnect charges for non payment of account – at pole after regular hours</v>
          </cell>
        </row>
        <row r="26">
          <cell r="A26" t="str">
            <v>GENERAL SERVICE 50 TO 2,999 KW - INTERVAL METERED</v>
          </cell>
          <cell r="Z26" t="str">
            <v>Meter dispute charge plus Measurement Canada fees (if meter found correct)</v>
          </cell>
          <cell r="AA26" t="str">
            <v>Disconnect/Reconnect charges for non payment of account – at pole during regular hours</v>
          </cell>
        </row>
        <row r="27">
          <cell r="A27" t="str">
            <v>GENERAL SERVICE 50 TO 2,999 KW - TIME OF USE</v>
          </cell>
          <cell r="Z27" t="str">
            <v>Notification charge</v>
          </cell>
          <cell r="AA27" t="str">
            <v>Disconnect/Reconnection for &gt;300 volts - after regular hours</v>
          </cell>
        </row>
        <row r="28">
          <cell r="A28" t="str">
            <v>GENERAL SERVICE 50 TO 4,999 KW</v>
          </cell>
          <cell r="Z28" t="str">
            <v>Pulling Post Dated Cheques</v>
          </cell>
          <cell r="AA28" t="str">
            <v>Disconnect/Reconnection for &gt;300 volts - during regular hours</v>
          </cell>
        </row>
        <row r="29">
          <cell r="A29" t="str">
            <v>GENERAL SERVICE 50 TO 4,999 KW - INTERVAL METERED</v>
          </cell>
          <cell r="Z29" t="str">
            <v>Request for other billing information</v>
          </cell>
          <cell r="AA29" t="str">
            <v>Disposal of Concrete Poles</v>
          </cell>
        </row>
        <row r="30">
          <cell r="A30" t="str">
            <v>GENERAL SERVICE 50 TO 4,999 KW - TIME OF USE</v>
          </cell>
          <cell r="Z30" t="str">
            <v>Returned cheque (plus bank charges)</v>
          </cell>
          <cell r="AA30" t="str">
            <v>Dispute Test – Commercial TT -- MC</v>
          </cell>
        </row>
        <row r="31">
          <cell r="A31" t="str">
            <v>GENERAL SERVICE 50 TO 4,999 KW (COGENERATION)</v>
          </cell>
          <cell r="Z31" t="str">
            <v>Returned cheque charge (plus bank charges)</v>
          </cell>
          <cell r="AA31" t="str">
            <v>Install/Remove load control device – after regular hours</v>
          </cell>
        </row>
        <row r="32">
          <cell r="A32" t="str">
            <v>GENERAL SERVICE 50 TO 4,999 KW (FORMERLY TIME OF USE)</v>
          </cell>
          <cell r="Z32" t="str">
            <v>Special Billing Service (aggregation)</v>
          </cell>
          <cell r="AA32" t="str">
            <v>Install/Remove load control device – during regular hours</v>
          </cell>
        </row>
        <row r="33">
          <cell r="A33" t="str">
            <v>GENERAL SERVICE 50 TO 499 KW</v>
          </cell>
          <cell r="Z33" t="str">
            <v>Special Billing Service (sub-metering charge per meter)</v>
          </cell>
          <cell r="AA33" t="str">
            <v>Interval Meter Interrogation</v>
          </cell>
        </row>
        <row r="34">
          <cell r="A34" t="str">
            <v>GENERAL SERVICE 50 TO 699 KW</v>
          </cell>
          <cell r="Z34" t="str">
            <v>Special meter reads</v>
          </cell>
          <cell r="AA34" t="str">
            <v>Interval Meter Load Management Tool Charge $/month</v>
          </cell>
        </row>
        <row r="35">
          <cell r="A35" t="str">
            <v>GENERAL SERVICE 50 TO 999 KW</v>
          </cell>
          <cell r="Z35" t="str">
            <v>Statement of Account</v>
          </cell>
          <cell r="AA35" t="str">
            <v>Interval meter request change</v>
          </cell>
        </row>
        <row r="36">
          <cell r="A36" t="str">
            <v>GENERAL SERVICE 50 TO 999 KW - INTERVAL METERED</v>
          </cell>
          <cell r="Z36" t="str">
            <v>Unprocessed Payment Charge (plus bank charges)</v>
          </cell>
          <cell r="AA36" t="str">
            <v>Late Payment – per annum</v>
          </cell>
        </row>
        <row r="37">
          <cell r="A37" t="str">
            <v>GENERAL SERVICE 500 TO 4,999 KW</v>
          </cell>
          <cell r="AA37" t="str">
            <v>Late Payment – per month</v>
          </cell>
        </row>
        <row r="38">
          <cell r="A38" t="str">
            <v>GENERAL SERVICE 700 TO 4,999 KW</v>
          </cell>
          <cell r="AA38" t="str">
            <v>Layout fees</v>
          </cell>
        </row>
        <row r="39">
          <cell r="A39" t="str">
            <v>GENERAL SERVICE DEMAND BILLED (50 KW AND ABOVE) [GSD]</v>
          </cell>
          <cell r="AA39" t="str">
            <v>Meter dispute charge plus Measurement Canada fees (if meter found correct)</v>
          </cell>
        </row>
        <row r="40">
          <cell r="A40" t="str">
            <v>GENERAL SERVICE ENERGY BILLED (LESS THAN 50 KW) [GSE-METERED]</v>
          </cell>
          <cell r="AA40" t="str">
            <v>Meter Interrogation Charge</v>
          </cell>
        </row>
        <row r="41">
          <cell r="A41" t="str">
            <v>GENERAL SERVICE ENERGY BILLED (LESS THAN TO 50 KW) [GSE-UNMETERED]</v>
          </cell>
          <cell r="AA41" t="str">
            <v>Missed Service Appointment</v>
          </cell>
        </row>
        <row r="42">
          <cell r="A42" t="str">
            <v>GENERAL SERVICE EQUAL TO OR GREATER THAN 1,500 KW</v>
          </cell>
          <cell r="AA42" t="str">
            <v>Norfolk Pole Rentals – Billed</v>
          </cell>
        </row>
        <row r="43">
          <cell r="A43" t="str">
            <v>GENERAL SERVICE EQUAL TO OR GREATER THAN 1,500 KW - INTERVAL METERED</v>
          </cell>
          <cell r="AA43" t="str">
            <v>Optional Interval/TOU Meter charge $/month</v>
          </cell>
        </row>
        <row r="44">
          <cell r="A44" t="str">
            <v>GENERAL SERVICE GREATER THAN 1,000 KW</v>
          </cell>
          <cell r="AA44" t="str">
            <v>Overtime Locate</v>
          </cell>
        </row>
        <row r="45">
          <cell r="A45" t="str">
            <v>GENERAL SERVICE GREATER THAN 50 kW - WMP</v>
          </cell>
          <cell r="AA45" t="str">
            <v>Owner Requested Disconnection/Reconnection – after regular hours</v>
          </cell>
        </row>
        <row r="46">
          <cell r="A46" t="str">
            <v>GENERAL SERVICE INTERMEDIATE 1,000 TO 4,999 KW</v>
          </cell>
          <cell r="AA46" t="str">
            <v>Owner Requested Disconnection/Reconnection – during regular hours</v>
          </cell>
        </row>
        <row r="47">
          <cell r="A47" t="str">
            <v>GENERAL SERVICE INTERMEDIATE RATE CLASS 1,000 TO 4,999 KW (FORMERLY GENERAL SERVICE &gt; 50 KW CUSTOMERS)</v>
          </cell>
          <cell r="AA47" t="str">
            <v>Returned cheque (plus bank charges)</v>
          </cell>
        </row>
        <row r="48">
          <cell r="A48" t="str">
            <v>GENERAL SERVICE INTERMEDIATE RATE CLASS 1,000 TO 4,999 KW (FORMERLY LARGE USE CUSTOMERS)</v>
          </cell>
          <cell r="AA48" t="str">
            <v>Rural system expansion / line connection fee</v>
          </cell>
        </row>
        <row r="49">
          <cell r="A49" t="str">
            <v>GENERAL SERVICE LESS THAN 50 KW</v>
          </cell>
          <cell r="AA49" t="str">
            <v>Same Day Open Trench</v>
          </cell>
        </row>
        <row r="50">
          <cell r="A50" t="str">
            <v>GENERAL SERVICE LESS THAN 50 KW - SINGLE PHASE ENERGY-BILLED [G1]</v>
          </cell>
          <cell r="AA50" t="str">
            <v>Scheduled Day Open Trench</v>
          </cell>
        </row>
        <row r="51">
          <cell r="A51" t="str">
            <v>GENERAL SERVICE LESS THAN 50 KW - THREE PHASE ENERGY-BILLED [G3]</v>
          </cell>
          <cell r="AA51" t="str">
            <v>Service call – after regular hours</v>
          </cell>
        </row>
        <row r="52">
          <cell r="A52" t="str">
            <v>GENERAL SERVICE LESS THAN 50 KW - TRANSMISSION CLASS ENERGY-BILLED [T]</v>
          </cell>
          <cell r="AA52" t="str">
            <v>Service call – customer owned equipment</v>
          </cell>
        </row>
        <row r="53">
          <cell r="A53" t="str">
            <v>GENERAL SERVICE LESS THAN 50 KW - URBAN ENERGY-BILLED [UG]</v>
          </cell>
          <cell r="AA53" t="str">
            <v>Service Call – Customer-owned Equipment – After Regular Hours</v>
          </cell>
        </row>
        <row r="54">
          <cell r="A54" t="str">
            <v>GENERAL SERVICE SINGLE PHASE - G1</v>
          </cell>
          <cell r="AA54" t="str">
            <v>Service Call – Customer-owned Equipment – During Regular Hours</v>
          </cell>
        </row>
        <row r="55">
          <cell r="A55" t="str">
            <v>GENERAL SERVICE THREE PHASE - G3</v>
          </cell>
          <cell r="AA55" t="str">
            <v>Service Charge for onsite interrogation of interval meter due to customer phone line failure - required weekly until line repaired $ 6</v>
          </cell>
        </row>
        <row r="56">
          <cell r="A56" t="str">
            <v>INTERMEDIATE USERS</v>
          </cell>
          <cell r="AA56" t="str">
            <v>Service Layout - Commercial</v>
          </cell>
        </row>
        <row r="57">
          <cell r="A57" t="str">
            <v>INTERMEDIATE WITH SELF GENERATION</v>
          </cell>
          <cell r="AA57" t="str">
            <v>Service Layout - ResidentiaI</v>
          </cell>
        </row>
        <row r="58">
          <cell r="A58" t="str">
            <v>LARGE USE</v>
          </cell>
          <cell r="AA58" t="str">
            <v>Special Billing Service (sub-metering charge per meter)</v>
          </cell>
        </row>
        <row r="59">
          <cell r="A59" t="str">
            <v>LARGE USE - 3TS</v>
          </cell>
          <cell r="AA59" t="str">
            <v>Special meter reads</v>
          </cell>
        </row>
        <row r="60">
          <cell r="A60" t="str">
            <v>LARGE USE - FORD ANNEX</v>
          </cell>
          <cell r="AA60" t="str">
            <v>Specific Charge for Access to the Power Poles - $/pole/year</v>
          </cell>
        </row>
        <row r="61">
          <cell r="A61" t="str">
            <v>LARGE USE - REGULAR</v>
          </cell>
          <cell r="AA61" t="str">
            <v>Specific Charge for Bell Canada Access to the Power Poles – per pole/year</v>
          </cell>
        </row>
        <row r="62">
          <cell r="A62" t="str">
            <v>LARGE USE &gt; 5000 KW</v>
          </cell>
          <cell r="AA62" t="str">
            <v>Switching for company maintenance – Charge based on Time and Materials</v>
          </cell>
        </row>
        <row r="63">
          <cell r="A63" t="str">
            <v>microFIT</v>
          </cell>
          <cell r="AA63" t="str">
            <v>Temporary Service – Install &amp; remove – overhead – no transformer</v>
          </cell>
        </row>
        <row r="64">
          <cell r="A64" t="str">
            <v>RESIDENTIAL</v>
          </cell>
          <cell r="AA64" t="str">
            <v>Temporary Service – Install &amp; remove – overhead – with transformer</v>
          </cell>
        </row>
        <row r="65">
          <cell r="A65" t="str">
            <v>RESIDENTIAL - HENSALL</v>
          </cell>
          <cell r="AA65" t="str">
            <v>Temporary Service – Install &amp; remove – underground – no transformer</v>
          </cell>
        </row>
        <row r="66">
          <cell r="A66" t="str">
            <v>RESIDENTIAL - HIGH DENSITY [R1]</v>
          </cell>
          <cell r="AA66" t="str">
            <v>Temporary service install &amp; remove – overhead – no transformer</v>
          </cell>
        </row>
        <row r="67">
          <cell r="A67" t="str">
            <v>RESIDENTIAL - LOW DENSITY [R2]</v>
          </cell>
          <cell r="AA67" t="str">
            <v>Temporary Service Install &amp; Remove – Overhead – With Transformer</v>
          </cell>
        </row>
        <row r="68">
          <cell r="A68" t="str">
            <v>RESIDENTIAL - MEDIUM DENSITY [R1]</v>
          </cell>
          <cell r="AA68" t="str">
            <v>Temporary Service Install &amp; Remove – Underground – No Transformer</v>
          </cell>
        </row>
        <row r="69">
          <cell r="A69" t="str">
            <v>RESIDENTIAL - NORMAL DENSITY [R2]</v>
          </cell>
          <cell r="AA69" t="str">
            <v>Temporary service installation and removal – overhead – no transformer</v>
          </cell>
        </row>
        <row r="70">
          <cell r="A70" t="str">
            <v>RESIDENTIAL - TIME OF USE</v>
          </cell>
          <cell r="AA70" t="str">
            <v>Temporary service installation and removal – overhead – with transformer</v>
          </cell>
        </row>
        <row r="71">
          <cell r="A71" t="str">
            <v>RESIDENTIAL - URBAN [UR]</v>
          </cell>
          <cell r="AA71" t="str">
            <v>Temporary service installation and removal – underground – no transformer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refreshError="1"/>
      <sheetData sheetId="5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2:O37"/>
  <sheetViews>
    <sheetView showGridLines="0" tabSelected="1" view="pageLayout" zoomScaleNormal="100" workbookViewId="0">
      <selection activeCell="L1" sqref="L1"/>
    </sheetView>
  </sheetViews>
  <sheetFormatPr defaultColWidth="9.140625" defaultRowHeight="12.75" x14ac:dyDescent="0.2"/>
  <cols>
    <col min="1" max="1" width="14.85546875" style="71" bestFit="1" customWidth="1"/>
    <col min="2" max="3" width="14.140625" style="71" customWidth="1"/>
    <col min="4" max="4" width="15.42578125" style="71" customWidth="1"/>
    <col min="5" max="5" width="14.42578125" style="71" bestFit="1" customWidth="1"/>
    <col min="6" max="6" width="9.140625" style="71"/>
    <col min="7" max="7" width="9.140625" style="71" customWidth="1"/>
    <col min="8" max="8" width="9.140625" style="71"/>
    <col min="9" max="9" width="0" style="71" hidden="1" customWidth="1"/>
    <col min="10" max="10" width="9.140625" style="71"/>
    <col min="11" max="11" width="8.7109375" style="71" bestFit="1" customWidth="1"/>
    <col min="12" max="12" width="9.140625" style="71" customWidth="1"/>
    <col min="13" max="13" width="8.85546875" style="71" customWidth="1"/>
    <col min="14" max="14" width="9" style="71" customWidth="1"/>
    <col min="15" max="16384" width="9.140625" style="71"/>
  </cols>
  <sheetData>
    <row r="2" spans="1:15" ht="25.5" x14ac:dyDescent="0.2">
      <c r="A2" s="126" t="s">
        <v>95</v>
      </c>
      <c r="B2" s="127"/>
      <c r="C2" s="127"/>
      <c r="D2" s="127"/>
      <c r="E2" s="128"/>
    </row>
    <row r="3" spans="1:15" ht="63.75" x14ac:dyDescent="0.2">
      <c r="A3" s="129" t="s">
        <v>88</v>
      </c>
      <c r="B3" s="129" t="s">
        <v>72</v>
      </c>
      <c r="C3" s="129" t="s">
        <v>86</v>
      </c>
      <c r="D3" s="129" t="s">
        <v>74</v>
      </c>
      <c r="E3" s="129" t="s">
        <v>87</v>
      </c>
      <c r="O3" s="150"/>
    </row>
    <row r="4" spans="1:15" x14ac:dyDescent="0.2">
      <c r="A4" s="110" t="s">
        <v>89</v>
      </c>
      <c r="B4" s="111">
        <f>'2016 Bill Impact'!C14</f>
        <v>12.98</v>
      </c>
      <c r="C4" s="111">
        <f>'2016 Bill Impact'!C15</f>
        <v>-0.13</v>
      </c>
      <c r="D4" s="112">
        <f>'2016 Bill Impact'!C17</f>
        <v>2.2200000000000001E-2</v>
      </c>
      <c r="E4" s="112">
        <f>'2016 Bill Impact'!C18</f>
        <v>-2.0000000000000001E-4</v>
      </c>
    </row>
    <row r="5" spans="1:15" x14ac:dyDescent="0.2">
      <c r="A5" s="110" t="s">
        <v>90</v>
      </c>
      <c r="B5" s="111">
        <f>'2016 Bill Impact'!G14</f>
        <v>16.38</v>
      </c>
      <c r="C5" s="111">
        <f>'2016 Bill Impact'!G15</f>
        <v>-0.1638</v>
      </c>
      <c r="D5" s="112">
        <f>'2016 Bill Impact'!G17</f>
        <v>1.78E-2</v>
      </c>
      <c r="E5" s="112">
        <f>'2016 Bill Impact'!G18</f>
        <v>-2.0000000000000001E-4</v>
      </c>
    </row>
    <row r="6" spans="1:15" x14ac:dyDescent="0.2">
      <c r="A6" s="110" t="s">
        <v>91</v>
      </c>
      <c r="B6" s="111">
        <f>'2017 Bill Impact'!G14</f>
        <v>19.77</v>
      </c>
      <c r="C6" s="111">
        <f>'2017 Bill Impact'!G15</f>
        <v>-0.19769999999999999</v>
      </c>
      <c r="D6" s="112">
        <f>'2017 Bill Impact'!G17</f>
        <v>1.3299999999999999E-2</v>
      </c>
      <c r="E6" s="112">
        <f>'2017 Bill Impact'!G18</f>
        <v>-1E-4</v>
      </c>
    </row>
    <row r="7" spans="1:15" x14ac:dyDescent="0.2">
      <c r="A7" s="110" t="s">
        <v>92</v>
      </c>
      <c r="B7" s="111">
        <f>'2018 Bill Impact'!G14</f>
        <v>23.18</v>
      </c>
      <c r="C7" s="111">
        <f>'2018 Bill Impact'!G15</f>
        <v>-0.23180000000000001</v>
      </c>
      <c r="D7" s="112">
        <f>'2018 Bill Impact'!G17</f>
        <v>8.8999999999999999E-3</v>
      </c>
      <c r="E7" s="112">
        <f>'2018 Bill Impact'!G18</f>
        <v>-1E-4</v>
      </c>
    </row>
    <row r="8" spans="1:15" x14ac:dyDescent="0.2">
      <c r="A8" s="110" t="s">
        <v>93</v>
      </c>
      <c r="B8" s="111">
        <f>'2019 Bill Impact'!G14</f>
        <v>26.57</v>
      </c>
      <c r="C8" s="111">
        <f>'2019 Bill Impact'!G15</f>
        <v>-0.26569999999999999</v>
      </c>
      <c r="D8" s="112">
        <f>'2019 Bill Impact'!G17</f>
        <v>4.4000000000000003E-3</v>
      </c>
      <c r="E8" s="244">
        <f>'2019 Bill Impact'!G18</f>
        <v>-4.0000000000000003E-5</v>
      </c>
    </row>
    <row r="9" spans="1:15" x14ac:dyDescent="0.2">
      <c r="A9" s="110" t="s">
        <v>94</v>
      </c>
      <c r="B9" s="111">
        <f>'2020 Bill Impact'!G14</f>
        <v>29.98</v>
      </c>
      <c r="C9" s="111">
        <f>'2020 Bill Impact'!G15</f>
        <v>-0.29980000000000001</v>
      </c>
      <c r="D9" s="112">
        <f>'2020 Bill Impact'!G17</f>
        <v>0</v>
      </c>
      <c r="E9" s="112">
        <f>'2020 Bill Impact'!G18</f>
        <v>0</v>
      </c>
    </row>
    <row r="10" spans="1:15" x14ac:dyDescent="0.2">
      <c r="E10" s="123"/>
    </row>
    <row r="11" spans="1:15" ht="15.75" customHeight="1" x14ac:dyDescent="0.2"/>
    <row r="13" spans="1:15" s="150" customFormat="1" ht="25.5" x14ac:dyDescent="0.2">
      <c r="A13" s="124" t="s">
        <v>115</v>
      </c>
      <c r="B13" s="125"/>
      <c r="C13" s="125"/>
      <c r="D13" s="125"/>
      <c r="E13" s="162"/>
    </row>
    <row r="14" spans="1:15" x14ac:dyDescent="0.2">
      <c r="A14" s="167" t="s">
        <v>107</v>
      </c>
      <c r="B14" s="182" t="s">
        <v>98</v>
      </c>
      <c r="C14" s="181" t="s">
        <v>99</v>
      </c>
      <c r="D14" s="181" t="s">
        <v>100</v>
      </c>
      <c r="E14" s="181" t="s">
        <v>101</v>
      </c>
    </row>
    <row r="15" spans="1:15" x14ac:dyDescent="0.2">
      <c r="A15" s="156" t="s">
        <v>118</v>
      </c>
      <c r="B15" s="159">
        <f>'2016 Bill Impact'!E39</f>
        <v>64.321871062700012</v>
      </c>
      <c r="C15" s="152">
        <f>'2016 Bill Impact'!I39</f>
        <v>66.708657062700013</v>
      </c>
      <c r="D15" s="152">
        <f>'2016 Bill Impact'!K39</f>
        <v>2.3867860000000007</v>
      </c>
      <c r="E15" s="164">
        <f>'2016 Bill Impact'!L39</f>
        <v>3.7106911856985558E-2</v>
      </c>
    </row>
    <row r="16" spans="1:15" x14ac:dyDescent="0.2">
      <c r="A16" s="157" t="s">
        <v>106</v>
      </c>
      <c r="B16" s="160">
        <f>'2016 Bill Impact'!E75</f>
        <v>150.88338017599997</v>
      </c>
      <c r="C16" s="151">
        <f>'2016 Bill Impact'!I75</f>
        <v>150.70958617599999</v>
      </c>
      <c r="D16" s="151">
        <f>'2016 Bill Impact'!K75</f>
        <v>-0.17379399999998668</v>
      </c>
      <c r="E16" s="165">
        <f>'2016 Bill Impact'!L75</f>
        <v>-1.1518432301640402E-3</v>
      </c>
    </row>
    <row r="17" spans="1:5" x14ac:dyDescent="0.2">
      <c r="A17" s="158" t="s">
        <v>116</v>
      </c>
      <c r="B17" s="161">
        <f>'2016 Bill Impact'!E111</f>
        <v>268.53980032999999</v>
      </c>
      <c r="C17" s="155">
        <f>'2016 Bill Impact'!I111</f>
        <v>264.88560633000003</v>
      </c>
      <c r="D17" s="155">
        <f>'2016 Bill Impact'!K111</f>
        <v>-3.6541939999999613</v>
      </c>
      <c r="E17" s="166">
        <f>'2016 Bill Impact'!L111</f>
        <v>-1.3607643989864582E-2</v>
      </c>
    </row>
    <row r="18" spans="1:5" x14ac:dyDescent="0.2">
      <c r="A18" s="153"/>
      <c r="B18" s="160"/>
      <c r="C18" s="151"/>
      <c r="D18" s="151"/>
      <c r="E18" s="165"/>
    </row>
    <row r="19" spans="1:5" x14ac:dyDescent="0.2">
      <c r="A19" s="153"/>
      <c r="B19" s="182" t="s">
        <v>99</v>
      </c>
      <c r="C19" s="181" t="s">
        <v>102</v>
      </c>
      <c r="D19" s="181" t="s">
        <v>100</v>
      </c>
      <c r="E19" s="181" t="s">
        <v>101</v>
      </c>
    </row>
    <row r="20" spans="1:5" x14ac:dyDescent="0.2">
      <c r="A20" s="156" t="s">
        <v>118</v>
      </c>
      <c r="B20" s="171">
        <f>C15</f>
        <v>66.708657062700013</v>
      </c>
      <c r="C20" s="152">
        <f>'2017 Bill Impact'!I39</f>
        <v>69.084030062699995</v>
      </c>
      <c r="D20" s="152">
        <f>'2017 Bill Impact'!K39</f>
        <v>2.375372999999982</v>
      </c>
      <c r="E20" s="164">
        <f>'2017 Bill Impact'!L39</f>
        <v>3.5608166984494316E-2</v>
      </c>
    </row>
    <row r="21" spans="1:5" x14ac:dyDescent="0.2">
      <c r="A21" s="157" t="s">
        <v>106</v>
      </c>
      <c r="B21" s="172">
        <f>C16</f>
        <v>150.70958617599999</v>
      </c>
      <c r="C21" s="151">
        <f>'2017 Bill Impact'!I75</f>
        <v>150.524379176</v>
      </c>
      <c r="D21" s="151">
        <f>'2017 Bill Impact'!K75</f>
        <v>-0.18520699999999124</v>
      </c>
      <c r="E21" s="165">
        <f>'2017 Bill Impact'!L75</f>
        <v>-1.228899930650118E-3</v>
      </c>
    </row>
    <row r="22" spans="1:5" x14ac:dyDescent="0.2">
      <c r="A22" s="158" t="s">
        <v>116</v>
      </c>
      <c r="B22" s="173">
        <f>C17</f>
        <v>264.88560633000003</v>
      </c>
      <c r="C22" s="155">
        <f>'2017 Bill Impact'!I111</f>
        <v>261.21999933000001</v>
      </c>
      <c r="D22" s="155">
        <f>'2017 Bill Impact'!K111</f>
        <v>-3.6656070000000227</v>
      </c>
      <c r="E22" s="166">
        <f>'2017 Bill Impact'!L111</f>
        <v>-1.383845294875452E-2</v>
      </c>
    </row>
    <row r="23" spans="1:5" x14ac:dyDescent="0.2">
      <c r="A23" s="153"/>
      <c r="B23" s="154"/>
      <c r="C23" s="154"/>
      <c r="D23" s="154"/>
      <c r="E23" s="163"/>
    </row>
    <row r="24" spans="1:5" x14ac:dyDescent="0.2">
      <c r="A24" s="177"/>
      <c r="B24" s="182" t="s">
        <v>102</v>
      </c>
      <c r="C24" s="181" t="s">
        <v>103</v>
      </c>
      <c r="D24" s="181" t="s">
        <v>100</v>
      </c>
      <c r="E24" s="181" t="s">
        <v>101</v>
      </c>
    </row>
    <row r="25" spans="1:5" x14ac:dyDescent="0.2">
      <c r="A25" s="156" t="s">
        <v>118</v>
      </c>
      <c r="B25" s="174">
        <f>C20</f>
        <v>69.084030062699995</v>
      </c>
      <c r="C25" s="152">
        <f>'2018 Bill Impact'!I39</f>
        <v>71.48177706269999</v>
      </c>
      <c r="D25" s="152">
        <f>'2018 Bill Impact'!K39</f>
        <v>2.3977469999999954</v>
      </c>
      <c r="E25" s="164">
        <f>'2018 Bill Impact'!L39</f>
        <v>3.4707688561651961E-2</v>
      </c>
    </row>
    <row r="26" spans="1:5" x14ac:dyDescent="0.2">
      <c r="A26" s="157" t="s">
        <v>106</v>
      </c>
      <c r="B26" s="175">
        <f>C21</f>
        <v>150.524379176</v>
      </c>
      <c r="C26" s="151">
        <f>'2018 Bill Impact'!I75</f>
        <v>150.36154617600002</v>
      </c>
      <c r="D26" s="151">
        <f>'2018 Bill Impact'!K75</f>
        <v>-0.1628329999999778</v>
      </c>
      <c r="E26" s="165">
        <f>'2018 Bill Impact'!L75</f>
        <v>-1.0817716099634778E-3</v>
      </c>
    </row>
    <row r="27" spans="1:5" x14ac:dyDescent="0.2">
      <c r="A27" s="158" t="s">
        <v>116</v>
      </c>
      <c r="B27" s="176">
        <f>C22</f>
        <v>261.21999933000001</v>
      </c>
      <c r="C27" s="155">
        <f>'2018 Bill Impact'!I111</f>
        <v>257.57676633</v>
      </c>
      <c r="D27" s="155">
        <f>'2018 Bill Impact'!K111</f>
        <v>-3.6432330000000093</v>
      </c>
      <c r="E27" s="166">
        <f>'2018 Bill Impact'!L111</f>
        <v>-1.3946991077806059E-2</v>
      </c>
    </row>
    <row r="28" spans="1:5" x14ac:dyDescent="0.2">
      <c r="A28" s="153"/>
      <c r="B28" s="154"/>
      <c r="C28" s="154"/>
      <c r="D28" s="154"/>
      <c r="E28" s="163"/>
    </row>
    <row r="29" spans="1:5" x14ac:dyDescent="0.2">
      <c r="A29" s="153"/>
      <c r="B29" s="182" t="s">
        <v>103</v>
      </c>
      <c r="C29" s="181" t="s">
        <v>104</v>
      </c>
      <c r="D29" s="181" t="s">
        <v>100</v>
      </c>
      <c r="E29" s="181" t="s">
        <v>101</v>
      </c>
    </row>
    <row r="30" spans="1:5" x14ac:dyDescent="0.2">
      <c r="A30" s="156" t="s">
        <v>118</v>
      </c>
      <c r="B30" s="171">
        <f>C25</f>
        <v>71.48177706269999</v>
      </c>
      <c r="C30" s="152">
        <f>'2019 Bill Impact'!I39</f>
        <v>72.951568062700005</v>
      </c>
      <c r="D30" s="152">
        <f>'2019 Bill Impact'!K39</f>
        <v>1.4697910000000149</v>
      </c>
      <c r="E30" s="164">
        <f>'2019 Bill Impact'!L39</f>
        <v>2.0561757980789963E-2</v>
      </c>
    </row>
    <row r="31" spans="1:5" x14ac:dyDescent="0.2">
      <c r="A31" s="157" t="s">
        <v>106</v>
      </c>
      <c r="B31" s="172">
        <f>C26</f>
        <v>150.36154617600002</v>
      </c>
      <c r="C31" s="151">
        <f>'2019 Bill Impact'!I75</f>
        <v>149.24747917599998</v>
      </c>
      <c r="D31" s="151">
        <f>'2019 Bill Impact'!K75</f>
        <v>-1.1140670000000341</v>
      </c>
      <c r="E31" s="165">
        <f>'2019 Bill Impact'!L75</f>
        <v>-7.4092547485246074E-3</v>
      </c>
    </row>
    <row r="32" spans="1:5" x14ac:dyDescent="0.2">
      <c r="A32" s="158" t="s">
        <v>116</v>
      </c>
      <c r="B32" s="173">
        <f>C27</f>
        <v>257.57676633</v>
      </c>
      <c r="C32" s="155">
        <f>'2019 Bill Impact'!I111</f>
        <v>252.95065932999998</v>
      </c>
      <c r="D32" s="155">
        <f>'2019 Bill Impact'!K111</f>
        <v>-4.6261070000000188</v>
      </c>
      <c r="E32" s="166">
        <f>'2019 Bill Impact'!L111</f>
        <v>-1.7960109779750821E-2</v>
      </c>
    </row>
    <row r="33" spans="1:5" x14ac:dyDescent="0.2">
      <c r="A33" s="153"/>
      <c r="B33" s="154"/>
      <c r="C33" s="154"/>
      <c r="D33" s="154"/>
      <c r="E33" s="163"/>
    </row>
    <row r="34" spans="1:5" x14ac:dyDescent="0.2">
      <c r="A34" s="153"/>
      <c r="B34" s="182" t="s">
        <v>104</v>
      </c>
      <c r="C34" s="181" t="s">
        <v>105</v>
      </c>
      <c r="D34" s="181" t="s">
        <v>100</v>
      </c>
      <c r="E34" s="181" t="s">
        <v>101</v>
      </c>
    </row>
    <row r="35" spans="1:5" x14ac:dyDescent="0.2">
      <c r="A35" s="156" t="s">
        <v>118</v>
      </c>
      <c r="B35" s="168">
        <f>C30</f>
        <v>72.951568062700005</v>
      </c>
      <c r="C35" s="152">
        <f>'2020 Bill Impact'!I39</f>
        <v>75.362197062699991</v>
      </c>
      <c r="D35" s="152">
        <f>'2020 Bill Impact'!K39</f>
        <v>2.4106289999999859</v>
      </c>
      <c r="E35" s="164">
        <f>'2020 Bill Impact'!L39</f>
        <v>3.3044238307915696E-2</v>
      </c>
    </row>
    <row r="36" spans="1:5" x14ac:dyDescent="0.2">
      <c r="A36" s="157" t="s">
        <v>106</v>
      </c>
      <c r="B36" s="169">
        <f>C31</f>
        <v>149.24747917599998</v>
      </c>
      <c r="C36" s="151">
        <f>'2020 Bill Impact'!I75</f>
        <v>149.120806176</v>
      </c>
      <c r="D36" s="151">
        <f>'2020 Bill Impact'!K75</f>
        <v>-0.12667299999998249</v>
      </c>
      <c r="E36" s="165">
        <f>'2020 Bill Impact'!L75</f>
        <v>-8.4874465350670558E-4</v>
      </c>
    </row>
    <row r="37" spans="1:5" x14ac:dyDescent="0.2">
      <c r="A37" s="158" t="s">
        <v>116</v>
      </c>
      <c r="B37" s="170">
        <f>C32</f>
        <v>252.95065932999998</v>
      </c>
      <c r="C37" s="155">
        <f>'2020 Bill Impact'!I111</f>
        <v>249.37522632999995</v>
      </c>
      <c r="D37" s="155">
        <f>'2020 Bill Impact'!K111</f>
        <v>-3.5754330000000323</v>
      </c>
      <c r="E37" s="166">
        <f>'2020 Bill Impact'!L111</f>
        <v>-1.413490286789687E-2</v>
      </c>
    </row>
  </sheetData>
  <pageMargins left="0.7" right="0.7" top="0.75" bottom="0.75" header="0.3" footer="0.3"/>
  <pageSetup orientation="portrait" r:id="rId1"/>
  <headerFooter>
    <oddHeader>&amp;RFiled: 2016-10-18
EB-2016-0082
Draft Rate Order
Attachment 3
Page &amp;P of &amp;N</oddHeader>
  </headerFooter>
  <ignoredErrors>
    <ignoredError sqref="B4:B9 C4:C9 D4:E9"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112"/>
  <sheetViews>
    <sheetView showGridLines="0" tabSelected="1" view="pageLayout" topLeftCell="C1" zoomScaleNormal="90" workbookViewId="0">
      <selection activeCell="L1" sqref="L1"/>
    </sheetView>
  </sheetViews>
  <sheetFormatPr defaultColWidth="9.140625" defaultRowHeight="15" x14ac:dyDescent="0.25"/>
  <cols>
    <col min="1" max="1" width="64.85546875" style="232" bestFit="1" customWidth="1"/>
    <col min="2" max="2" width="9.140625" style="232"/>
    <col min="3" max="3" width="11.7109375" style="232" bestFit="1" customWidth="1"/>
    <col min="4" max="4" width="9.140625" style="232"/>
    <col min="5" max="5" width="11.5703125" style="232" bestFit="1" customWidth="1"/>
    <col min="6" max="6" width="9.140625" style="186"/>
    <col min="7" max="7" width="11.7109375" style="186" bestFit="1" customWidth="1"/>
    <col min="8" max="8" width="9.140625" style="186"/>
    <col min="9" max="9" width="11.5703125" style="186" bestFit="1" customWidth="1"/>
    <col min="10" max="10" width="9.140625" style="186"/>
    <col min="11" max="11" width="9.5703125" style="186" bestFit="1" customWidth="1"/>
    <col min="12" max="12" width="10" style="186" bestFit="1" customWidth="1"/>
    <col min="13" max="16384" width="9.140625" style="186"/>
  </cols>
  <sheetData>
    <row r="1" spans="1:12" s="183" customFormat="1" ht="12" customHeight="1" x14ac:dyDescent="0.25">
      <c r="E1" s="184"/>
      <c r="L1" s="185"/>
    </row>
    <row r="2" spans="1:12" s="183" customFormat="1" ht="12" customHeight="1" x14ac:dyDescent="0.25">
      <c r="E2" s="184"/>
      <c r="L2" s="185"/>
    </row>
    <row r="3" spans="1:12" s="183" customFormat="1" ht="12" customHeight="1" x14ac:dyDescent="0.25">
      <c r="E3" s="184"/>
      <c r="L3" s="185"/>
    </row>
    <row r="4" spans="1:12" s="183" customFormat="1" x14ac:dyDescent="0.25">
      <c r="E4" s="184"/>
      <c r="L4" s="185"/>
    </row>
    <row r="5" spans="1:12" s="183" customFormat="1" ht="12" customHeight="1" x14ac:dyDescent="0.25">
      <c r="E5" s="184"/>
      <c r="L5" s="242"/>
    </row>
    <row r="7" spans="1:12" x14ac:dyDescent="0.25">
      <c r="A7" s="229" t="s">
        <v>97</v>
      </c>
      <c r="B7" s="230"/>
      <c r="C7" s="231"/>
    </row>
    <row r="8" spans="1:12" hidden="1" x14ac:dyDescent="0.25">
      <c r="A8" s="233"/>
      <c r="B8" s="234"/>
      <c r="C8" s="235"/>
    </row>
    <row r="9" spans="1:12" x14ac:dyDescent="0.25">
      <c r="A9" s="233" t="s">
        <v>66</v>
      </c>
      <c r="B9" s="234"/>
      <c r="C9" s="240">
        <f>'2017 Bill Impact'!C9</f>
        <v>285</v>
      </c>
    </row>
    <row r="10" spans="1:12" x14ac:dyDescent="0.25">
      <c r="A10" s="237" t="s">
        <v>65</v>
      </c>
      <c r="B10" s="238"/>
      <c r="C10" s="241">
        <f>'2017 Bill Impact'!C10</f>
        <v>1.0430999999999999</v>
      </c>
    </row>
    <row r="12" spans="1:12" x14ac:dyDescent="0.25">
      <c r="A12" s="187"/>
      <c r="B12" s="188"/>
      <c r="C12" s="258" t="s">
        <v>67</v>
      </c>
      <c r="D12" s="259"/>
      <c r="E12" s="260"/>
      <c r="F12" s="187"/>
      <c r="G12" s="258" t="s">
        <v>68</v>
      </c>
      <c r="H12" s="259"/>
      <c r="I12" s="260"/>
      <c r="J12" s="187"/>
      <c r="K12" s="258" t="s">
        <v>39</v>
      </c>
      <c r="L12" s="260"/>
    </row>
    <row r="13" spans="1:12" ht="15" customHeight="1" x14ac:dyDescent="0.25">
      <c r="A13" s="187"/>
      <c r="B13" s="189"/>
      <c r="C13" s="190" t="s">
        <v>108</v>
      </c>
      <c r="D13" s="190" t="s">
        <v>35</v>
      </c>
      <c r="E13" s="191" t="s">
        <v>109</v>
      </c>
      <c r="F13" s="187"/>
      <c r="G13" s="190" t="s">
        <v>108</v>
      </c>
      <c r="H13" s="190" t="s">
        <v>35</v>
      </c>
      <c r="I13" s="191" t="s">
        <v>109</v>
      </c>
      <c r="J13" s="187"/>
      <c r="K13" s="192" t="s">
        <v>40</v>
      </c>
      <c r="L13" s="193" t="s">
        <v>41</v>
      </c>
    </row>
    <row r="14" spans="1:12" x14ac:dyDescent="0.25">
      <c r="A14" s="194" t="s">
        <v>36</v>
      </c>
      <c r="B14" s="195" t="s">
        <v>61</v>
      </c>
      <c r="C14" s="67">
        <f>'2017 Bill Impact'!G14</f>
        <v>19.77</v>
      </c>
      <c r="D14" s="109">
        <v>1</v>
      </c>
      <c r="E14" s="67">
        <f>C14*D14</f>
        <v>19.77</v>
      </c>
      <c r="F14" s="75"/>
      <c r="G14" s="67">
        <f>'App.2-PA_Res_Rate_Design_18'!D43</f>
        <v>23.18</v>
      </c>
      <c r="H14" s="109">
        <v>1</v>
      </c>
      <c r="I14" s="67">
        <f>G14*H14</f>
        <v>23.18</v>
      </c>
      <c r="J14" s="75"/>
      <c r="K14" s="67">
        <f>I14-E14</f>
        <v>3.41</v>
      </c>
      <c r="L14" s="96">
        <f t="shared" ref="L14:L36" si="0">IF(I14-E14=0, " 0.00%", I14/E14-1)</f>
        <v>0.17248356095093587</v>
      </c>
    </row>
    <row r="15" spans="1:12" x14ac:dyDescent="0.25">
      <c r="A15" s="196" t="s">
        <v>60</v>
      </c>
      <c r="B15" s="197" t="s">
        <v>61</v>
      </c>
      <c r="C15" s="67">
        <f>'2017 Bill Impact'!G15</f>
        <v>-0.19769999999999999</v>
      </c>
      <c r="D15" s="109">
        <v>1</v>
      </c>
      <c r="E15" s="67">
        <f t="shared" ref="E15:E32" si="1">C15*D15</f>
        <v>-0.19769999999999999</v>
      </c>
      <c r="F15" s="75"/>
      <c r="G15" s="67">
        <f>-G14*0.01</f>
        <v>-0.23180000000000001</v>
      </c>
      <c r="H15" s="109">
        <v>1</v>
      </c>
      <c r="I15" s="67">
        <f t="shared" ref="I15:I19" si="2">G15*H15</f>
        <v>-0.23180000000000001</v>
      </c>
      <c r="J15" s="86"/>
      <c r="K15" s="67">
        <f t="shared" ref="K15:K33" si="3">I15-E15</f>
        <v>-3.4100000000000019E-2</v>
      </c>
      <c r="L15" s="96">
        <f t="shared" si="0"/>
        <v>0.17248356095093587</v>
      </c>
    </row>
    <row r="16" spans="1:12" x14ac:dyDescent="0.25">
      <c r="A16" s="196" t="s">
        <v>63</v>
      </c>
      <c r="B16" s="197" t="s">
        <v>61</v>
      </c>
      <c r="C16" s="67">
        <f>'2017 Bill Impact'!G16</f>
        <v>0.64</v>
      </c>
      <c r="D16" s="109">
        <v>1</v>
      </c>
      <c r="E16" s="67">
        <f t="shared" si="1"/>
        <v>0.64</v>
      </c>
      <c r="F16" s="75"/>
      <c r="G16" s="67">
        <v>0.64</v>
      </c>
      <c r="H16" s="109">
        <v>1</v>
      </c>
      <c r="I16" s="67">
        <f t="shared" si="2"/>
        <v>0.64</v>
      </c>
      <c r="J16" s="86"/>
      <c r="K16" s="67">
        <f t="shared" si="3"/>
        <v>0</v>
      </c>
      <c r="L16" s="96" t="str">
        <f t="shared" si="0"/>
        <v xml:space="preserve"> 0.00%</v>
      </c>
    </row>
    <row r="17" spans="1:12" x14ac:dyDescent="0.25">
      <c r="A17" s="196" t="s">
        <v>42</v>
      </c>
      <c r="B17" s="197" t="s">
        <v>62</v>
      </c>
      <c r="C17" s="70">
        <f>'2017 Bill Impact'!G17</f>
        <v>1.3299999999999999E-2</v>
      </c>
      <c r="D17" s="76">
        <f>$C$9</f>
        <v>285</v>
      </c>
      <c r="E17" s="67">
        <f t="shared" si="1"/>
        <v>3.7904999999999998</v>
      </c>
      <c r="F17" s="75"/>
      <c r="G17" s="70">
        <f>'App.2-PA_Res_Rate_Design_18'!D44</f>
        <v>8.8999999999999999E-3</v>
      </c>
      <c r="H17" s="76">
        <f>$C$9</f>
        <v>285</v>
      </c>
      <c r="I17" s="67">
        <f t="shared" si="2"/>
        <v>2.5365000000000002</v>
      </c>
      <c r="J17" s="86"/>
      <c r="K17" s="67">
        <f t="shared" si="3"/>
        <v>-1.2539999999999996</v>
      </c>
      <c r="L17" s="96">
        <f t="shared" si="0"/>
        <v>-0.3308270676691728</v>
      </c>
    </row>
    <row r="18" spans="1:12" x14ac:dyDescent="0.25">
      <c r="A18" s="196" t="s">
        <v>60</v>
      </c>
      <c r="B18" s="197" t="s">
        <v>62</v>
      </c>
      <c r="C18" s="70">
        <f>'2017 Bill Impact'!G18</f>
        <v>-1E-4</v>
      </c>
      <c r="D18" s="76">
        <f t="shared" ref="D18:D19" si="4">$C$9</f>
        <v>285</v>
      </c>
      <c r="E18" s="67">
        <f t="shared" si="1"/>
        <v>-2.8500000000000001E-2</v>
      </c>
      <c r="F18" s="75"/>
      <c r="G18" s="70">
        <f>ROUND(-G17*0.01,4)</f>
        <v>-1E-4</v>
      </c>
      <c r="H18" s="76">
        <f t="shared" ref="H18:H19" si="5">$C$9</f>
        <v>285</v>
      </c>
      <c r="I18" s="67">
        <f t="shared" si="2"/>
        <v>-2.8500000000000001E-2</v>
      </c>
      <c r="J18" s="86"/>
      <c r="K18" s="67">
        <f t="shared" si="3"/>
        <v>0</v>
      </c>
      <c r="L18" s="96" t="str">
        <f t="shared" si="0"/>
        <v xml:space="preserve"> 0.00%</v>
      </c>
    </row>
    <row r="19" spans="1:12" x14ac:dyDescent="0.25">
      <c r="A19" s="198" t="s">
        <v>64</v>
      </c>
      <c r="B19" s="197" t="s">
        <v>62</v>
      </c>
      <c r="C19" s="70">
        <f>'2017 Bill Impact'!G19</f>
        <v>8.0000000000000004E-4</v>
      </c>
      <c r="D19" s="76">
        <f t="shared" si="4"/>
        <v>285</v>
      </c>
      <c r="E19" s="67">
        <f t="shared" si="1"/>
        <v>0.22800000000000001</v>
      </c>
      <c r="F19" s="75"/>
      <c r="G19" s="70">
        <v>8.0000000000000004E-4</v>
      </c>
      <c r="H19" s="76">
        <f t="shared" si="5"/>
        <v>285</v>
      </c>
      <c r="I19" s="67">
        <f t="shared" si="2"/>
        <v>0.22800000000000001</v>
      </c>
      <c r="J19" s="86"/>
      <c r="K19" s="67">
        <f t="shared" si="3"/>
        <v>0</v>
      </c>
      <c r="L19" s="96" t="str">
        <f t="shared" si="0"/>
        <v xml:space="preserve"> 0.00%</v>
      </c>
    </row>
    <row r="20" spans="1:12" x14ac:dyDescent="0.25">
      <c r="A20" s="199" t="s">
        <v>43</v>
      </c>
      <c r="B20" s="200"/>
      <c r="C20" s="64"/>
      <c r="D20" s="80"/>
      <c r="E20" s="63">
        <f>SUM(E14:E19)</f>
        <v>24.202300000000001</v>
      </c>
      <c r="F20" s="77"/>
      <c r="G20" s="64"/>
      <c r="H20" s="80"/>
      <c r="I20" s="63">
        <f>SUM(I14:I19)</f>
        <v>26.324200000000001</v>
      </c>
      <c r="J20" s="65"/>
      <c r="K20" s="141">
        <f t="shared" si="3"/>
        <v>2.1219000000000001</v>
      </c>
      <c r="L20" s="97">
        <f t="shared" si="0"/>
        <v>8.7673485577816956E-2</v>
      </c>
    </row>
    <row r="21" spans="1:12" x14ac:dyDescent="0.25">
      <c r="A21" s="201" t="s">
        <v>44</v>
      </c>
      <c r="B21" s="197" t="s">
        <v>62</v>
      </c>
      <c r="C21" s="87">
        <f>'2017 Bill Impact'!G21</f>
        <v>0.10214000000000001</v>
      </c>
      <c r="D21" s="78">
        <f>($C$9*$C$10)-$C$9</f>
        <v>12.283500000000004</v>
      </c>
      <c r="E21" s="89">
        <f t="shared" si="1"/>
        <v>1.2546366900000006</v>
      </c>
      <c r="F21" s="77"/>
      <c r="G21" s="87">
        <f>G31*0.64+G32*0.18+G33*0.18</f>
        <v>0.10214000000000001</v>
      </c>
      <c r="H21" s="78">
        <f>($C$9*$C$10)-$C$9</f>
        <v>12.283500000000004</v>
      </c>
      <c r="I21" s="89">
        <f t="shared" ref="I21" si="6">G21*H21</f>
        <v>1.2546366900000006</v>
      </c>
      <c r="J21" s="65"/>
      <c r="K21" s="67">
        <f t="shared" si="3"/>
        <v>0</v>
      </c>
      <c r="L21" s="96" t="str">
        <f t="shared" si="0"/>
        <v xml:space="preserve"> 0.00%</v>
      </c>
    </row>
    <row r="22" spans="1:12" hidden="1" x14ac:dyDescent="0.25">
      <c r="A22" s="201" t="s">
        <v>45</v>
      </c>
      <c r="B22" s="197" t="s">
        <v>62</v>
      </c>
      <c r="C22" s="108">
        <f>'2017 Bill Impact'!G22</f>
        <v>0</v>
      </c>
      <c r="D22" s="78">
        <v>0</v>
      </c>
      <c r="E22" s="89">
        <v>0</v>
      </c>
      <c r="F22" s="77"/>
      <c r="G22" s="108">
        <v>0</v>
      </c>
      <c r="H22" s="78">
        <v>0</v>
      </c>
      <c r="I22" s="89">
        <v>0</v>
      </c>
      <c r="J22" s="65"/>
      <c r="K22" s="67">
        <f t="shared" si="3"/>
        <v>0</v>
      </c>
      <c r="L22" s="96" t="str">
        <f t="shared" si="0"/>
        <v xml:space="preserve"> 0.00%</v>
      </c>
    </row>
    <row r="23" spans="1:12" x14ac:dyDescent="0.25">
      <c r="A23" s="196" t="s">
        <v>46</v>
      </c>
      <c r="B23" s="197" t="s">
        <v>61</v>
      </c>
      <c r="C23" s="107">
        <f>'2017 Bill Impact'!G23</f>
        <v>0.79</v>
      </c>
      <c r="D23" s="78">
        <v>1</v>
      </c>
      <c r="E23" s="89">
        <f t="shared" si="1"/>
        <v>0.79</v>
      </c>
      <c r="F23" s="77"/>
      <c r="G23" s="107">
        <v>0.79</v>
      </c>
      <c r="H23" s="78">
        <v>1</v>
      </c>
      <c r="I23" s="89">
        <f t="shared" ref="I23" si="7">G23*H23</f>
        <v>0.79</v>
      </c>
      <c r="J23" s="65"/>
      <c r="K23" s="67">
        <f t="shared" si="3"/>
        <v>0</v>
      </c>
      <c r="L23" s="96" t="str">
        <f t="shared" si="0"/>
        <v xml:space="preserve"> 0.00%</v>
      </c>
    </row>
    <row r="24" spans="1:12" x14ac:dyDescent="0.25">
      <c r="A24" s="202" t="s">
        <v>47</v>
      </c>
      <c r="B24" s="203"/>
      <c r="C24" s="80"/>
      <c r="D24" s="80"/>
      <c r="E24" s="90">
        <f>SUM(E20:E23)</f>
        <v>26.246936690000002</v>
      </c>
      <c r="F24" s="77"/>
      <c r="G24" s="80"/>
      <c r="H24" s="80"/>
      <c r="I24" s="90">
        <f>SUM(I20:I23)</f>
        <v>28.368836690000002</v>
      </c>
      <c r="J24" s="65"/>
      <c r="K24" s="141">
        <f t="shared" si="3"/>
        <v>2.1219000000000001</v>
      </c>
      <c r="L24" s="97">
        <f t="shared" si="0"/>
        <v>8.0843719976222417E-2</v>
      </c>
    </row>
    <row r="25" spans="1:12" x14ac:dyDescent="0.25">
      <c r="A25" s="204" t="s">
        <v>48</v>
      </c>
      <c r="B25" s="197" t="s">
        <v>62</v>
      </c>
      <c r="C25" s="87">
        <f>'2017 Bill Impact'!G25</f>
        <v>7.4999999999999997E-3</v>
      </c>
      <c r="D25" s="81">
        <f>$C$9*$C$10</f>
        <v>297.2835</v>
      </c>
      <c r="E25" s="89">
        <f t="shared" si="1"/>
        <v>2.2296262499999999</v>
      </c>
      <c r="F25" s="77"/>
      <c r="G25" s="87">
        <v>7.4999999999999997E-3</v>
      </c>
      <c r="H25" s="81">
        <f>$C$9*$C$10</f>
        <v>297.2835</v>
      </c>
      <c r="I25" s="89">
        <f t="shared" ref="I25:I26" si="8">G25*H25</f>
        <v>2.2296262499999999</v>
      </c>
      <c r="J25" s="65"/>
      <c r="K25" s="95">
        <f t="shared" si="3"/>
        <v>0</v>
      </c>
      <c r="L25" s="96" t="str">
        <f t="shared" si="0"/>
        <v xml:space="preserve"> 0.00%</v>
      </c>
    </row>
    <row r="26" spans="1:12" x14ac:dyDescent="0.25">
      <c r="A26" s="205" t="s">
        <v>49</v>
      </c>
      <c r="B26" s="197" t="s">
        <v>62</v>
      </c>
      <c r="C26" s="87">
        <f>'2017 Bill Impact'!G26</f>
        <v>5.4000000000000003E-3</v>
      </c>
      <c r="D26" s="81">
        <f>$C$9*$C$10</f>
        <v>297.2835</v>
      </c>
      <c r="E26" s="89">
        <f t="shared" si="1"/>
        <v>1.6053309</v>
      </c>
      <c r="F26" s="77"/>
      <c r="G26" s="87">
        <v>5.4000000000000003E-3</v>
      </c>
      <c r="H26" s="81">
        <f>$C$9*$C$10</f>
        <v>297.2835</v>
      </c>
      <c r="I26" s="89">
        <f t="shared" si="8"/>
        <v>1.6053309</v>
      </c>
      <c r="J26" s="65"/>
      <c r="K26" s="95">
        <f t="shared" si="3"/>
        <v>0</v>
      </c>
      <c r="L26" s="96" t="str">
        <f t="shared" si="0"/>
        <v xml:space="preserve"> 0.00%</v>
      </c>
    </row>
    <row r="27" spans="1:12" x14ac:dyDescent="0.25">
      <c r="A27" s="202" t="s">
        <v>50</v>
      </c>
      <c r="B27" s="200"/>
      <c r="C27" s="80"/>
      <c r="D27" s="80"/>
      <c r="E27" s="90">
        <f>SUM(E24:E26)</f>
        <v>30.081893839999999</v>
      </c>
      <c r="F27" s="82"/>
      <c r="G27" s="80"/>
      <c r="H27" s="80"/>
      <c r="I27" s="90">
        <f>SUM(I24:I26)</f>
        <v>32.203793840000003</v>
      </c>
      <c r="J27" s="66"/>
      <c r="K27" s="141">
        <f t="shared" si="3"/>
        <v>2.1219000000000037</v>
      </c>
      <c r="L27" s="97">
        <f t="shared" si="0"/>
        <v>7.05374472526894E-2</v>
      </c>
    </row>
    <row r="28" spans="1:12" x14ac:dyDescent="0.25">
      <c r="A28" s="206" t="s">
        <v>51</v>
      </c>
      <c r="B28" s="197" t="s">
        <v>62</v>
      </c>
      <c r="C28" s="88">
        <f>'2017 Bill Impact'!G28</f>
        <v>4.4000000000000003E-3</v>
      </c>
      <c r="D28" s="81">
        <f>$C$9*$C$10</f>
        <v>297.2835</v>
      </c>
      <c r="E28" s="67">
        <f t="shared" si="1"/>
        <v>1.3080474000000002</v>
      </c>
      <c r="F28" s="79"/>
      <c r="G28" s="88">
        <v>4.4000000000000003E-3</v>
      </c>
      <c r="H28" s="81">
        <f>$C$9*$C$10</f>
        <v>297.2835</v>
      </c>
      <c r="I28" s="67">
        <f t="shared" ref="I28:I32" si="9">G28*H28</f>
        <v>1.3080474000000002</v>
      </c>
      <c r="J28" s="65"/>
      <c r="K28" s="95">
        <f t="shared" si="3"/>
        <v>0</v>
      </c>
      <c r="L28" s="96" t="str">
        <f t="shared" si="0"/>
        <v xml:space="preserve"> 0.00%</v>
      </c>
    </row>
    <row r="29" spans="1:12" x14ac:dyDescent="0.25">
      <c r="A29" s="206" t="s">
        <v>52</v>
      </c>
      <c r="B29" s="197" t="s">
        <v>62</v>
      </c>
      <c r="C29" s="88">
        <f>'2017 Bill Impact'!G29</f>
        <v>1.2999999999999999E-3</v>
      </c>
      <c r="D29" s="81">
        <f>$C$9*$C$10</f>
        <v>297.2835</v>
      </c>
      <c r="E29" s="67">
        <f t="shared" si="1"/>
        <v>0.38646854999999997</v>
      </c>
      <c r="F29" s="79"/>
      <c r="G29" s="88">
        <v>1.2999999999999999E-3</v>
      </c>
      <c r="H29" s="81">
        <f>$C$9*$C$10</f>
        <v>297.2835</v>
      </c>
      <c r="I29" s="67">
        <f t="shared" si="9"/>
        <v>0.38646854999999997</v>
      </c>
      <c r="J29" s="65"/>
      <c r="K29" s="95">
        <f t="shared" si="3"/>
        <v>0</v>
      </c>
      <c r="L29" s="96" t="str">
        <f t="shared" si="0"/>
        <v xml:space="preserve"> 0.00%</v>
      </c>
    </row>
    <row r="30" spans="1:12" x14ac:dyDescent="0.25">
      <c r="A30" s="196" t="s">
        <v>53</v>
      </c>
      <c r="B30" s="197" t="s">
        <v>61</v>
      </c>
      <c r="C30" s="69">
        <f>'2017 Bill Impact'!G30</f>
        <v>0.25</v>
      </c>
      <c r="D30" s="81">
        <v>1</v>
      </c>
      <c r="E30" s="67">
        <f t="shared" si="1"/>
        <v>0.25</v>
      </c>
      <c r="F30" s="79"/>
      <c r="G30" s="69">
        <v>0.25</v>
      </c>
      <c r="H30" s="81">
        <v>1</v>
      </c>
      <c r="I30" s="67">
        <f t="shared" si="9"/>
        <v>0.25</v>
      </c>
      <c r="J30" s="79"/>
      <c r="K30" s="95">
        <f t="shared" si="3"/>
        <v>0</v>
      </c>
      <c r="L30" s="96" t="str">
        <f t="shared" si="0"/>
        <v xml:space="preserve"> 0.00%</v>
      </c>
    </row>
    <row r="31" spans="1:12" x14ac:dyDescent="0.25">
      <c r="A31" s="196" t="s">
        <v>54</v>
      </c>
      <c r="B31" s="197" t="s">
        <v>62</v>
      </c>
      <c r="C31" s="83">
        <f>'2017 Bill Impact'!G31</f>
        <v>0.08</v>
      </c>
      <c r="D31" s="81">
        <f>$C$9*0.64</f>
        <v>182.4</v>
      </c>
      <c r="E31" s="67">
        <f t="shared" si="1"/>
        <v>14.592000000000001</v>
      </c>
      <c r="F31" s="79"/>
      <c r="G31" s="83">
        <v>0.08</v>
      </c>
      <c r="H31" s="81">
        <f>$C$9*0.64</f>
        <v>182.4</v>
      </c>
      <c r="I31" s="67">
        <f t="shared" si="9"/>
        <v>14.592000000000001</v>
      </c>
      <c r="J31" s="79"/>
      <c r="K31" s="95">
        <f t="shared" si="3"/>
        <v>0</v>
      </c>
      <c r="L31" s="96" t="str">
        <f t="shared" si="0"/>
        <v xml:space="preserve"> 0.00%</v>
      </c>
    </row>
    <row r="32" spans="1:12" x14ac:dyDescent="0.25">
      <c r="A32" s="196" t="s">
        <v>55</v>
      </c>
      <c r="B32" s="197" t="s">
        <v>62</v>
      </c>
      <c r="C32" s="83">
        <f>'2017 Bill Impact'!G32</f>
        <v>0.122</v>
      </c>
      <c r="D32" s="81">
        <f>$C$9*0.18</f>
        <v>51.3</v>
      </c>
      <c r="E32" s="67">
        <f t="shared" si="1"/>
        <v>6.2585999999999995</v>
      </c>
      <c r="F32" s="79"/>
      <c r="G32" s="83">
        <v>0.122</v>
      </c>
      <c r="H32" s="81">
        <f>$C$9*0.18</f>
        <v>51.3</v>
      </c>
      <c r="I32" s="67">
        <f t="shared" si="9"/>
        <v>6.2585999999999995</v>
      </c>
      <c r="J32" s="79"/>
      <c r="K32" s="95">
        <f t="shared" si="3"/>
        <v>0</v>
      </c>
      <c r="L32" s="96" t="str">
        <f t="shared" si="0"/>
        <v xml:space="preserve"> 0.00%</v>
      </c>
    </row>
    <row r="33" spans="1:12" ht="15.75" thickBot="1" x14ac:dyDescent="0.3">
      <c r="A33" s="207" t="s">
        <v>56</v>
      </c>
      <c r="B33" s="208" t="s">
        <v>62</v>
      </c>
      <c r="C33" s="83">
        <f>'2017 Bill Impact'!G33</f>
        <v>0.161</v>
      </c>
      <c r="D33" s="81">
        <f>$C$9*0.18</f>
        <v>51.3</v>
      </c>
      <c r="E33" s="67">
        <f>C33*D33</f>
        <v>8.2592999999999996</v>
      </c>
      <c r="F33" s="79"/>
      <c r="G33" s="83">
        <v>0.161</v>
      </c>
      <c r="H33" s="81">
        <f>$C$9*0.18</f>
        <v>51.3</v>
      </c>
      <c r="I33" s="67">
        <f>G33*H33</f>
        <v>8.2592999999999996</v>
      </c>
      <c r="J33" s="79"/>
      <c r="K33" s="95">
        <f t="shared" si="3"/>
        <v>0</v>
      </c>
      <c r="L33" s="96" t="str">
        <f t="shared" si="0"/>
        <v xml:space="preserve"> 0.00%</v>
      </c>
    </row>
    <row r="34" spans="1:12" ht="9" customHeight="1" thickBot="1" x14ac:dyDescent="0.3">
      <c r="A34" s="209"/>
      <c r="B34" s="210"/>
      <c r="C34" s="137"/>
      <c r="D34" s="84"/>
      <c r="E34" s="91"/>
      <c r="F34" s="84"/>
      <c r="G34" s="137"/>
      <c r="H34" s="84"/>
      <c r="I34" s="137"/>
      <c r="J34" s="84"/>
      <c r="K34" s="138"/>
      <c r="L34" s="98"/>
    </row>
    <row r="35" spans="1:12" x14ac:dyDescent="0.25">
      <c r="A35" s="211" t="s">
        <v>57</v>
      </c>
      <c r="B35" s="212"/>
      <c r="C35" s="102"/>
      <c r="D35" s="103"/>
      <c r="E35" s="92">
        <f>SUM(E27:E33)</f>
        <v>61.136309789999999</v>
      </c>
      <c r="F35" s="104"/>
      <c r="G35" s="105"/>
      <c r="H35" s="105"/>
      <c r="I35" s="99">
        <f>SUM(I27:I33)</f>
        <v>63.258209789999995</v>
      </c>
      <c r="J35" s="85"/>
      <c r="K35" s="140">
        <f t="shared" ref="K35:K39" si="10">I35-E35</f>
        <v>2.1218999999999966</v>
      </c>
      <c r="L35" s="68">
        <f t="shared" si="0"/>
        <v>3.4707688561651961E-2</v>
      </c>
    </row>
    <row r="36" spans="1:12" ht="18.75" customHeight="1" x14ac:dyDescent="0.25">
      <c r="A36" s="213" t="s">
        <v>58</v>
      </c>
      <c r="B36" s="214"/>
      <c r="C36" s="102">
        <v>0.13</v>
      </c>
      <c r="D36" s="106"/>
      <c r="E36" s="93">
        <f>E35*C36</f>
        <v>7.9477202726999998</v>
      </c>
      <c r="F36" s="74"/>
      <c r="G36" s="102">
        <v>0.13</v>
      </c>
      <c r="H36" s="74"/>
      <c r="I36" s="100">
        <f>I35*G36</f>
        <v>8.2235672727000004</v>
      </c>
      <c r="J36" s="86"/>
      <c r="K36" s="67">
        <f t="shared" si="10"/>
        <v>0.27584700000000062</v>
      </c>
      <c r="L36" s="96">
        <f t="shared" si="0"/>
        <v>3.4707688561652184E-2</v>
      </c>
    </row>
    <row r="37" spans="1:12" hidden="1" x14ac:dyDescent="0.25">
      <c r="A37" s="215" t="s">
        <v>117</v>
      </c>
      <c r="B37" s="214"/>
      <c r="C37" s="74"/>
      <c r="D37" s="106"/>
      <c r="E37" s="93">
        <f>E35+E36</f>
        <v>69.084030062699995</v>
      </c>
      <c r="F37" s="74"/>
      <c r="G37" s="74"/>
      <c r="H37" s="74"/>
      <c r="I37" s="100">
        <f>I35+I36</f>
        <v>71.48177706269999</v>
      </c>
      <c r="J37" s="86"/>
      <c r="K37" s="67">
        <f t="shared" si="10"/>
        <v>2.3977469999999954</v>
      </c>
      <c r="L37" s="96">
        <f t="shared" ref="L37" si="11">I37/E37-1</f>
        <v>3.4707688561651961E-2</v>
      </c>
    </row>
    <row r="38" spans="1:12" hidden="1" x14ac:dyDescent="0.25">
      <c r="A38" s="216"/>
      <c r="B38" s="214"/>
      <c r="C38" s="74"/>
      <c r="D38" s="106"/>
      <c r="E38" s="94">
        <v>0</v>
      </c>
      <c r="F38" s="74"/>
      <c r="G38" s="74"/>
      <c r="H38" s="74"/>
      <c r="I38" s="101">
        <v>0</v>
      </c>
      <c r="J38" s="86"/>
      <c r="K38" s="67">
        <f t="shared" si="10"/>
        <v>0</v>
      </c>
      <c r="L38" s="101">
        <v>0</v>
      </c>
    </row>
    <row r="39" spans="1:12" ht="15.75" thickBot="1" x14ac:dyDescent="0.3">
      <c r="A39" s="217" t="s">
        <v>96</v>
      </c>
      <c r="B39" s="218"/>
      <c r="C39" s="142"/>
      <c r="D39" s="143"/>
      <c r="E39" s="144">
        <f>E37+E38</f>
        <v>69.084030062699995</v>
      </c>
      <c r="F39" s="145"/>
      <c r="G39" s="145"/>
      <c r="H39" s="145"/>
      <c r="I39" s="149">
        <f>I37+I38</f>
        <v>71.48177706269999</v>
      </c>
      <c r="J39" s="146"/>
      <c r="K39" s="147">
        <f t="shared" si="10"/>
        <v>2.3977469999999954</v>
      </c>
      <c r="L39" s="148">
        <f t="shared" ref="L39" si="12">IF(I39-E39=0, " 0.00%", I39/E39-1)</f>
        <v>3.4707688561651961E-2</v>
      </c>
    </row>
    <row r="40" spans="1:12" ht="9" customHeight="1" thickBot="1" x14ac:dyDescent="0.3">
      <c r="A40" s="209"/>
      <c r="B40" s="210"/>
      <c r="C40" s="137"/>
      <c r="D40" s="84"/>
      <c r="E40" s="91"/>
      <c r="F40" s="84"/>
      <c r="G40" s="137"/>
      <c r="H40" s="84"/>
      <c r="I40" s="137"/>
      <c r="J40" s="84"/>
      <c r="K40" s="138"/>
      <c r="L40" s="98"/>
    </row>
    <row r="43" spans="1:12" x14ac:dyDescent="0.25">
      <c r="A43" s="229" t="s">
        <v>97</v>
      </c>
      <c r="B43" s="230"/>
      <c r="C43" s="231"/>
    </row>
    <row r="44" spans="1:12" hidden="1" x14ac:dyDescent="0.25">
      <c r="A44" s="233"/>
      <c r="B44" s="234"/>
      <c r="C44" s="235"/>
    </row>
    <row r="45" spans="1:12" x14ac:dyDescent="0.25">
      <c r="A45" s="233" t="s">
        <v>66</v>
      </c>
      <c r="B45" s="234"/>
      <c r="C45" s="240">
        <f>'2017 Bill Impact'!C45</f>
        <v>800</v>
      </c>
    </row>
    <row r="46" spans="1:12" x14ac:dyDescent="0.25">
      <c r="A46" s="237" t="s">
        <v>65</v>
      </c>
      <c r="B46" s="238"/>
      <c r="C46" s="241">
        <f>'2017 Bill Impact'!C46</f>
        <v>1.0430999999999999</v>
      </c>
    </row>
    <row r="48" spans="1:12" ht="14.45" x14ac:dyDescent="0.3">
      <c r="A48" s="187"/>
      <c r="B48" s="188"/>
      <c r="C48" s="258" t="s">
        <v>67</v>
      </c>
      <c r="D48" s="259"/>
      <c r="E48" s="260"/>
      <c r="F48" s="187"/>
      <c r="G48" s="258" t="s">
        <v>68</v>
      </c>
      <c r="H48" s="259"/>
      <c r="I48" s="260"/>
      <c r="J48" s="187"/>
      <c r="K48" s="258" t="s">
        <v>39</v>
      </c>
      <c r="L48" s="260"/>
    </row>
    <row r="49" spans="1:12" ht="15" customHeight="1" x14ac:dyDescent="0.25">
      <c r="A49" s="187"/>
      <c r="B49" s="189"/>
      <c r="C49" s="190" t="s">
        <v>108</v>
      </c>
      <c r="D49" s="190" t="s">
        <v>35</v>
      </c>
      <c r="E49" s="191" t="s">
        <v>109</v>
      </c>
      <c r="F49" s="187"/>
      <c r="G49" s="190" t="s">
        <v>108</v>
      </c>
      <c r="H49" s="190" t="s">
        <v>35</v>
      </c>
      <c r="I49" s="191" t="s">
        <v>109</v>
      </c>
      <c r="J49" s="187"/>
      <c r="K49" s="192" t="s">
        <v>40</v>
      </c>
      <c r="L49" s="193" t="s">
        <v>41</v>
      </c>
    </row>
    <row r="50" spans="1:12" x14ac:dyDescent="0.25">
      <c r="A50" s="194" t="s">
        <v>36</v>
      </c>
      <c r="B50" s="195" t="s">
        <v>61</v>
      </c>
      <c r="C50" s="67">
        <f>C14</f>
        <v>19.77</v>
      </c>
      <c r="D50" s="109">
        <v>1</v>
      </c>
      <c r="E50" s="67">
        <f>C50*D50</f>
        <v>19.77</v>
      </c>
      <c r="F50" s="75"/>
      <c r="G50" s="67">
        <f t="shared" ref="G50:G69" si="13">G14</f>
        <v>23.18</v>
      </c>
      <c r="H50" s="109">
        <v>1</v>
      </c>
      <c r="I50" s="67">
        <f>G50*H50</f>
        <v>23.18</v>
      </c>
      <c r="J50" s="75"/>
      <c r="K50" s="67">
        <f>I50-E50</f>
        <v>3.41</v>
      </c>
      <c r="L50" s="96">
        <f t="shared" ref="L50:L72" si="14">IF(I50-E50=0, " 0.00%", I50/E50-1)</f>
        <v>0.17248356095093587</v>
      </c>
    </row>
    <row r="51" spans="1:12" x14ac:dyDescent="0.25">
      <c r="A51" s="196" t="s">
        <v>60</v>
      </c>
      <c r="B51" s="197" t="s">
        <v>61</v>
      </c>
      <c r="C51" s="67">
        <f t="shared" ref="C51:C69" si="15">C15</f>
        <v>-0.19769999999999999</v>
      </c>
      <c r="D51" s="109">
        <v>1</v>
      </c>
      <c r="E51" s="67">
        <f t="shared" ref="E51:E55" si="16">C51*D51</f>
        <v>-0.19769999999999999</v>
      </c>
      <c r="F51" s="75"/>
      <c r="G51" s="67">
        <f t="shared" si="13"/>
        <v>-0.23180000000000001</v>
      </c>
      <c r="H51" s="109">
        <v>1</v>
      </c>
      <c r="I51" s="67">
        <f t="shared" ref="I51:I55" si="17">G51*H51</f>
        <v>-0.23180000000000001</v>
      </c>
      <c r="J51" s="86"/>
      <c r="K51" s="67">
        <f t="shared" ref="K51:K69" si="18">I51-E51</f>
        <v>-3.4100000000000019E-2</v>
      </c>
      <c r="L51" s="96">
        <f t="shared" si="14"/>
        <v>0.17248356095093587</v>
      </c>
    </row>
    <row r="52" spans="1:12" x14ac:dyDescent="0.25">
      <c r="A52" s="196" t="s">
        <v>63</v>
      </c>
      <c r="B52" s="197" t="s">
        <v>61</v>
      </c>
      <c r="C52" s="67">
        <f t="shared" si="15"/>
        <v>0.64</v>
      </c>
      <c r="D52" s="109">
        <v>1</v>
      </c>
      <c r="E52" s="67">
        <f t="shared" si="16"/>
        <v>0.64</v>
      </c>
      <c r="F52" s="75"/>
      <c r="G52" s="67">
        <f t="shared" si="13"/>
        <v>0.64</v>
      </c>
      <c r="H52" s="109">
        <v>1</v>
      </c>
      <c r="I52" s="67">
        <f t="shared" si="17"/>
        <v>0.64</v>
      </c>
      <c r="J52" s="86"/>
      <c r="K52" s="67">
        <f t="shared" si="18"/>
        <v>0</v>
      </c>
      <c r="L52" s="96" t="str">
        <f t="shared" si="14"/>
        <v xml:space="preserve"> 0.00%</v>
      </c>
    </row>
    <row r="53" spans="1:12" x14ac:dyDescent="0.25">
      <c r="A53" s="196" t="s">
        <v>42</v>
      </c>
      <c r="B53" s="197" t="s">
        <v>62</v>
      </c>
      <c r="C53" s="70">
        <f t="shared" si="15"/>
        <v>1.3299999999999999E-2</v>
      </c>
      <c r="D53" s="76">
        <f>$C$45</f>
        <v>800</v>
      </c>
      <c r="E53" s="67">
        <f t="shared" si="16"/>
        <v>10.639999999999999</v>
      </c>
      <c r="F53" s="75"/>
      <c r="G53" s="70">
        <f t="shared" si="13"/>
        <v>8.8999999999999999E-3</v>
      </c>
      <c r="H53" s="76">
        <f>$C$45</f>
        <v>800</v>
      </c>
      <c r="I53" s="67">
        <f t="shared" si="17"/>
        <v>7.12</v>
      </c>
      <c r="J53" s="86"/>
      <c r="K53" s="67">
        <f t="shared" si="18"/>
        <v>-3.5199999999999987</v>
      </c>
      <c r="L53" s="96">
        <f t="shared" si="14"/>
        <v>-0.3308270676691728</v>
      </c>
    </row>
    <row r="54" spans="1:12" x14ac:dyDescent="0.25">
      <c r="A54" s="196" t="s">
        <v>60</v>
      </c>
      <c r="B54" s="197" t="s">
        <v>62</v>
      </c>
      <c r="C54" s="70">
        <f t="shared" si="15"/>
        <v>-1E-4</v>
      </c>
      <c r="D54" s="76">
        <f t="shared" ref="D54:D55" si="19">$C$45</f>
        <v>800</v>
      </c>
      <c r="E54" s="67">
        <f t="shared" si="16"/>
        <v>-0.08</v>
      </c>
      <c r="F54" s="75"/>
      <c r="G54" s="70">
        <f t="shared" si="13"/>
        <v>-1E-4</v>
      </c>
      <c r="H54" s="76">
        <f t="shared" ref="H54:H55" si="20">$C$45</f>
        <v>800</v>
      </c>
      <c r="I54" s="67">
        <f t="shared" si="17"/>
        <v>-0.08</v>
      </c>
      <c r="J54" s="86"/>
      <c r="K54" s="67">
        <f t="shared" si="18"/>
        <v>0</v>
      </c>
      <c r="L54" s="96" t="str">
        <f t="shared" si="14"/>
        <v xml:space="preserve"> 0.00%</v>
      </c>
    </row>
    <row r="55" spans="1:12" x14ac:dyDescent="0.25">
      <c r="A55" s="198" t="s">
        <v>64</v>
      </c>
      <c r="B55" s="197" t="s">
        <v>62</v>
      </c>
      <c r="C55" s="70">
        <f t="shared" si="15"/>
        <v>8.0000000000000004E-4</v>
      </c>
      <c r="D55" s="76">
        <f t="shared" si="19"/>
        <v>800</v>
      </c>
      <c r="E55" s="67">
        <f t="shared" si="16"/>
        <v>0.64</v>
      </c>
      <c r="F55" s="75"/>
      <c r="G55" s="70">
        <f t="shared" si="13"/>
        <v>8.0000000000000004E-4</v>
      </c>
      <c r="H55" s="76">
        <f t="shared" si="20"/>
        <v>800</v>
      </c>
      <c r="I55" s="67">
        <f t="shared" si="17"/>
        <v>0.64</v>
      </c>
      <c r="J55" s="86"/>
      <c r="K55" s="67">
        <f t="shared" si="18"/>
        <v>0</v>
      </c>
      <c r="L55" s="96" t="str">
        <f t="shared" si="14"/>
        <v xml:space="preserve"> 0.00%</v>
      </c>
    </row>
    <row r="56" spans="1:12" x14ac:dyDescent="0.25">
      <c r="A56" s="199" t="s">
        <v>43</v>
      </c>
      <c r="B56" s="200"/>
      <c r="C56" s="64">
        <f t="shared" si="15"/>
        <v>0</v>
      </c>
      <c r="D56" s="80"/>
      <c r="E56" s="63">
        <f>SUM(E50:E55)</f>
        <v>31.412300000000002</v>
      </c>
      <c r="F56" s="77"/>
      <c r="G56" s="64">
        <f t="shared" si="13"/>
        <v>0</v>
      </c>
      <c r="H56" s="80"/>
      <c r="I56" s="63">
        <f>SUM(I50:I55)</f>
        <v>31.268200000000004</v>
      </c>
      <c r="J56" s="65"/>
      <c r="K56" s="141">
        <f t="shared" si="18"/>
        <v>-0.14409999999999812</v>
      </c>
      <c r="L56" s="97">
        <f t="shared" si="14"/>
        <v>-4.5873750091524057E-3</v>
      </c>
    </row>
    <row r="57" spans="1:12" x14ac:dyDescent="0.25">
      <c r="A57" s="201" t="s">
        <v>44</v>
      </c>
      <c r="B57" s="197" t="s">
        <v>62</v>
      </c>
      <c r="C57" s="87">
        <f t="shared" si="15"/>
        <v>0.10214000000000001</v>
      </c>
      <c r="D57" s="78">
        <f>($C$45*$C$46)-$C$45</f>
        <v>34.479999999999905</v>
      </c>
      <c r="E57" s="89">
        <f t="shared" ref="E57" si="21">C57*D57</f>
        <v>3.5217871999999906</v>
      </c>
      <c r="F57" s="77"/>
      <c r="G57" s="87">
        <f t="shared" si="13"/>
        <v>0.10214000000000001</v>
      </c>
      <c r="H57" s="78">
        <f>($C$45*$C$46)-$C$45</f>
        <v>34.479999999999905</v>
      </c>
      <c r="I57" s="89">
        <f t="shared" ref="I57" si="22">G57*H57</f>
        <v>3.5217871999999906</v>
      </c>
      <c r="J57" s="65"/>
      <c r="K57" s="67">
        <f t="shared" si="18"/>
        <v>0</v>
      </c>
      <c r="L57" s="96" t="str">
        <f t="shared" si="14"/>
        <v xml:space="preserve"> 0.00%</v>
      </c>
    </row>
    <row r="58" spans="1:12" hidden="1" x14ac:dyDescent="0.25">
      <c r="A58" s="201" t="s">
        <v>45</v>
      </c>
      <c r="B58" s="197" t="s">
        <v>62</v>
      </c>
      <c r="C58" s="108">
        <f t="shared" si="15"/>
        <v>0</v>
      </c>
      <c r="D58" s="78">
        <v>0</v>
      </c>
      <c r="E58" s="89">
        <v>0</v>
      </c>
      <c r="F58" s="77"/>
      <c r="G58" s="108">
        <f t="shared" si="13"/>
        <v>0</v>
      </c>
      <c r="H58" s="78">
        <v>0</v>
      </c>
      <c r="I58" s="89">
        <v>0</v>
      </c>
      <c r="J58" s="65"/>
      <c r="K58" s="67">
        <f t="shared" si="18"/>
        <v>0</v>
      </c>
      <c r="L58" s="96" t="str">
        <f t="shared" si="14"/>
        <v xml:space="preserve"> 0.00%</v>
      </c>
    </row>
    <row r="59" spans="1:12" x14ac:dyDescent="0.25">
      <c r="A59" s="196" t="s">
        <v>46</v>
      </c>
      <c r="B59" s="197" t="s">
        <v>61</v>
      </c>
      <c r="C59" s="107">
        <f t="shared" si="15"/>
        <v>0.79</v>
      </c>
      <c r="D59" s="78">
        <v>1</v>
      </c>
      <c r="E59" s="89">
        <f t="shared" ref="E59" si="23">C59*D59</f>
        <v>0.79</v>
      </c>
      <c r="F59" s="77"/>
      <c r="G59" s="107">
        <f t="shared" si="13"/>
        <v>0.79</v>
      </c>
      <c r="H59" s="78">
        <v>1</v>
      </c>
      <c r="I59" s="89">
        <f t="shared" ref="I59" si="24">G59*H59</f>
        <v>0.79</v>
      </c>
      <c r="J59" s="65"/>
      <c r="K59" s="67">
        <f t="shared" si="18"/>
        <v>0</v>
      </c>
      <c r="L59" s="96" t="str">
        <f t="shared" si="14"/>
        <v xml:space="preserve"> 0.00%</v>
      </c>
    </row>
    <row r="60" spans="1:12" x14ac:dyDescent="0.25">
      <c r="A60" s="202" t="s">
        <v>47</v>
      </c>
      <c r="B60" s="203"/>
      <c r="C60" s="80">
        <f t="shared" si="15"/>
        <v>0</v>
      </c>
      <c r="D60" s="80"/>
      <c r="E60" s="90">
        <f>SUM(E56:E59)</f>
        <v>35.724087199999992</v>
      </c>
      <c r="F60" s="77"/>
      <c r="G60" s="80">
        <f t="shared" si="13"/>
        <v>0</v>
      </c>
      <c r="H60" s="80"/>
      <c r="I60" s="90">
        <f>SUM(I56:I59)</f>
        <v>35.579987199999991</v>
      </c>
      <c r="J60" s="65"/>
      <c r="K60" s="141">
        <f t="shared" si="18"/>
        <v>-0.14410000000000167</v>
      </c>
      <c r="L60" s="97">
        <f t="shared" si="14"/>
        <v>-4.0336929868428628E-3</v>
      </c>
    </row>
    <row r="61" spans="1:12" x14ac:dyDescent="0.25">
      <c r="A61" s="204" t="s">
        <v>48</v>
      </c>
      <c r="B61" s="197" t="s">
        <v>62</v>
      </c>
      <c r="C61" s="87">
        <f t="shared" si="15"/>
        <v>7.4999999999999997E-3</v>
      </c>
      <c r="D61" s="81">
        <f>$C$45*$C$46</f>
        <v>834.4799999999999</v>
      </c>
      <c r="E61" s="89">
        <f t="shared" ref="E61:E62" si="25">C61*D61</f>
        <v>6.2585999999999986</v>
      </c>
      <c r="F61" s="77"/>
      <c r="G61" s="87">
        <f t="shared" si="13"/>
        <v>7.4999999999999997E-3</v>
      </c>
      <c r="H61" s="81">
        <f>$C$45*$C$46</f>
        <v>834.4799999999999</v>
      </c>
      <c r="I61" s="89">
        <f t="shared" ref="I61:I62" si="26">G61*H61</f>
        <v>6.2585999999999986</v>
      </c>
      <c r="J61" s="65"/>
      <c r="K61" s="95">
        <f t="shared" si="18"/>
        <v>0</v>
      </c>
      <c r="L61" s="96" t="str">
        <f t="shared" si="14"/>
        <v xml:space="preserve"> 0.00%</v>
      </c>
    </row>
    <row r="62" spans="1:12" x14ac:dyDescent="0.25">
      <c r="A62" s="205" t="s">
        <v>49</v>
      </c>
      <c r="B62" s="197" t="s">
        <v>62</v>
      </c>
      <c r="C62" s="87">
        <f t="shared" si="15"/>
        <v>5.4000000000000003E-3</v>
      </c>
      <c r="D62" s="81">
        <f>$C$45*$C$46</f>
        <v>834.4799999999999</v>
      </c>
      <c r="E62" s="89">
        <f t="shared" si="25"/>
        <v>4.5061919999999995</v>
      </c>
      <c r="F62" s="77"/>
      <c r="G62" s="87">
        <f t="shared" si="13"/>
        <v>5.4000000000000003E-3</v>
      </c>
      <c r="H62" s="81">
        <f>$C$45*$C$46</f>
        <v>834.4799999999999</v>
      </c>
      <c r="I62" s="89">
        <f t="shared" si="26"/>
        <v>4.5061919999999995</v>
      </c>
      <c r="J62" s="65"/>
      <c r="K62" s="95">
        <f t="shared" si="18"/>
        <v>0</v>
      </c>
      <c r="L62" s="96" t="str">
        <f t="shared" si="14"/>
        <v xml:space="preserve"> 0.00%</v>
      </c>
    </row>
    <row r="63" spans="1:12" x14ac:dyDescent="0.25">
      <c r="A63" s="202" t="s">
        <v>50</v>
      </c>
      <c r="B63" s="200"/>
      <c r="C63" s="80">
        <f t="shared" si="15"/>
        <v>0</v>
      </c>
      <c r="D63" s="80"/>
      <c r="E63" s="90">
        <f>SUM(E60:E62)</f>
        <v>46.488879199999992</v>
      </c>
      <c r="F63" s="82"/>
      <c r="G63" s="80">
        <f t="shared" si="13"/>
        <v>0</v>
      </c>
      <c r="H63" s="80"/>
      <c r="I63" s="90">
        <f>SUM(I60:I62)</f>
        <v>46.344779199999991</v>
      </c>
      <c r="J63" s="66"/>
      <c r="K63" s="141">
        <f t="shared" si="18"/>
        <v>-0.14410000000000167</v>
      </c>
      <c r="L63" s="97">
        <f t="shared" si="14"/>
        <v>-3.0996660379801755E-3</v>
      </c>
    </row>
    <row r="64" spans="1:12" x14ac:dyDescent="0.25">
      <c r="A64" s="206" t="s">
        <v>51</v>
      </c>
      <c r="B64" s="197" t="s">
        <v>62</v>
      </c>
      <c r="C64" s="88">
        <f t="shared" si="15"/>
        <v>4.4000000000000003E-3</v>
      </c>
      <c r="D64" s="81">
        <f t="shared" ref="D64:D65" si="27">$C$45*$C$46</f>
        <v>834.4799999999999</v>
      </c>
      <c r="E64" s="67">
        <f t="shared" ref="E64:E68" si="28">C64*D64</f>
        <v>3.6717119999999999</v>
      </c>
      <c r="F64" s="79"/>
      <c r="G64" s="88">
        <f t="shared" si="13"/>
        <v>4.4000000000000003E-3</v>
      </c>
      <c r="H64" s="81">
        <f t="shared" ref="H64:H65" si="29">$C$45*$C$46</f>
        <v>834.4799999999999</v>
      </c>
      <c r="I64" s="67">
        <f t="shared" ref="I64:I68" si="30">G64*H64</f>
        <v>3.6717119999999999</v>
      </c>
      <c r="J64" s="65"/>
      <c r="K64" s="95">
        <f t="shared" si="18"/>
        <v>0</v>
      </c>
      <c r="L64" s="96" t="str">
        <f t="shared" si="14"/>
        <v xml:space="preserve"> 0.00%</v>
      </c>
    </row>
    <row r="65" spans="1:12" x14ac:dyDescent="0.25">
      <c r="A65" s="206" t="s">
        <v>52</v>
      </c>
      <c r="B65" s="197" t="s">
        <v>62</v>
      </c>
      <c r="C65" s="88">
        <f t="shared" si="15"/>
        <v>1.2999999999999999E-3</v>
      </c>
      <c r="D65" s="81">
        <f t="shared" si="27"/>
        <v>834.4799999999999</v>
      </c>
      <c r="E65" s="67">
        <f t="shared" si="28"/>
        <v>1.0848239999999998</v>
      </c>
      <c r="F65" s="79"/>
      <c r="G65" s="88">
        <f t="shared" si="13"/>
        <v>1.2999999999999999E-3</v>
      </c>
      <c r="H65" s="81">
        <f t="shared" si="29"/>
        <v>834.4799999999999</v>
      </c>
      <c r="I65" s="67">
        <f t="shared" si="30"/>
        <v>1.0848239999999998</v>
      </c>
      <c r="J65" s="65"/>
      <c r="K65" s="95">
        <f t="shared" si="18"/>
        <v>0</v>
      </c>
      <c r="L65" s="96" t="str">
        <f t="shared" si="14"/>
        <v xml:space="preserve"> 0.00%</v>
      </c>
    </row>
    <row r="66" spans="1:12" x14ac:dyDescent="0.25">
      <c r="A66" s="196" t="s">
        <v>53</v>
      </c>
      <c r="B66" s="197" t="s">
        <v>61</v>
      </c>
      <c r="C66" s="69">
        <f t="shared" si="15"/>
        <v>0.25</v>
      </c>
      <c r="D66" s="81">
        <v>1</v>
      </c>
      <c r="E66" s="67">
        <f t="shared" si="28"/>
        <v>0.25</v>
      </c>
      <c r="F66" s="79"/>
      <c r="G66" s="69">
        <f t="shared" si="13"/>
        <v>0.25</v>
      </c>
      <c r="H66" s="81">
        <v>1</v>
      </c>
      <c r="I66" s="67">
        <f t="shared" si="30"/>
        <v>0.25</v>
      </c>
      <c r="J66" s="79"/>
      <c r="K66" s="95">
        <f t="shared" si="18"/>
        <v>0</v>
      </c>
      <c r="L66" s="96" t="str">
        <f t="shared" si="14"/>
        <v xml:space="preserve"> 0.00%</v>
      </c>
    </row>
    <row r="67" spans="1:12" x14ac:dyDescent="0.25">
      <c r="A67" s="196" t="s">
        <v>54</v>
      </c>
      <c r="B67" s="197" t="s">
        <v>62</v>
      </c>
      <c r="C67" s="83">
        <f t="shared" si="15"/>
        <v>0.08</v>
      </c>
      <c r="D67" s="81">
        <f>$C$45*0.64</f>
        <v>512</v>
      </c>
      <c r="E67" s="67">
        <f t="shared" si="28"/>
        <v>40.96</v>
      </c>
      <c r="F67" s="79"/>
      <c r="G67" s="83">
        <f t="shared" si="13"/>
        <v>0.08</v>
      </c>
      <c r="H67" s="81">
        <f>$C$45*0.64</f>
        <v>512</v>
      </c>
      <c r="I67" s="67">
        <f t="shared" si="30"/>
        <v>40.96</v>
      </c>
      <c r="J67" s="79"/>
      <c r="K67" s="95">
        <f t="shared" si="18"/>
        <v>0</v>
      </c>
      <c r="L67" s="96" t="str">
        <f t="shared" si="14"/>
        <v xml:space="preserve"> 0.00%</v>
      </c>
    </row>
    <row r="68" spans="1:12" x14ac:dyDescent="0.25">
      <c r="A68" s="196" t="s">
        <v>55</v>
      </c>
      <c r="B68" s="197" t="s">
        <v>62</v>
      </c>
      <c r="C68" s="83">
        <f t="shared" si="15"/>
        <v>0.122</v>
      </c>
      <c r="D68" s="81">
        <f>$C$45*0.18</f>
        <v>144</v>
      </c>
      <c r="E68" s="67">
        <f t="shared" si="28"/>
        <v>17.567999999999998</v>
      </c>
      <c r="F68" s="79"/>
      <c r="G68" s="83">
        <f t="shared" si="13"/>
        <v>0.122</v>
      </c>
      <c r="H68" s="81">
        <f>$C$45*0.18</f>
        <v>144</v>
      </c>
      <c r="I68" s="67">
        <f t="shared" si="30"/>
        <v>17.567999999999998</v>
      </c>
      <c r="J68" s="79"/>
      <c r="K68" s="95">
        <f t="shared" si="18"/>
        <v>0</v>
      </c>
      <c r="L68" s="96" t="str">
        <f t="shared" si="14"/>
        <v xml:space="preserve"> 0.00%</v>
      </c>
    </row>
    <row r="69" spans="1:12" ht="15.75" thickBot="1" x14ac:dyDescent="0.3">
      <c r="A69" s="207" t="s">
        <v>56</v>
      </c>
      <c r="B69" s="208" t="s">
        <v>62</v>
      </c>
      <c r="C69" s="83">
        <f t="shared" si="15"/>
        <v>0.161</v>
      </c>
      <c r="D69" s="81">
        <f>$C$45*0.18</f>
        <v>144</v>
      </c>
      <c r="E69" s="67">
        <f>C69*D69</f>
        <v>23.184000000000001</v>
      </c>
      <c r="F69" s="79"/>
      <c r="G69" s="83">
        <f t="shared" si="13"/>
        <v>0.161</v>
      </c>
      <c r="H69" s="81">
        <f>$C$45*0.18</f>
        <v>144</v>
      </c>
      <c r="I69" s="67">
        <f>G69*H69</f>
        <v>23.184000000000001</v>
      </c>
      <c r="J69" s="79"/>
      <c r="K69" s="95">
        <f t="shared" si="18"/>
        <v>0</v>
      </c>
      <c r="L69" s="96" t="str">
        <f t="shared" si="14"/>
        <v xml:space="preserve"> 0.00%</v>
      </c>
    </row>
    <row r="70" spans="1:12" ht="9" customHeight="1" thickBot="1" x14ac:dyDescent="0.3">
      <c r="A70" s="209"/>
      <c r="B70" s="210"/>
      <c r="C70" s="137"/>
      <c r="D70" s="84"/>
      <c r="E70" s="91"/>
      <c r="F70" s="84"/>
      <c r="G70" s="137"/>
      <c r="H70" s="84"/>
      <c r="I70" s="137"/>
      <c r="J70" s="84"/>
      <c r="K70" s="138"/>
      <c r="L70" s="98"/>
    </row>
    <row r="71" spans="1:12" x14ac:dyDescent="0.25">
      <c r="A71" s="211" t="s">
        <v>57</v>
      </c>
      <c r="B71" s="212"/>
      <c r="C71" s="102"/>
      <c r="D71" s="103"/>
      <c r="E71" s="92">
        <f>SUM(E63:E69)</f>
        <v>133.20741519999999</v>
      </c>
      <c r="F71" s="104"/>
      <c r="G71" s="105"/>
      <c r="H71" s="103"/>
      <c r="I71" s="139">
        <f>SUM(I63:I69)</f>
        <v>133.06331520000001</v>
      </c>
      <c r="J71" s="85"/>
      <c r="K71" s="140">
        <f t="shared" ref="K71:K75" si="31">I71-E71</f>
        <v>-0.14409999999998035</v>
      </c>
      <c r="L71" s="68">
        <f t="shared" si="14"/>
        <v>-1.0817716099634778E-3</v>
      </c>
    </row>
    <row r="72" spans="1:12" x14ac:dyDescent="0.25">
      <c r="A72" s="213" t="s">
        <v>58</v>
      </c>
      <c r="B72" s="214"/>
      <c r="C72" s="102">
        <v>0.13</v>
      </c>
      <c r="D72" s="106"/>
      <c r="E72" s="93">
        <f>E71*C72</f>
        <v>17.316963976</v>
      </c>
      <c r="F72" s="74"/>
      <c r="G72" s="102">
        <v>0.13</v>
      </c>
      <c r="H72" s="106"/>
      <c r="I72" s="100">
        <f>I71*G72</f>
        <v>17.298230976000003</v>
      </c>
      <c r="J72" s="86"/>
      <c r="K72" s="67">
        <f t="shared" si="31"/>
        <v>-1.8732999999997446E-2</v>
      </c>
      <c r="L72" s="96">
        <f t="shared" si="14"/>
        <v>-1.0817716099634778E-3</v>
      </c>
    </row>
    <row r="73" spans="1:12" ht="15" hidden="1" customHeight="1" x14ac:dyDescent="0.25">
      <c r="A73" s="215" t="s">
        <v>117</v>
      </c>
      <c r="B73" s="214"/>
      <c r="C73" s="74"/>
      <c r="D73" s="106"/>
      <c r="E73" s="93">
        <f>E71+E72</f>
        <v>150.524379176</v>
      </c>
      <c r="F73" s="74"/>
      <c r="G73" s="74"/>
      <c r="H73" s="106"/>
      <c r="I73" s="100">
        <f>I71+I72</f>
        <v>150.36154617600002</v>
      </c>
      <c r="J73" s="86"/>
      <c r="K73" s="67">
        <f t="shared" si="31"/>
        <v>-0.1628329999999778</v>
      </c>
      <c r="L73" s="96">
        <f t="shared" ref="L73" si="32">I73/E73-1</f>
        <v>-1.0817716099634778E-3</v>
      </c>
    </row>
    <row r="74" spans="1:12" ht="15" hidden="1" customHeight="1" x14ac:dyDescent="0.25">
      <c r="A74" s="216"/>
      <c r="B74" s="214"/>
      <c r="C74" s="74"/>
      <c r="D74" s="106"/>
      <c r="E74" s="94">
        <v>0</v>
      </c>
      <c r="F74" s="74"/>
      <c r="G74" s="74"/>
      <c r="H74" s="106"/>
      <c r="I74" s="101">
        <v>0</v>
      </c>
      <c r="J74" s="86"/>
      <c r="K74" s="67">
        <f t="shared" si="31"/>
        <v>0</v>
      </c>
      <c r="L74" s="101">
        <v>0</v>
      </c>
    </row>
    <row r="75" spans="1:12" ht="15.75" thickBot="1" x14ac:dyDescent="0.3">
      <c r="A75" s="217" t="s">
        <v>96</v>
      </c>
      <c r="B75" s="218"/>
      <c r="C75" s="142"/>
      <c r="D75" s="143"/>
      <c r="E75" s="144">
        <f>E73+E74</f>
        <v>150.524379176</v>
      </c>
      <c r="F75" s="145"/>
      <c r="G75" s="145"/>
      <c r="H75" s="145"/>
      <c r="I75" s="149">
        <f>I73+I74</f>
        <v>150.36154617600002</v>
      </c>
      <c r="J75" s="146"/>
      <c r="K75" s="147">
        <f t="shared" si="31"/>
        <v>-0.1628329999999778</v>
      </c>
      <c r="L75" s="148">
        <f t="shared" ref="L75" si="33">IF(I75-E75=0, " 0.00%", I75/E75-1)</f>
        <v>-1.0817716099634778E-3</v>
      </c>
    </row>
    <row r="76" spans="1:12" ht="9" customHeight="1" thickBot="1" x14ac:dyDescent="0.3">
      <c r="A76" s="209"/>
      <c r="B76" s="210"/>
      <c r="C76" s="137"/>
      <c r="D76" s="84"/>
      <c r="E76" s="91"/>
      <c r="F76" s="84"/>
      <c r="G76" s="137"/>
      <c r="H76" s="84"/>
      <c r="I76" s="137"/>
      <c r="J76" s="84"/>
      <c r="K76" s="138"/>
      <c r="L76" s="98"/>
    </row>
    <row r="79" spans="1:12" x14ac:dyDescent="0.25">
      <c r="A79" s="229" t="s">
        <v>97</v>
      </c>
      <c r="B79" s="230"/>
      <c r="C79" s="231"/>
    </row>
    <row r="80" spans="1:12" hidden="1" x14ac:dyDescent="0.25">
      <c r="A80" s="233"/>
      <c r="B80" s="234"/>
      <c r="C80" s="235"/>
    </row>
    <row r="81" spans="1:12" x14ac:dyDescent="0.25">
      <c r="A81" s="233" t="s">
        <v>66</v>
      </c>
      <c r="B81" s="234"/>
      <c r="C81" s="240">
        <f>'2017 Bill Impact'!C81</f>
        <v>1500</v>
      </c>
    </row>
    <row r="82" spans="1:12" x14ac:dyDescent="0.25">
      <c r="A82" s="237" t="s">
        <v>65</v>
      </c>
      <c r="B82" s="238"/>
      <c r="C82" s="241">
        <f>'2017 Bill Impact'!C82</f>
        <v>1.0430999999999999</v>
      </c>
    </row>
    <row r="84" spans="1:12" x14ac:dyDescent="0.25">
      <c r="A84" s="187"/>
      <c r="B84" s="188"/>
      <c r="C84" s="258" t="s">
        <v>67</v>
      </c>
      <c r="D84" s="259"/>
      <c r="E84" s="260"/>
      <c r="F84" s="187"/>
      <c r="G84" s="258" t="s">
        <v>68</v>
      </c>
      <c r="H84" s="259"/>
      <c r="I84" s="260"/>
      <c r="J84" s="187"/>
      <c r="K84" s="258" t="s">
        <v>39</v>
      </c>
      <c r="L84" s="260"/>
    </row>
    <row r="85" spans="1:12" ht="15" customHeight="1" x14ac:dyDescent="0.25">
      <c r="A85" s="187"/>
      <c r="B85" s="189"/>
      <c r="C85" s="190" t="s">
        <v>108</v>
      </c>
      <c r="D85" s="190" t="s">
        <v>35</v>
      </c>
      <c r="E85" s="191" t="s">
        <v>109</v>
      </c>
      <c r="F85" s="187"/>
      <c r="G85" s="190" t="s">
        <v>108</v>
      </c>
      <c r="H85" s="190" t="s">
        <v>35</v>
      </c>
      <c r="I85" s="191" t="s">
        <v>109</v>
      </c>
      <c r="J85" s="187"/>
      <c r="K85" s="192" t="s">
        <v>40</v>
      </c>
      <c r="L85" s="193" t="s">
        <v>41</v>
      </c>
    </row>
    <row r="86" spans="1:12" x14ac:dyDescent="0.25">
      <c r="A86" s="194" t="s">
        <v>36</v>
      </c>
      <c r="B86" s="195" t="s">
        <v>61</v>
      </c>
      <c r="C86" s="67">
        <f>C50</f>
        <v>19.77</v>
      </c>
      <c r="D86" s="109">
        <v>1</v>
      </c>
      <c r="E86" s="67">
        <f>C86*D86</f>
        <v>19.77</v>
      </c>
      <c r="F86" s="75"/>
      <c r="G86" s="67">
        <f>G50</f>
        <v>23.18</v>
      </c>
      <c r="H86" s="109">
        <v>1</v>
      </c>
      <c r="I86" s="67">
        <f>G86*H86</f>
        <v>23.18</v>
      </c>
      <c r="J86" s="75"/>
      <c r="K86" s="67">
        <f>I86-E86</f>
        <v>3.41</v>
      </c>
      <c r="L86" s="96">
        <f t="shared" ref="L86:L108" si="34">IF(I86-E86=0, " 0.00%", I86/E86-1)</f>
        <v>0.17248356095093587</v>
      </c>
    </row>
    <row r="87" spans="1:12" x14ac:dyDescent="0.25">
      <c r="A87" s="196" t="s">
        <v>60</v>
      </c>
      <c r="B87" s="197" t="s">
        <v>61</v>
      </c>
      <c r="C87" s="67">
        <f t="shared" ref="C87:C105" si="35">C51</f>
        <v>-0.19769999999999999</v>
      </c>
      <c r="D87" s="109">
        <v>1</v>
      </c>
      <c r="E87" s="67">
        <f t="shared" ref="E87:E91" si="36">C87*D87</f>
        <v>-0.19769999999999999</v>
      </c>
      <c r="F87" s="75"/>
      <c r="G87" s="67">
        <f t="shared" ref="G87:G105" si="37">G51</f>
        <v>-0.23180000000000001</v>
      </c>
      <c r="H87" s="109">
        <v>1</v>
      </c>
      <c r="I87" s="67">
        <f t="shared" ref="I87:I91" si="38">G87*H87</f>
        <v>-0.23180000000000001</v>
      </c>
      <c r="J87" s="86"/>
      <c r="K87" s="67">
        <f t="shared" ref="K87:K105" si="39">I87-E87</f>
        <v>-3.4100000000000019E-2</v>
      </c>
      <c r="L87" s="96">
        <f t="shared" si="34"/>
        <v>0.17248356095093587</v>
      </c>
    </row>
    <row r="88" spans="1:12" x14ac:dyDescent="0.25">
      <c r="A88" s="196" t="s">
        <v>63</v>
      </c>
      <c r="B88" s="197" t="s">
        <v>61</v>
      </c>
      <c r="C88" s="67">
        <f t="shared" si="35"/>
        <v>0.64</v>
      </c>
      <c r="D88" s="109">
        <v>1</v>
      </c>
      <c r="E88" s="67">
        <f t="shared" si="36"/>
        <v>0.64</v>
      </c>
      <c r="F88" s="75"/>
      <c r="G88" s="67">
        <f t="shared" si="37"/>
        <v>0.64</v>
      </c>
      <c r="H88" s="109">
        <v>1</v>
      </c>
      <c r="I88" s="67">
        <f t="shared" si="38"/>
        <v>0.64</v>
      </c>
      <c r="J88" s="86"/>
      <c r="K88" s="67">
        <f t="shared" si="39"/>
        <v>0</v>
      </c>
      <c r="L88" s="96" t="str">
        <f t="shared" si="34"/>
        <v xml:space="preserve"> 0.00%</v>
      </c>
    </row>
    <row r="89" spans="1:12" x14ac:dyDescent="0.25">
      <c r="A89" s="196" t="s">
        <v>42</v>
      </c>
      <c r="B89" s="197" t="s">
        <v>62</v>
      </c>
      <c r="C89" s="70">
        <f t="shared" si="35"/>
        <v>1.3299999999999999E-2</v>
      </c>
      <c r="D89" s="76">
        <f>$C$81</f>
        <v>1500</v>
      </c>
      <c r="E89" s="67">
        <f t="shared" si="36"/>
        <v>19.95</v>
      </c>
      <c r="F89" s="75"/>
      <c r="G89" s="70">
        <f t="shared" si="37"/>
        <v>8.8999999999999999E-3</v>
      </c>
      <c r="H89" s="76">
        <f>$C$81</f>
        <v>1500</v>
      </c>
      <c r="I89" s="67">
        <f t="shared" si="38"/>
        <v>13.35</v>
      </c>
      <c r="J89" s="86"/>
      <c r="K89" s="67">
        <f t="shared" si="39"/>
        <v>-6.6</v>
      </c>
      <c r="L89" s="96">
        <f t="shared" si="34"/>
        <v>-0.33082706766917291</v>
      </c>
    </row>
    <row r="90" spans="1:12" x14ac:dyDescent="0.25">
      <c r="A90" s="196" t="s">
        <v>60</v>
      </c>
      <c r="B90" s="197" t="s">
        <v>62</v>
      </c>
      <c r="C90" s="70">
        <f t="shared" si="35"/>
        <v>-1E-4</v>
      </c>
      <c r="D90" s="76">
        <f>$C$81</f>
        <v>1500</v>
      </c>
      <c r="E90" s="67">
        <f t="shared" si="36"/>
        <v>-0.15</v>
      </c>
      <c r="F90" s="75"/>
      <c r="G90" s="70">
        <f t="shared" si="37"/>
        <v>-1E-4</v>
      </c>
      <c r="H90" s="76">
        <f>$C$81</f>
        <v>1500</v>
      </c>
      <c r="I90" s="67">
        <f t="shared" si="38"/>
        <v>-0.15</v>
      </c>
      <c r="J90" s="86"/>
      <c r="K90" s="67">
        <f t="shared" si="39"/>
        <v>0</v>
      </c>
      <c r="L90" s="96" t="str">
        <f t="shared" si="34"/>
        <v xml:space="preserve"> 0.00%</v>
      </c>
    </row>
    <row r="91" spans="1:12" x14ac:dyDescent="0.25">
      <c r="A91" s="198" t="s">
        <v>64</v>
      </c>
      <c r="B91" s="197" t="s">
        <v>62</v>
      </c>
      <c r="C91" s="70">
        <f t="shared" si="35"/>
        <v>8.0000000000000004E-4</v>
      </c>
      <c r="D91" s="76">
        <f>$C$81</f>
        <v>1500</v>
      </c>
      <c r="E91" s="67">
        <f t="shared" si="36"/>
        <v>1.2</v>
      </c>
      <c r="F91" s="75"/>
      <c r="G91" s="70">
        <f t="shared" si="37"/>
        <v>8.0000000000000004E-4</v>
      </c>
      <c r="H91" s="76">
        <f>$C$81</f>
        <v>1500</v>
      </c>
      <c r="I91" s="67">
        <f t="shared" si="38"/>
        <v>1.2</v>
      </c>
      <c r="J91" s="86"/>
      <c r="K91" s="67">
        <f t="shared" si="39"/>
        <v>0</v>
      </c>
      <c r="L91" s="96" t="str">
        <f t="shared" si="34"/>
        <v xml:space="preserve"> 0.00%</v>
      </c>
    </row>
    <row r="92" spans="1:12" x14ac:dyDescent="0.25">
      <c r="A92" s="199" t="s">
        <v>43</v>
      </c>
      <c r="B92" s="200"/>
      <c r="C92" s="64">
        <f t="shared" si="35"/>
        <v>0</v>
      </c>
      <c r="D92" s="80"/>
      <c r="E92" s="63">
        <f>SUM(E86:E91)</f>
        <v>41.212300000000006</v>
      </c>
      <c r="F92" s="77"/>
      <c r="G92" s="64">
        <f t="shared" si="37"/>
        <v>0</v>
      </c>
      <c r="H92" s="80"/>
      <c r="I92" s="63">
        <f>SUM(I86:I91)</f>
        <v>37.988200000000006</v>
      </c>
      <c r="J92" s="65"/>
      <c r="K92" s="141">
        <f t="shared" si="39"/>
        <v>-3.2241</v>
      </c>
      <c r="L92" s="97">
        <f t="shared" si="34"/>
        <v>-7.8231498848644665E-2</v>
      </c>
    </row>
    <row r="93" spans="1:12" x14ac:dyDescent="0.25">
      <c r="A93" s="201" t="s">
        <v>44</v>
      </c>
      <c r="B93" s="197" t="s">
        <v>62</v>
      </c>
      <c r="C93" s="87">
        <f t="shared" si="35"/>
        <v>0.10214000000000001</v>
      </c>
      <c r="D93" s="78">
        <f>($C$81*$C$46)-$C$81</f>
        <v>64.649999999999864</v>
      </c>
      <c r="E93" s="89">
        <f t="shared" ref="E93" si="40">C93*D93</f>
        <v>6.6033509999999866</v>
      </c>
      <c r="F93" s="77"/>
      <c r="G93" s="87">
        <f t="shared" si="37"/>
        <v>0.10214000000000001</v>
      </c>
      <c r="H93" s="78">
        <f>($C$81*$C$46)-$C$81</f>
        <v>64.649999999999864</v>
      </c>
      <c r="I93" s="89">
        <f t="shared" ref="I93" si="41">G93*H93</f>
        <v>6.6033509999999866</v>
      </c>
      <c r="J93" s="65"/>
      <c r="K93" s="67">
        <f t="shared" si="39"/>
        <v>0</v>
      </c>
      <c r="L93" s="96" t="str">
        <f t="shared" si="34"/>
        <v xml:space="preserve"> 0.00%</v>
      </c>
    </row>
    <row r="94" spans="1:12" hidden="1" x14ac:dyDescent="0.25">
      <c r="A94" s="201" t="s">
        <v>45</v>
      </c>
      <c r="B94" s="197" t="s">
        <v>62</v>
      </c>
      <c r="C94" s="108">
        <f t="shared" si="35"/>
        <v>0</v>
      </c>
      <c r="D94" s="78">
        <v>0</v>
      </c>
      <c r="E94" s="89">
        <v>0</v>
      </c>
      <c r="F94" s="77"/>
      <c r="G94" s="108">
        <f t="shared" si="37"/>
        <v>0</v>
      </c>
      <c r="H94" s="78">
        <v>0</v>
      </c>
      <c r="I94" s="89">
        <v>0</v>
      </c>
      <c r="J94" s="65"/>
      <c r="K94" s="67">
        <f t="shared" si="39"/>
        <v>0</v>
      </c>
      <c r="L94" s="96" t="str">
        <f t="shared" si="34"/>
        <v xml:space="preserve"> 0.00%</v>
      </c>
    </row>
    <row r="95" spans="1:12" x14ac:dyDescent="0.25">
      <c r="A95" s="196" t="s">
        <v>46</v>
      </c>
      <c r="B95" s="197" t="s">
        <v>61</v>
      </c>
      <c r="C95" s="107">
        <f t="shared" si="35"/>
        <v>0.79</v>
      </c>
      <c r="D95" s="78">
        <v>1</v>
      </c>
      <c r="E95" s="89">
        <f t="shared" ref="E95" si="42">C95*D95</f>
        <v>0.79</v>
      </c>
      <c r="F95" s="77"/>
      <c r="G95" s="107">
        <f t="shared" si="37"/>
        <v>0.79</v>
      </c>
      <c r="H95" s="78">
        <v>1</v>
      </c>
      <c r="I95" s="89">
        <f t="shared" ref="I95" si="43">G95*H95</f>
        <v>0.79</v>
      </c>
      <c r="J95" s="65"/>
      <c r="K95" s="67">
        <f t="shared" si="39"/>
        <v>0</v>
      </c>
      <c r="L95" s="96" t="str">
        <f t="shared" si="34"/>
        <v xml:space="preserve"> 0.00%</v>
      </c>
    </row>
    <row r="96" spans="1:12" x14ac:dyDescent="0.25">
      <c r="A96" s="202" t="s">
        <v>47</v>
      </c>
      <c r="B96" s="203"/>
      <c r="C96" s="80">
        <f t="shared" si="35"/>
        <v>0</v>
      </c>
      <c r="D96" s="80"/>
      <c r="E96" s="90">
        <f>SUM(E92:E95)</f>
        <v>48.605650999999995</v>
      </c>
      <c r="F96" s="77"/>
      <c r="G96" s="80">
        <f t="shared" si="37"/>
        <v>0</v>
      </c>
      <c r="H96" s="80"/>
      <c r="I96" s="90">
        <f>SUM(I92:I95)</f>
        <v>45.381550999999995</v>
      </c>
      <c r="J96" s="65"/>
      <c r="K96" s="141">
        <f t="shared" si="39"/>
        <v>-3.2241</v>
      </c>
      <c r="L96" s="97">
        <f t="shared" si="34"/>
        <v>-6.6331793395792649E-2</v>
      </c>
    </row>
    <row r="97" spans="1:12" x14ac:dyDescent="0.25">
      <c r="A97" s="204" t="s">
        <v>48</v>
      </c>
      <c r="B97" s="197" t="s">
        <v>62</v>
      </c>
      <c r="C97" s="87">
        <f t="shared" si="35"/>
        <v>7.4999999999999997E-3</v>
      </c>
      <c r="D97" s="81">
        <f>$C$81*$C$46</f>
        <v>1564.6499999999999</v>
      </c>
      <c r="E97" s="89">
        <f t="shared" ref="E97:E98" si="44">C97*D97</f>
        <v>11.734874999999999</v>
      </c>
      <c r="F97" s="77"/>
      <c r="G97" s="87">
        <f t="shared" si="37"/>
        <v>7.4999999999999997E-3</v>
      </c>
      <c r="H97" s="81">
        <f>$C$81*$C$46</f>
        <v>1564.6499999999999</v>
      </c>
      <c r="I97" s="89">
        <f t="shared" ref="I97:I98" si="45">G97*H97</f>
        <v>11.734874999999999</v>
      </c>
      <c r="J97" s="65"/>
      <c r="K97" s="95">
        <f t="shared" si="39"/>
        <v>0</v>
      </c>
      <c r="L97" s="96" t="str">
        <f t="shared" si="34"/>
        <v xml:space="preserve"> 0.00%</v>
      </c>
    </row>
    <row r="98" spans="1:12" x14ac:dyDescent="0.25">
      <c r="A98" s="205" t="s">
        <v>49</v>
      </c>
      <c r="B98" s="197" t="s">
        <v>62</v>
      </c>
      <c r="C98" s="87">
        <f t="shared" si="35"/>
        <v>5.4000000000000003E-3</v>
      </c>
      <c r="D98" s="81">
        <f>$C$81*$C$46</f>
        <v>1564.6499999999999</v>
      </c>
      <c r="E98" s="89">
        <f t="shared" si="44"/>
        <v>8.4491099999999992</v>
      </c>
      <c r="F98" s="77"/>
      <c r="G98" s="87">
        <f t="shared" si="37"/>
        <v>5.4000000000000003E-3</v>
      </c>
      <c r="H98" s="81">
        <f>$C$81*$C$46</f>
        <v>1564.6499999999999</v>
      </c>
      <c r="I98" s="89">
        <f t="shared" si="45"/>
        <v>8.4491099999999992</v>
      </c>
      <c r="J98" s="65"/>
      <c r="K98" s="95">
        <f t="shared" si="39"/>
        <v>0</v>
      </c>
      <c r="L98" s="96" t="str">
        <f t="shared" si="34"/>
        <v xml:space="preserve"> 0.00%</v>
      </c>
    </row>
    <row r="99" spans="1:12" x14ac:dyDescent="0.25">
      <c r="A99" s="202" t="s">
        <v>50</v>
      </c>
      <c r="B99" s="200"/>
      <c r="C99" s="80">
        <f t="shared" si="35"/>
        <v>0</v>
      </c>
      <c r="D99" s="80"/>
      <c r="E99" s="90">
        <f>SUM(E96:E98)</f>
        <v>68.789636000000002</v>
      </c>
      <c r="F99" s="82"/>
      <c r="G99" s="80">
        <f t="shared" si="37"/>
        <v>0</v>
      </c>
      <c r="H99" s="80"/>
      <c r="I99" s="90">
        <f>SUM(I96:I98)</f>
        <v>65.565535999999994</v>
      </c>
      <c r="J99" s="66"/>
      <c r="K99" s="141">
        <f t="shared" si="39"/>
        <v>-3.2241000000000071</v>
      </c>
      <c r="L99" s="97">
        <f t="shared" si="34"/>
        <v>-4.6868978925837079E-2</v>
      </c>
    </row>
    <row r="100" spans="1:12" x14ac:dyDescent="0.25">
      <c r="A100" s="206" t="s">
        <v>51</v>
      </c>
      <c r="B100" s="197" t="s">
        <v>62</v>
      </c>
      <c r="C100" s="88">
        <f t="shared" si="35"/>
        <v>4.4000000000000003E-3</v>
      </c>
      <c r="D100" s="81">
        <f>$C$81*$C$46</f>
        <v>1564.6499999999999</v>
      </c>
      <c r="E100" s="67">
        <f t="shared" ref="E100:E104" si="46">C100*D100</f>
        <v>6.8844599999999998</v>
      </c>
      <c r="F100" s="79"/>
      <c r="G100" s="88">
        <f t="shared" si="37"/>
        <v>4.4000000000000003E-3</v>
      </c>
      <c r="H100" s="81">
        <f>$C$81*$C$46</f>
        <v>1564.6499999999999</v>
      </c>
      <c r="I100" s="67">
        <f t="shared" ref="I100:I104" si="47">G100*H100</f>
        <v>6.8844599999999998</v>
      </c>
      <c r="J100" s="65"/>
      <c r="K100" s="95">
        <f t="shared" si="39"/>
        <v>0</v>
      </c>
      <c r="L100" s="96" t="str">
        <f t="shared" si="34"/>
        <v xml:space="preserve"> 0.00%</v>
      </c>
    </row>
    <row r="101" spans="1:12" x14ac:dyDescent="0.25">
      <c r="A101" s="206" t="s">
        <v>52</v>
      </c>
      <c r="B101" s="197" t="s">
        <v>62</v>
      </c>
      <c r="C101" s="88">
        <f t="shared" si="35"/>
        <v>1.2999999999999999E-3</v>
      </c>
      <c r="D101" s="81">
        <f>$C$81*$C$46</f>
        <v>1564.6499999999999</v>
      </c>
      <c r="E101" s="67">
        <f t="shared" si="46"/>
        <v>2.0340449999999999</v>
      </c>
      <c r="F101" s="79"/>
      <c r="G101" s="88">
        <f t="shared" si="37"/>
        <v>1.2999999999999999E-3</v>
      </c>
      <c r="H101" s="81">
        <f>$C$81*$C$46</f>
        <v>1564.6499999999999</v>
      </c>
      <c r="I101" s="67">
        <f t="shared" si="47"/>
        <v>2.0340449999999999</v>
      </c>
      <c r="J101" s="65"/>
      <c r="K101" s="95">
        <f t="shared" si="39"/>
        <v>0</v>
      </c>
      <c r="L101" s="96" t="str">
        <f t="shared" si="34"/>
        <v xml:space="preserve"> 0.00%</v>
      </c>
    </row>
    <row r="102" spans="1:12" x14ac:dyDescent="0.25">
      <c r="A102" s="196" t="s">
        <v>53</v>
      </c>
      <c r="B102" s="197" t="s">
        <v>61</v>
      </c>
      <c r="C102" s="69">
        <f t="shared" si="35"/>
        <v>0.25</v>
      </c>
      <c r="D102" s="81">
        <v>1</v>
      </c>
      <c r="E102" s="67">
        <f t="shared" si="46"/>
        <v>0.25</v>
      </c>
      <c r="F102" s="79"/>
      <c r="G102" s="69">
        <f t="shared" si="37"/>
        <v>0.25</v>
      </c>
      <c r="H102" s="81">
        <v>1</v>
      </c>
      <c r="I102" s="67">
        <f t="shared" si="47"/>
        <v>0.25</v>
      </c>
      <c r="J102" s="79"/>
      <c r="K102" s="95">
        <f t="shared" si="39"/>
        <v>0</v>
      </c>
      <c r="L102" s="96" t="str">
        <f t="shared" si="34"/>
        <v xml:space="preserve"> 0.00%</v>
      </c>
    </row>
    <row r="103" spans="1:12" x14ac:dyDescent="0.25">
      <c r="A103" s="196" t="s">
        <v>54</v>
      </c>
      <c r="B103" s="197" t="s">
        <v>62</v>
      </c>
      <c r="C103" s="83">
        <f t="shared" si="35"/>
        <v>0.08</v>
      </c>
      <c r="D103" s="81">
        <f>$C$81*0.64</f>
        <v>960</v>
      </c>
      <c r="E103" s="67">
        <f t="shared" si="46"/>
        <v>76.8</v>
      </c>
      <c r="F103" s="79"/>
      <c r="G103" s="83">
        <f t="shared" si="37"/>
        <v>0.08</v>
      </c>
      <c r="H103" s="81">
        <f>$C$81*0.64</f>
        <v>960</v>
      </c>
      <c r="I103" s="67">
        <f t="shared" si="47"/>
        <v>76.8</v>
      </c>
      <c r="J103" s="79"/>
      <c r="K103" s="95">
        <f t="shared" si="39"/>
        <v>0</v>
      </c>
      <c r="L103" s="96" t="str">
        <f t="shared" si="34"/>
        <v xml:space="preserve"> 0.00%</v>
      </c>
    </row>
    <row r="104" spans="1:12" x14ac:dyDescent="0.25">
      <c r="A104" s="196" t="s">
        <v>55</v>
      </c>
      <c r="B104" s="197" t="s">
        <v>62</v>
      </c>
      <c r="C104" s="83">
        <f t="shared" si="35"/>
        <v>0.122</v>
      </c>
      <c r="D104" s="81">
        <f>$C$81*0.18</f>
        <v>270</v>
      </c>
      <c r="E104" s="67">
        <f t="shared" si="46"/>
        <v>32.94</v>
      </c>
      <c r="F104" s="79"/>
      <c r="G104" s="83">
        <f t="shared" si="37"/>
        <v>0.122</v>
      </c>
      <c r="H104" s="81">
        <f>$C$81*0.18</f>
        <v>270</v>
      </c>
      <c r="I104" s="67">
        <f t="shared" si="47"/>
        <v>32.94</v>
      </c>
      <c r="J104" s="79"/>
      <c r="K104" s="95">
        <f t="shared" si="39"/>
        <v>0</v>
      </c>
      <c r="L104" s="96" t="str">
        <f t="shared" si="34"/>
        <v xml:space="preserve"> 0.00%</v>
      </c>
    </row>
    <row r="105" spans="1:12" ht="15.75" thickBot="1" x14ac:dyDescent="0.3">
      <c r="A105" s="207" t="s">
        <v>56</v>
      </c>
      <c r="B105" s="208" t="s">
        <v>62</v>
      </c>
      <c r="C105" s="83">
        <f t="shared" si="35"/>
        <v>0.161</v>
      </c>
      <c r="D105" s="81">
        <f>$C$81*0.18</f>
        <v>270</v>
      </c>
      <c r="E105" s="67">
        <f>C105*D105</f>
        <v>43.47</v>
      </c>
      <c r="F105" s="79"/>
      <c r="G105" s="83">
        <f t="shared" si="37"/>
        <v>0.161</v>
      </c>
      <c r="H105" s="81">
        <f>$C$81*0.18</f>
        <v>270</v>
      </c>
      <c r="I105" s="67">
        <f>G105*H105</f>
        <v>43.47</v>
      </c>
      <c r="J105" s="79"/>
      <c r="K105" s="95">
        <f t="shared" si="39"/>
        <v>0</v>
      </c>
      <c r="L105" s="96" t="str">
        <f t="shared" si="34"/>
        <v xml:space="preserve"> 0.00%</v>
      </c>
    </row>
    <row r="106" spans="1:12" ht="9" customHeight="1" thickBot="1" x14ac:dyDescent="0.3">
      <c r="A106" s="209"/>
      <c r="B106" s="210"/>
      <c r="C106" s="137"/>
      <c r="D106" s="84"/>
      <c r="E106" s="91"/>
      <c r="F106" s="84"/>
      <c r="G106" s="137"/>
      <c r="H106" s="84"/>
      <c r="I106" s="137"/>
      <c r="J106" s="84"/>
      <c r="K106" s="138"/>
      <c r="L106" s="98"/>
    </row>
    <row r="107" spans="1:12" x14ac:dyDescent="0.25">
      <c r="A107" s="211" t="s">
        <v>57</v>
      </c>
      <c r="B107" s="212"/>
      <c r="C107" s="102"/>
      <c r="D107" s="103"/>
      <c r="E107" s="92">
        <f>SUM(E99:E105)</f>
        <v>231.16814100000002</v>
      </c>
      <c r="F107" s="104"/>
      <c r="G107" s="105"/>
      <c r="H107" s="103"/>
      <c r="I107" s="139">
        <f>SUM(I99:I105)</f>
        <v>227.944041</v>
      </c>
      <c r="J107" s="85"/>
      <c r="K107" s="140">
        <f t="shared" ref="K107:K111" si="48">I107-E107</f>
        <v>-3.2241000000000213</v>
      </c>
      <c r="L107" s="68">
        <f t="shared" si="34"/>
        <v>-1.3946991077806059E-2</v>
      </c>
    </row>
    <row r="108" spans="1:12" x14ac:dyDescent="0.25">
      <c r="A108" s="213" t="s">
        <v>58</v>
      </c>
      <c r="B108" s="214"/>
      <c r="C108" s="102">
        <v>0.13</v>
      </c>
      <c r="D108" s="106"/>
      <c r="E108" s="93">
        <f>E107*C108</f>
        <v>30.051858330000005</v>
      </c>
      <c r="F108" s="74"/>
      <c r="G108" s="102">
        <v>0.13</v>
      </c>
      <c r="H108" s="106"/>
      <c r="I108" s="100">
        <f>I107*G108</f>
        <v>29.63272533</v>
      </c>
      <c r="J108" s="86"/>
      <c r="K108" s="67">
        <f t="shared" si="48"/>
        <v>-0.41913300000000575</v>
      </c>
      <c r="L108" s="96">
        <f t="shared" si="34"/>
        <v>-1.394699107780617E-2</v>
      </c>
    </row>
    <row r="109" spans="1:12" hidden="1" x14ac:dyDescent="0.25">
      <c r="A109" s="215" t="s">
        <v>117</v>
      </c>
      <c r="B109" s="214"/>
      <c r="C109" s="74"/>
      <c r="D109" s="106"/>
      <c r="E109" s="93">
        <f>E107+E108</f>
        <v>261.21999933000001</v>
      </c>
      <c r="F109" s="74"/>
      <c r="G109" s="74"/>
      <c r="H109" s="106"/>
      <c r="I109" s="100">
        <f>I107+I108</f>
        <v>257.57676633</v>
      </c>
      <c r="J109" s="86"/>
      <c r="K109" s="67">
        <f t="shared" si="48"/>
        <v>-3.6432330000000093</v>
      </c>
      <c r="L109" s="96">
        <f t="shared" ref="L109" si="49">I109/E109-1</f>
        <v>-1.3946991077806059E-2</v>
      </c>
    </row>
    <row r="110" spans="1:12" hidden="1" x14ac:dyDescent="0.25">
      <c r="A110" s="216"/>
      <c r="B110" s="214"/>
      <c r="C110" s="74"/>
      <c r="D110" s="106"/>
      <c r="E110" s="94">
        <v>0</v>
      </c>
      <c r="F110" s="74"/>
      <c r="G110" s="74"/>
      <c r="H110" s="106"/>
      <c r="I110" s="101">
        <v>0</v>
      </c>
      <c r="J110" s="86"/>
      <c r="K110" s="67">
        <f t="shared" si="48"/>
        <v>0</v>
      </c>
      <c r="L110" s="101">
        <v>0</v>
      </c>
    </row>
    <row r="111" spans="1:12" ht="15.75" thickBot="1" x14ac:dyDescent="0.3">
      <c r="A111" s="217" t="s">
        <v>96</v>
      </c>
      <c r="B111" s="218"/>
      <c r="C111" s="142"/>
      <c r="D111" s="143"/>
      <c r="E111" s="144">
        <f>E109+E110</f>
        <v>261.21999933000001</v>
      </c>
      <c r="F111" s="145"/>
      <c r="G111" s="145"/>
      <c r="H111" s="145"/>
      <c r="I111" s="149">
        <f>I109+I110</f>
        <v>257.57676633</v>
      </c>
      <c r="J111" s="146"/>
      <c r="K111" s="147">
        <f t="shared" si="48"/>
        <v>-3.6432330000000093</v>
      </c>
      <c r="L111" s="148">
        <f t="shared" ref="L111" si="50">IF(I111-E111=0, " 0.00%", I111/E111-1)</f>
        <v>-1.3946991077806059E-2</v>
      </c>
    </row>
    <row r="112" spans="1:12" ht="9" customHeight="1" thickBot="1" x14ac:dyDescent="0.3">
      <c r="A112" s="209"/>
      <c r="B112" s="210"/>
      <c r="C112" s="137"/>
      <c r="D112" s="84"/>
      <c r="E112" s="91"/>
      <c r="F112" s="84"/>
      <c r="G112" s="137"/>
      <c r="H112" s="84"/>
      <c r="I112" s="137"/>
      <c r="J112" s="84"/>
      <c r="K112" s="138"/>
      <c r="L112" s="98"/>
    </row>
  </sheetData>
  <mergeCells count="9">
    <mergeCell ref="C84:E84"/>
    <mergeCell ref="G84:I84"/>
    <mergeCell ref="K84:L84"/>
    <mergeCell ref="C12:E12"/>
    <mergeCell ref="G12:I12"/>
    <mergeCell ref="K12:L12"/>
    <mergeCell ref="C48:E48"/>
    <mergeCell ref="G48:I48"/>
    <mergeCell ref="K48:L48"/>
  </mergeCells>
  <pageMargins left="0.7" right="0.7" top="0.75" bottom="0.75" header="0.3" footer="0.3"/>
  <pageSetup scale="48" orientation="portrait" r:id="rId1"/>
  <headerFooter>
    <oddHeader>&amp;RFiled: 2016-10-18
EB-2016-0082
Draft Rate Order
Attachment 3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112"/>
  <sheetViews>
    <sheetView showGridLines="0" tabSelected="1" view="pageLayout" topLeftCell="B1" zoomScaleNormal="90" workbookViewId="0">
      <selection activeCell="L1" sqref="L1"/>
    </sheetView>
  </sheetViews>
  <sheetFormatPr defaultColWidth="9.140625" defaultRowHeight="15" x14ac:dyDescent="0.25"/>
  <cols>
    <col min="1" max="1" width="64.85546875" style="232" bestFit="1" customWidth="1"/>
    <col min="2" max="2" width="9.140625" style="232"/>
    <col min="3" max="3" width="11.7109375" style="232" bestFit="1" customWidth="1"/>
    <col min="4" max="4" width="9.140625" style="232"/>
    <col min="5" max="5" width="11.5703125" style="232" bestFit="1" customWidth="1"/>
    <col min="6" max="6" width="9.140625" style="232"/>
    <col min="7" max="7" width="11.7109375" style="186" bestFit="1" customWidth="1"/>
    <col min="8" max="8" width="9.140625" style="186"/>
    <col min="9" max="9" width="11.5703125" style="186" bestFit="1" customWidth="1"/>
    <col min="10" max="10" width="9.140625" style="186"/>
    <col min="11" max="11" width="9.5703125" style="186" bestFit="1" customWidth="1"/>
    <col min="12" max="12" width="10" style="186" bestFit="1" customWidth="1"/>
    <col min="13" max="16384" width="9.140625" style="186"/>
  </cols>
  <sheetData>
    <row r="1" spans="1:12" s="183" customFormat="1" x14ac:dyDescent="0.25">
      <c r="E1" s="184"/>
      <c r="L1" s="185"/>
    </row>
    <row r="2" spans="1:12" s="183" customFormat="1" x14ac:dyDescent="0.25">
      <c r="E2" s="184"/>
      <c r="L2" s="185"/>
    </row>
    <row r="3" spans="1:12" s="183" customFormat="1" x14ac:dyDescent="0.25">
      <c r="E3" s="184"/>
      <c r="L3" s="185"/>
    </row>
    <row r="4" spans="1:12" s="183" customFormat="1" x14ac:dyDescent="0.25">
      <c r="E4" s="184"/>
      <c r="L4" s="185"/>
    </row>
    <row r="5" spans="1:12" s="183" customFormat="1" x14ac:dyDescent="0.25">
      <c r="E5" s="184"/>
      <c r="L5" s="242"/>
    </row>
    <row r="7" spans="1:12" x14ac:dyDescent="0.25">
      <c r="A7" s="229" t="s">
        <v>97</v>
      </c>
      <c r="B7" s="230"/>
      <c r="C7" s="231"/>
    </row>
    <row r="8" spans="1:12" hidden="1" x14ac:dyDescent="0.25">
      <c r="A8" s="233"/>
      <c r="B8" s="234"/>
      <c r="C8" s="235"/>
    </row>
    <row r="9" spans="1:12" x14ac:dyDescent="0.25">
      <c r="A9" s="233" t="s">
        <v>66</v>
      </c>
      <c r="B9" s="234"/>
      <c r="C9" s="240">
        <f>'2018 Bill Impact'!C9</f>
        <v>285</v>
      </c>
    </row>
    <row r="10" spans="1:12" x14ac:dyDescent="0.25">
      <c r="A10" s="237" t="s">
        <v>65</v>
      </c>
      <c r="B10" s="238"/>
      <c r="C10" s="241">
        <f>'2018 Bill Impact'!C10</f>
        <v>1.0430999999999999</v>
      </c>
    </row>
    <row r="12" spans="1:12" x14ac:dyDescent="0.25">
      <c r="A12" s="187"/>
      <c r="B12" s="188"/>
      <c r="C12" s="258" t="s">
        <v>68</v>
      </c>
      <c r="D12" s="259"/>
      <c r="E12" s="260"/>
      <c r="F12" s="187"/>
      <c r="G12" s="258" t="s">
        <v>69</v>
      </c>
      <c r="H12" s="259"/>
      <c r="I12" s="260"/>
      <c r="J12" s="187"/>
      <c r="K12" s="258" t="s">
        <v>39</v>
      </c>
      <c r="L12" s="260"/>
    </row>
    <row r="13" spans="1:12" ht="15" customHeight="1" x14ac:dyDescent="0.25">
      <c r="A13" s="187"/>
      <c r="B13" s="189"/>
      <c r="C13" s="190" t="s">
        <v>108</v>
      </c>
      <c r="D13" s="190" t="s">
        <v>35</v>
      </c>
      <c r="E13" s="191" t="s">
        <v>109</v>
      </c>
      <c r="F13" s="187"/>
      <c r="G13" s="190" t="s">
        <v>108</v>
      </c>
      <c r="H13" s="190" t="s">
        <v>35</v>
      </c>
      <c r="I13" s="191" t="s">
        <v>109</v>
      </c>
      <c r="J13" s="187"/>
      <c r="K13" s="192" t="s">
        <v>40</v>
      </c>
      <c r="L13" s="193" t="s">
        <v>41</v>
      </c>
    </row>
    <row r="14" spans="1:12" x14ac:dyDescent="0.25">
      <c r="A14" s="194" t="s">
        <v>36</v>
      </c>
      <c r="B14" s="195" t="s">
        <v>61</v>
      </c>
      <c r="C14" s="67">
        <f>'2018 Bill Impact'!G14</f>
        <v>23.18</v>
      </c>
      <c r="D14" s="109">
        <v>1</v>
      </c>
      <c r="E14" s="67">
        <f>C14*D14</f>
        <v>23.18</v>
      </c>
      <c r="F14" s="75"/>
      <c r="G14" s="67">
        <f>'App.2-PA_Res_Rate_Design_19'!D43</f>
        <v>26.57</v>
      </c>
      <c r="H14" s="109">
        <v>1</v>
      </c>
      <c r="I14" s="67">
        <f>G14*H14</f>
        <v>26.57</v>
      </c>
      <c r="J14" s="75"/>
      <c r="K14" s="67">
        <f>I14-E14</f>
        <v>3.3900000000000006</v>
      </c>
      <c r="L14" s="96">
        <f t="shared" ref="L14:L36" si="0">IF(I14-E14=0, " 0.00%", I14/E14-1)</f>
        <v>0.14624676445211393</v>
      </c>
    </row>
    <row r="15" spans="1:12" x14ac:dyDescent="0.25">
      <c r="A15" s="196" t="s">
        <v>60</v>
      </c>
      <c r="B15" s="197" t="s">
        <v>61</v>
      </c>
      <c r="C15" s="67">
        <f>'2018 Bill Impact'!G15</f>
        <v>-0.23180000000000001</v>
      </c>
      <c r="D15" s="109">
        <v>1</v>
      </c>
      <c r="E15" s="67">
        <f t="shared" ref="E15:E32" si="1">C15*D15</f>
        <v>-0.23180000000000001</v>
      </c>
      <c r="F15" s="75"/>
      <c r="G15" s="67">
        <f>-G14*0.01</f>
        <v>-0.26569999999999999</v>
      </c>
      <c r="H15" s="109">
        <v>1</v>
      </c>
      <c r="I15" s="67">
        <f t="shared" ref="I15:I19" si="2">G15*H15</f>
        <v>-0.26569999999999999</v>
      </c>
      <c r="J15" s="86"/>
      <c r="K15" s="67">
        <f t="shared" ref="K15:K33" si="3">I15-E15</f>
        <v>-3.3899999999999986E-2</v>
      </c>
      <c r="L15" s="96">
        <f t="shared" si="0"/>
        <v>0.14624676445211393</v>
      </c>
    </row>
    <row r="16" spans="1:12" x14ac:dyDescent="0.25">
      <c r="A16" s="196" t="s">
        <v>63</v>
      </c>
      <c r="B16" s="197" t="s">
        <v>61</v>
      </c>
      <c r="C16" s="67">
        <f>'2018 Bill Impact'!G16</f>
        <v>0.64</v>
      </c>
      <c r="D16" s="109">
        <v>1</v>
      </c>
      <c r="E16" s="67">
        <f t="shared" si="1"/>
        <v>0.64</v>
      </c>
      <c r="F16" s="75"/>
      <c r="G16" s="67">
        <v>0.64</v>
      </c>
      <c r="H16" s="109">
        <v>1</v>
      </c>
      <c r="I16" s="67">
        <f t="shared" si="2"/>
        <v>0.64</v>
      </c>
      <c r="J16" s="86"/>
      <c r="K16" s="67">
        <f t="shared" si="3"/>
        <v>0</v>
      </c>
      <c r="L16" s="96" t="str">
        <f t="shared" si="0"/>
        <v xml:space="preserve"> 0.00%</v>
      </c>
    </row>
    <row r="17" spans="1:12" x14ac:dyDescent="0.25">
      <c r="A17" s="196" t="s">
        <v>42</v>
      </c>
      <c r="B17" s="197" t="s">
        <v>62</v>
      </c>
      <c r="C17" s="70">
        <f>'2018 Bill Impact'!G17</f>
        <v>8.8999999999999999E-3</v>
      </c>
      <c r="D17" s="76">
        <f>$C$9</f>
        <v>285</v>
      </c>
      <c r="E17" s="67">
        <f t="shared" si="1"/>
        <v>2.5365000000000002</v>
      </c>
      <c r="F17" s="75"/>
      <c r="G17" s="70">
        <f>'App.2-PA_Res_Rate_Design_19'!D44</f>
        <v>4.4000000000000003E-3</v>
      </c>
      <c r="H17" s="76">
        <f>$C$9</f>
        <v>285</v>
      </c>
      <c r="I17" s="67">
        <f t="shared" si="2"/>
        <v>1.254</v>
      </c>
      <c r="J17" s="86"/>
      <c r="K17" s="67">
        <f t="shared" si="3"/>
        <v>-1.2825000000000002</v>
      </c>
      <c r="L17" s="96">
        <f t="shared" si="0"/>
        <v>-0.5056179775280899</v>
      </c>
    </row>
    <row r="18" spans="1:12" x14ac:dyDescent="0.25">
      <c r="A18" s="196" t="s">
        <v>60</v>
      </c>
      <c r="B18" s="197" t="s">
        <v>62</v>
      </c>
      <c r="C18" s="70">
        <f>'2018 Bill Impact'!G18</f>
        <v>-1E-4</v>
      </c>
      <c r="D18" s="76">
        <f t="shared" ref="D18:D19" si="4">$C$9</f>
        <v>285</v>
      </c>
      <c r="E18" s="67">
        <f t="shared" si="1"/>
        <v>-2.8500000000000001E-2</v>
      </c>
      <c r="F18" s="75"/>
      <c r="G18" s="245">
        <f>-ROUND(G17*0.01,5)</f>
        <v>-4.0000000000000003E-5</v>
      </c>
      <c r="H18" s="76">
        <f t="shared" ref="H18:H19" si="5">$C$9</f>
        <v>285</v>
      </c>
      <c r="I18" s="67">
        <f t="shared" si="2"/>
        <v>-1.14E-2</v>
      </c>
      <c r="J18" s="86"/>
      <c r="K18" s="67">
        <f t="shared" si="3"/>
        <v>1.7100000000000001E-2</v>
      </c>
      <c r="L18" s="96">
        <f t="shared" si="0"/>
        <v>-0.6</v>
      </c>
    </row>
    <row r="19" spans="1:12" x14ac:dyDescent="0.25">
      <c r="A19" s="198" t="s">
        <v>64</v>
      </c>
      <c r="B19" s="197" t="s">
        <v>62</v>
      </c>
      <c r="C19" s="70">
        <f>'2018 Bill Impact'!G19</f>
        <v>8.0000000000000004E-4</v>
      </c>
      <c r="D19" s="76">
        <f t="shared" si="4"/>
        <v>285</v>
      </c>
      <c r="E19" s="67">
        <f t="shared" si="1"/>
        <v>0.22800000000000001</v>
      </c>
      <c r="F19" s="75"/>
      <c r="G19" s="70">
        <v>8.0000000000000004E-4</v>
      </c>
      <c r="H19" s="76">
        <f t="shared" si="5"/>
        <v>285</v>
      </c>
      <c r="I19" s="67">
        <f t="shared" si="2"/>
        <v>0.22800000000000001</v>
      </c>
      <c r="J19" s="86"/>
      <c r="K19" s="67">
        <f t="shared" si="3"/>
        <v>0</v>
      </c>
      <c r="L19" s="96" t="str">
        <f t="shared" si="0"/>
        <v xml:space="preserve"> 0.00%</v>
      </c>
    </row>
    <row r="20" spans="1:12" x14ac:dyDescent="0.25">
      <c r="A20" s="199" t="s">
        <v>43</v>
      </c>
      <c r="B20" s="200"/>
      <c r="C20" s="64">
        <f>'2018 Bill Impact'!G20</f>
        <v>0</v>
      </c>
      <c r="D20" s="80"/>
      <c r="E20" s="63">
        <f>SUM(E14:E19)</f>
        <v>26.324200000000001</v>
      </c>
      <c r="F20" s="77"/>
      <c r="G20" s="64"/>
      <c r="H20" s="80"/>
      <c r="I20" s="63">
        <f>SUM(I14:I19)</f>
        <v>28.414900000000006</v>
      </c>
      <c r="J20" s="65"/>
      <c r="K20" s="141">
        <f t="shared" si="3"/>
        <v>2.0907000000000053</v>
      </c>
      <c r="L20" s="97">
        <f t="shared" si="0"/>
        <v>7.9421216979053799E-2</v>
      </c>
    </row>
    <row r="21" spans="1:12" x14ac:dyDescent="0.25">
      <c r="A21" s="201" t="s">
        <v>44</v>
      </c>
      <c r="B21" s="197" t="s">
        <v>62</v>
      </c>
      <c r="C21" s="87">
        <f>'2018 Bill Impact'!G21</f>
        <v>0.10214000000000001</v>
      </c>
      <c r="D21" s="78">
        <f>($C$9*$C$10)-$C$9</f>
        <v>12.283500000000004</v>
      </c>
      <c r="E21" s="89">
        <f t="shared" si="1"/>
        <v>1.2546366900000006</v>
      </c>
      <c r="F21" s="77"/>
      <c r="G21" s="87">
        <f>G31*0.64+G32*0.18+G33*0.18</f>
        <v>0.10214000000000001</v>
      </c>
      <c r="H21" s="78">
        <f>($C$9*$C$10)-$C$9</f>
        <v>12.283500000000004</v>
      </c>
      <c r="I21" s="89">
        <f t="shared" ref="I21" si="6">G21*H21</f>
        <v>1.2546366900000006</v>
      </c>
      <c r="J21" s="65"/>
      <c r="K21" s="67">
        <f t="shared" si="3"/>
        <v>0</v>
      </c>
      <c r="L21" s="96" t="str">
        <f t="shared" si="0"/>
        <v xml:space="preserve"> 0.00%</v>
      </c>
    </row>
    <row r="22" spans="1:12" hidden="1" x14ac:dyDescent="0.25">
      <c r="A22" s="201" t="s">
        <v>45</v>
      </c>
      <c r="B22" s="197" t="s">
        <v>62</v>
      </c>
      <c r="C22" s="108">
        <f>'2018 Bill Impact'!G22</f>
        <v>0</v>
      </c>
      <c r="D22" s="78">
        <v>0</v>
      </c>
      <c r="E22" s="89">
        <v>0</v>
      </c>
      <c r="F22" s="77"/>
      <c r="G22" s="108">
        <v>0</v>
      </c>
      <c r="H22" s="78">
        <v>0</v>
      </c>
      <c r="I22" s="89">
        <v>0</v>
      </c>
      <c r="J22" s="65"/>
      <c r="K22" s="67">
        <f t="shared" si="3"/>
        <v>0</v>
      </c>
      <c r="L22" s="96" t="str">
        <f t="shared" si="0"/>
        <v xml:space="preserve"> 0.00%</v>
      </c>
    </row>
    <row r="23" spans="1:12" x14ac:dyDescent="0.25">
      <c r="A23" s="196" t="s">
        <v>46</v>
      </c>
      <c r="B23" s="197" t="s">
        <v>61</v>
      </c>
      <c r="C23" s="107">
        <f>'2018 Bill Impact'!G23</f>
        <v>0.79</v>
      </c>
      <c r="D23" s="78">
        <v>1</v>
      </c>
      <c r="E23" s="89">
        <f t="shared" si="1"/>
        <v>0.79</v>
      </c>
      <c r="F23" s="77"/>
      <c r="G23" s="107">
        <v>0</v>
      </c>
      <c r="H23" s="78">
        <v>1</v>
      </c>
      <c r="I23" s="89">
        <f t="shared" ref="I23" si="7">G23*H23</f>
        <v>0</v>
      </c>
      <c r="J23" s="65"/>
      <c r="K23" s="67">
        <f t="shared" si="3"/>
        <v>-0.79</v>
      </c>
      <c r="L23" s="96">
        <f t="shared" si="0"/>
        <v>-1</v>
      </c>
    </row>
    <row r="24" spans="1:12" x14ac:dyDescent="0.25">
      <c r="A24" s="202" t="s">
        <v>47</v>
      </c>
      <c r="B24" s="203"/>
      <c r="C24" s="80">
        <f>'2018 Bill Impact'!G24</f>
        <v>0</v>
      </c>
      <c r="D24" s="80"/>
      <c r="E24" s="90">
        <f>SUM(E20:E23)</f>
        <v>28.368836690000002</v>
      </c>
      <c r="F24" s="77"/>
      <c r="G24" s="80"/>
      <c r="H24" s="80"/>
      <c r="I24" s="90">
        <f>SUM(I20:I23)</f>
        <v>29.669536690000008</v>
      </c>
      <c r="J24" s="65"/>
      <c r="K24" s="141">
        <f t="shared" si="3"/>
        <v>1.3007000000000062</v>
      </c>
      <c r="L24" s="97">
        <f t="shared" si="0"/>
        <v>4.5849606531751075E-2</v>
      </c>
    </row>
    <row r="25" spans="1:12" x14ac:dyDescent="0.25">
      <c r="A25" s="204" t="s">
        <v>48</v>
      </c>
      <c r="B25" s="197" t="s">
        <v>62</v>
      </c>
      <c r="C25" s="87">
        <f>'2018 Bill Impact'!G25</f>
        <v>7.4999999999999997E-3</v>
      </c>
      <c r="D25" s="81">
        <f>$C$9*$C$10</f>
        <v>297.2835</v>
      </c>
      <c r="E25" s="89">
        <f t="shared" si="1"/>
        <v>2.2296262499999999</v>
      </c>
      <c r="F25" s="77"/>
      <c r="G25" s="87">
        <v>7.4999999999999997E-3</v>
      </c>
      <c r="H25" s="81">
        <f>$C$9*$C$10</f>
        <v>297.2835</v>
      </c>
      <c r="I25" s="89">
        <f t="shared" ref="I25:I26" si="8">G25*H25</f>
        <v>2.2296262499999999</v>
      </c>
      <c r="J25" s="65"/>
      <c r="K25" s="95">
        <f t="shared" si="3"/>
        <v>0</v>
      </c>
      <c r="L25" s="96" t="str">
        <f t="shared" si="0"/>
        <v xml:space="preserve"> 0.00%</v>
      </c>
    </row>
    <row r="26" spans="1:12" x14ac:dyDescent="0.25">
      <c r="A26" s="205" t="s">
        <v>49</v>
      </c>
      <c r="B26" s="197" t="s">
        <v>62</v>
      </c>
      <c r="C26" s="87">
        <f>'2018 Bill Impact'!G26</f>
        <v>5.4000000000000003E-3</v>
      </c>
      <c r="D26" s="81">
        <f>$C$9*$C$10</f>
        <v>297.2835</v>
      </c>
      <c r="E26" s="89">
        <f t="shared" si="1"/>
        <v>1.6053309</v>
      </c>
      <c r="F26" s="77"/>
      <c r="G26" s="87">
        <v>5.4000000000000003E-3</v>
      </c>
      <c r="H26" s="81">
        <f>$C$9*$C$10</f>
        <v>297.2835</v>
      </c>
      <c r="I26" s="89">
        <f t="shared" si="8"/>
        <v>1.6053309</v>
      </c>
      <c r="J26" s="65"/>
      <c r="K26" s="95">
        <f t="shared" si="3"/>
        <v>0</v>
      </c>
      <c r="L26" s="96" t="str">
        <f t="shared" si="0"/>
        <v xml:space="preserve"> 0.00%</v>
      </c>
    </row>
    <row r="27" spans="1:12" x14ac:dyDescent="0.25">
      <c r="A27" s="202" t="s">
        <v>50</v>
      </c>
      <c r="B27" s="200"/>
      <c r="C27" s="80">
        <f>'2018 Bill Impact'!G27</f>
        <v>0</v>
      </c>
      <c r="D27" s="80"/>
      <c r="E27" s="90">
        <f>SUM(E24:E26)</f>
        <v>32.203793840000003</v>
      </c>
      <c r="F27" s="82"/>
      <c r="G27" s="80"/>
      <c r="H27" s="80"/>
      <c r="I27" s="90">
        <f>SUM(I24:I26)</f>
        <v>33.504493840000009</v>
      </c>
      <c r="J27" s="66"/>
      <c r="K27" s="141">
        <f t="shared" si="3"/>
        <v>1.3007000000000062</v>
      </c>
      <c r="L27" s="97">
        <f t="shared" si="0"/>
        <v>4.0389651184029818E-2</v>
      </c>
    </row>
    <row r="28" spans="1:12" x14ac:dyDescent="0.25">
      <c r="A28" s="206" t="s">
        <v>51</v>
      </c>
      <c r="B28" s="197" t="s">
        <v>62</v>
      </c>
      <c r="C28" s="88">
        <f>'2018 Bill Impact'!G28</f>
        <v>4.4000000000000003E-3</v>
      </c>
      <c r="D28" s="81">
        <f>$C$9*$C$10</f>
        <v>297.2835</v>
      </c>
      <c r="E28" s="67">
        <f t="shared" si="1"/>
        <v>1.3080474000000002</v>
      </c>
      <c r="F28" s="79"/>
      <c r="G28" s="88">
        <v>4.4000000000000003E-3</v>
      </c>
      <c r="H28" s="81">
        <f>$C$9*$C$10</f>
        <v>297.2835</v>
      </c>
      <c r="I28" s="67">
        <f t="shared" ref="I28:I32" si="9">G28*H28</f>
        <v>1.3080474000000002</v>
      </c>
      <c r="J28" s="65"/>
      <c r="K28" s="95">
        <f t="shared" si="3"/>
        <v>0</v>
      </c>
      <c r="L28" s="96" t="str">
        <f t="shared" si="0"/>
        <v xml:space="preserve"> 0.00%</v>
      </c>
    </row>
    <row r="29" spans="1:12" x14ac:dyDescent="0.25">
      <c r="A29" s="206" t="s">
        <v>52</v>
      </c>
      <c r="B29" s="197" t="s">
        <v>62</v>
      </c>
      <c r="C29" s="88">
        <f>'2018 Bill Impact'!G29</f>
        <v>1.2999999999999999E-3</v>
      </c>
      <c r="D29" s="81">
        <f>$C$9*$C$10</f>
        <v>297.2835</v>
      </c>
      <c r="E29" s="67">
        <f t="shared" si="1"/>
        <v>0.38646854999999997</v>
      </c>
      <c r="F29" s="79"/>
      <c r="G29" s="88">
        <v>1.2999999999999999E-3</v>
      </c>
      <c r="H29" s="81">
        <f>$C$9*$C$10</f>
        <v>297.2835</v>
      </c>
      <c r="I29" s="67">
        <f t="shared" si="9"/>
        <v>0.38646854999999997</v>
      </c>
      <c r="J29" s="65"/>
      <c r="K29" s="95">
        <f t="shared" si="3"/>
        <v>0</v>
      </c>
      <c r="L29" s="96" t="str">
        <f t="shared" si="0"/>
        <v xml:space="preserve"> 0.00%</v>
      </c>
    </row>
    <row r="30" spans="1:12" x14ac:dyDescent="0.25">
      <c r="A30" s="196" t="s">
        <v>53</v>
      </c>
      <c r="B30" s="197" t="s">
        <v>61</v>
      </c>
      <c r="C30" s="69">
        <f>'2018 Bill Impact'!G30</f>
        <v>0.25</v>
      </c>
      <c r="D30" s="81">
        <v>1</v>
      </c>
      <c r="E30" s="67">
        <f t="shared" si="1"/>
        <v>0.25</v>
      </c>
      <c r="F30" s="79"/>
      <c r="G30" s="69">
        <v>0.25</v>
      </c>
      <c r="H30" s="81">
        <v>1</v>
      </c>
      <c r="I30" s="67">
        <f t="shared" si="9"/>
        <v>0.25</v>
      </c>
      <c r="J30" s="79"/>
      <c r="K30" s="95">
        <f t="shared" si="3"/>
        <v>0</v>
      </c>
      <c r="L30" s="96" t="str">
        <f t="shared" si="0"/>
        <v xml:space="preserve"> 0.00%</v>
      </c>
    </row>
    <row r="31" spans="1:12" x14ac:dyDescent="0.25">
      <c r="A31" s="196" t="s">
        <v>54</v>
      </c>
      <c r="B31" s="197" t="s">
        <v>62</v>
      </c>
      <c r="C31" s="83">
        <f>'2018 Bill Impact'!G31</f>
        <v>0.08</v>
      </c>
      <c r="D31" s="81">
        <f>$C$9*0.64</f>
        <v>182.4</v>
      </c>
      <c r="E31" s="67">
        <f t="shared" si="1"/>
        <v>14.592000000000001</v>
      </c>
      <c r="F31" s="79"/>
      <c r="G31" s="83">
        <v>0.08</v>
      </c>
      <c r="H31" s="81">
        <f>$C$9*0.64</f>
        <v>182.4</v>
      </c>
      <c r="I31" s="67">
        <f t="shared" si="9"/>
        <v>14.592000000000001</v>
      </c>
      <c r="J31" s="79"/>
      <c r="K31" s="95">
        <f t="shared" si="3"/>
        <v>0</v>
      </c>
      <c r="L31" s="96" t="str">
        <f t="shared" si="0"/>
        <v xml:space="preserve"> 0.00%</v>
      </c>
    </row>
    <row r="32" spans="1:12" x14ac:dyDescent="0.25">
      <c r="A32" s="196" t="s">
        <v>55</v>
      </c>
      <c r="B32" s="197" t="s">
        <v>62</v>
      </c>
      <c r="C32" s="83">
        <f>'2018 Bill Impact'!G32</f>
        <v>0.122</v>
      </c>
      <c r="D32" s="81">
        <f>$C$9*0.18</f>
        <v>51.3</v>
      </c>
      <c r="E32" s="67">
        <f t="shared" si="1"/>
        <v>6.2585999999999995</v>
      </c>
      <c r="F32" s="79"/>
      <c r="G32" s="83">
        <v>0.122</v>
      </c>
      <c r="H32" s="81">
        <f>$C$9*0.18</f>
        <v>51.3</v>
      </c>
      <c r="I32" s="67">
        <f t="shared" si="9"/>
        <v>6.2585999999999995</v>
      </c>
      <c r="J32" s="79"/>
      <c r="K32" s="95">
        <f t="shared" si="3"/>
        <v>0</v>
      </c>
      <c r="L32" s="96" t="str">
        <f t="shared" si="0"/>
        <v xml:space="preserve"> 0.00%</v>
      </c>
    </row>
    <row r="33" spans="1:12" ht="15.75" thickBot="1" x14ac:dyDescent="0.3">
      <c r="A33" s="207" t="s">
        <v>56</v>
      </c>
      <c r="B33" s="208" t="s">
        <v>62</v>
      </c>
      <c r="C33" s="83">
        <f>'2018 Bill Impact'!G33</f>
        <v>0.161</v>
      </c>
      <c r="D33" s="81">
        <f>$C$9*0.18</f>
        <v>51.3</v>
      </c>
      <c r="E33" s="67">
        <f>C33*D33</f>
        <v>8.2592999999999996</v>
      </c>
      <c r="F33" s="79"/>
      <c r="G33" s="83">
        <v>0.161</v>
      </c>
      <c r="H33" s="81">
        <f>$C$9*0.18</f>
        <v>51.3</v>
      </c>
      <c r="I33" s="67">
        <f>G33*H33</f>
        <v>8.2592999999999996</v>
      </c>
      <c r="J33" s="79"/>
      <c r="K33" s="95">
        <f t="shared" si="3"/>
        <v>0</v>
      </c>
      <c r="L33" s="96" t="str">
        <f t="shared" si="0"/>
        <v xml:space="preserve"> 0.00%</v>
      </c>
    </row>
    <row r="34" spans="1:12" ht="9" customHeight="1" thickBot="1" x14ac:dyDescent="0.3">
      <c r="A34" s="209"/>
      <c r="B34" s="210"/>
      <c r="C34" s="137"/>
      <c r="D34" s="84"/>
      <c r="E34" s="91"/>
      <c r="F34" s="84"/>
      <c r="G34" s="137"/>
      <c r="H34" s="84"/>
      <c r="I34" s="137"/>
      <c r="J34" s="84"/>
      <c r="K34" s="138"/>
      <c r="L34" s="98"/>
    </row>
    <row r="35" spans="1:12" x14ac:dyDescent="0.25">
      <c r="A35" s="211" t="s">
        <v>57</v>
      </c>
      <c r="B35" s="212"/>
      <c r="C35" s="102"/>
      <c r="D35" s="103"/>
      <c r="E35" s="92">
        <f>SUM(E27:E33)</f>
        <v>63.258209789999995</v>
      </c>
      <c r="F35" s="104"/>
      <c r="G35" s="105"/>
      <c r="H35" s="105"/>
      <c r="I35" s="139">
        <f>SUM(I27:I33)</f>
        <v>64.558909790000001</v>
      </c>
      <c r="J35" s="85"/>
      <c r="K35" s="140">
        <f t="shared" ref="K35:K39" si="10">I35-E35</f>
        <v>1.3007000000000062</v>
      </c>
      <c r="L35" s="68">
        <f t="shared" si="0"/>
        <v>2.0561757980789741E-2</v>
      </c>
    </row>
    <row r="36" spans="1:12" x14ac:dyDescent="0.25">
      <c r="A36" s="213" t="s">
        <v>58</v>
      </c>
      <c r="B36" s="214"/>
      <c r="C36" s="102">
        <v>0.13</v>
      </c>
      <c r="D36" s="106"/>
      <c r="E36" s="93">
        <f>E35*C36</f>
        <v>8.2235672727000004</v>
      </c>
      <c r="F36" s="74"/>
      <c r="G36" s="102">
        <v>0.13</v>
      </c>
      <c r="H36" s="74"/>
      <c r="I36" s="100">
        <f>I35*G36</f>
        <v>8.3926582727000003</v>
      </c>
      <c r="J36" s="86"/>
      <c r="K36" s="67">
        <f t="shared" si="10"/>
        <v>0.16909099999999988</v>
      </c>
      <c r="L36" s="96">
        <f t="shared" si="0"/>
        <v>2.0561757980789741E-2</v>
      </c>
    </row>
    <row r="37" spans="1:12" hidden="1" x14ac:dyDescent="0.25">
      <c r="A37" s="215" t="s">
        <v>117</v>
      </c>
      <c r="B37" s="214"/>
      <c r="C37" s="74"/>
      <c r="D37" s="106"/>
      <c r="E37" s="93">
        <f>E35+E36</f>
        <v>71.48177706269999</v>
      </c>
      <c r="F37" s="74"/>
      <c r="G37" s="74"/>
      <c r="H37" s="74"/>
      <c r="I37" s="100">
        <f>I35+I36</f>
        <v>72.951568062700005</v>
      </c>
      <c r="J37" s="86"/>
      <c r="K37" s="67">
        <f t="shared" si="10"/>
        <v>1.4697910000000149</v>
      </c>
      <c r="L37" s="96">
        <f t="shared" ref="L37" si="11">I37/E37-1</f>
        <v>2.0561757980789963E-2</v>
      </c>
    </row>
    <row r="38" spans="1:12" hidden="1" x14ac:dyDescent="0.25">
      <c r="A38" s="216"/>
      <c r="B38" s="214"/>
      <c r="C38" s="74"/>
      <c r="D38" s="106"/>
      <c r="E38" s="94">
        <v>0</v>
      </c>
      <c r="F38" s="74"/>
      <c r="G38" s="74"/>
      <c r="H38" s="74"/>
      <c r="I38" s="101">
        <v>0</v>
      </c>
      <c r="J38" s="86"/>
      <c r="K38" s="67">
        <f t="shared" si="10"/>
        <v>0</v>
      </c>
      <c r="L38" s="101">
        <v>0</v>
      </c>
    </row>
    <row r="39" spans="1:12" ht="15.75" thickBot="1" x14ac:dyDescent="0.3">
      <c r="A39" s="217" t="s">
        <v>96</v>
      </c>
      <c r="B39" s="218"/>
      <c r="C39" s="142"/>
      <c r="D39" s="143"/>
      <c r="E39" s="144">
        <f>E37+E38</f>
        <v>71.48177706269999</v>
      </c>
      <c r="F39" s="145"/>
      <c r="G39" s="145"/>
      <c r="H39" s="145"/>
      <c r="I39" s="149">
        <f>I37+I38</f>
        <v>72.951568062700005</v>
      </c>
      <c r="J39" s="146"/>
      <c r="K39" s="147">
        <f t="shared" si="10"/>
        <v>1.4697910000000149</v>
      </c>
      <c r="L39" s="148">
        <f t="shared" ref="L39" si="12">IF(I39-E39=0, " 0.00%", I39/E39-1)</f>
        <v>2.0561757980789963E-2</v>
      </c>
    </row>
    <row r="40" spans="1:12" ht="9" customHeight="1" thickBot="1" x14ac:dyDescent="0.3">
      <c r="A40" s="209"/>
      <c r="B40" s="210"/>
      <c r="C40" s="137"/>
      <c r="D40" s="84"/>
      <c r="E40" s="91"/>
      <c r="F40" s="84"/>
      <c r="G40" s="137"/>
      <c r="H40" s="84"/>
      <c r="I40" s="137"/>
      <c r="J40" s="84"/>
      <c r="K40" s="138"/>
      <c r="L40" s="98"/>
    </row>
    <row r="43" spans="1:12" x14ac:dyDescent="0.25">
      <c r="A43" s="229" t="s">
        <v>97</v>
      </c>
      <c r="B43" s="230"/>
      <c r="C43" s="231"/>
    </row>
    <row r="44" spans="1:12" hidden="1" x14ac:dyDescent="0.25">
      <c r="A44" s="233"/>
      <c r="B44" s="234"/>
      <c r="C44" s="235"/>
    </row>
    <row r="45" spans="1:12" x14ac:dyDescent="0.25">
      <c r="A45" s="233" t="s">
        <v>66</v>
      </c>
      <c r="B45" s="234"/>
      <c r="C45" s="240">
        <f>'2018 Bill Impact'!C45</f>
        <v>800</v>
      </c>
    </row>
    <row r="46" spans="1:12" x14ac:dyDescent="0.25">
      <c r="A46" s="237" t="s">
        <v>65</v>
      </c>
      <c r="B46" s="238"/>
      <c r="C46" s="241">
        <f>'2018 Bill Impact'!C46</f>
        <v>1.0430999999999999</v>
      </c>
    </row>
    <row r="48" spans="1:12" x14ac:dyDescent="0.25">
      <c r="A48" s="187"/>
      <c r="B48" s="188"/>
      <c r="C48" s="258" t="s">
        <v>68</v>
      </c>
      <c r="D48" s="259"/>
      <c r="E48" s="260"/>
      <c r="F48" s="187"/>
      <c r="G48" s="258" t="s">
        <v>69</v>
      </c>
      <c r="H48" s="259"/>
      <c r="I48" s="260"/>
      <c r="J48" s="187"/>
      <c r="K48" s="258" t="s">
        <v>39</v>
      </c>
      <c r="L48" s="260"/>
    </row>
    <row r="49" spans="1:12" ht="15" customHeight="1" x14ac:dyDescent="0.25">
      <c r="A49" s="187"/>
      <c r="B49" s="189"/>
      <c r="C49" s="190" t="s">
        <v>108</v>
      </c>
      <c r="D49" s="190" t="s">
        <v>35</v>
      </c>
      <c r="E49" s="191" t="s">
        <v>109</v>
      </c>
      <c r="F49" s="187"/>
      <c r="G49" s="190" t="s">
        <v>108</v>
      </c>
      <c r="H49" s="190" t="s">
        <v>35</v>
      </c>
      <c r="I49" s="191" t="s">
        <v>109</v>
      </c>
      <c r="J49" s="187"/>
      <c r="K49" s="192" t="s">
        <v>40</v>
      </c>
      <c r="L49" s="193" t="s">
        <v>41</v>
      </c>
    </row>
    <row r="50" spans="1:12" x14ac:dyDescent="0.25">
      <c r="A50" s="194" t="s">
        <v>36</v>
      </c>
      <c r="B50" s="195" t="s">
        <v>61</v>
      </c>
      <c r="C50" s="67">
        <f t="shared" ref="C50:C55" si="13">C14</f>
        <v>23.18</v>
      </c>
      <c r="D50" s="109">
        <v>1</v>
      </c>
      <c r="E50" s="67">
        <f>C50*D50</f>
        <v>23.18</v>
      </c>
      <c r="F50" s="75"/>
      <c r="G50" s="67">
        <f t="shared" ref="G50:G55" si="14">G14</f>
        <v>26.57</v>
      </c>
      <c r="H50" s="109">
        <v>1</v>
      </c>
      <c r="I50" s="67">
        <f>G50*H50</f>
        <v>26.57</v>
      </c>
      <c r="J50" s="75"/>
      <c r="K50" s="67">
        <f>I50-E50</f>
        <v>3.3900000000000006</v>
      </c>
      <c r="L50" s="96">
        <f t="shared" ref="L50:L72" si="15">IF(I50-E50=0, " 0.00%", I50/E50-1)</f>
        <v>0.14624676445211393</v>
      </c>
    </row>
    <row r="51" spans="1:12" x14ac:dyDescent="0.25">
      <c r="A51" s="196" t="s">
        <v>60</v>
      </c>
      <c r="B51" s="197" t="s">
        <v>61</v>
      </c>
      <c r="C51" s="67">
        <f t="shared" si="13"/>
        <v>-0.23180000000000001</v>
      </c>
      <c r="D51" s="109">
        <v>1</v>
      </c>
      <c r="E51" s="67">
        <f t="shared" ref="E51:E55" si="16">C51*D51</f>
        <v>-0.23180000000000001</v>
      </c>
      <c r="F51" s="75"/>
      <c r="G51" s="67">
        <f t="shared" si="14"/>
        <v>-0.26569999999999999</v>
      </c>
      <c r="H51" s="109">
        <v>1</v>
      </c>
      <c r="I51" s="67">
        <f t="shared" ref="I51:I55" si="17">G51*H51</f>
        <v>-0.26569999999999999</v>
      </c>
      <c r="J51" s="86"/>
      <c r="K51" s="67">
        <f t="shared" ref="K51:K69" si="18">I51-E51</f>
        <v>-3.3899999999999986E-2</v>
      </c>
      <c r="L51" s="96">
        <f t="shared" si="15"/>
        <v>0.14624676445211393</v>
      </c>
    </row>
    <row r="52" spans="1:12" x14ac:dyDescent="0.25">
      <c r="A52" s="196" t="s">
        <v>63</v>
      </c>
      <c r="B52" s="197" t="s">
        <v>61</v>
      </c>
      <c r="C52" s="67">
        <f t="shared" si="13"/>
        <v>0.64</v>
      </c>
      <c r="D52" s="109">
        <v>1</v>
      </c>
      <c r="E52" s="67">
        <f t="shared" si="16"/>
        <v>0.64</v>
      </c>
      <c r="F52" s="75"/>
      <c r="G52" s="67">
        <f t="shared" si="14"/>
        <v>0.64</v>
      </c>
      <c r="H52" s="109">
        <v>1</v>
      </c>
      <c r="I52" s="67">
        <f t="shared" si="17"/>
        <v>0.64</v>
      </c>
      <c r="J52" s="86"/>
      <c r="K52" s="67">
        <f t="shared" si="18"/>
        <v>0</v>
      </c>
      <c r="L52" s="96" t="str">
        <f t="shared" si="15"/>
        <v xml:space="preserve"> 0.00%</v>
      </c>
    </row>
    <row r="53" spans="1:12" x14ac:dyDescent="0.25">
      <c r="A53" s="196" t="s">
        <v>42</v>
      </c>
      <c r="B53" s="197" t="s">
        <v>62</v>
      </c>
      <c r="C53" s="70">
        <f t="shared" si="13"/>
        <v>8.8999999999999999E-3</v>
      </c>
      <c r="D53" s="76">
        <f>$C$45</f>
        <v>800</v>
      </c>
      <c r="E53" s="67">
        <f t="shared" si="16"/>
        <v>7.12</v>
      </c>
      <c r="F53" s="75"/>
      <c r="G53" s="70">
        <f t="shared" si="14"/>
        <v>4.4000000000000003E-3</v>
      </c>
      <c r="H53" s="76">
        <f>$C$45</f>
        <v>800</v>
      </c>
      <c r="I53" s="67">
        <f t="shared" si="17"/>
        <v>3.52</v>
      </c>
      <c r="J53" s="86"/>
      <c r="K53" s="67">
        <f t="shared" si="18"/>
        <v>-3.6</v>
      </c>
      <c r="L53" s="96">
        <f t="shared" si="15"/>
        <v>-0.5056179775280899</v>
      </c>
    </row>
    <row r="54" spans="1:12" x14ac:dyDescent="0.25">
      <c r="A54" s="196" t="s">
        <v>60</v>
      </c>
      <c r="B54" s="197" t="s">
        <v>62</v>
      </c>
      <c r="C54" s="70">
        <f t="shared" si="13"/>
        <v>-1E-4</v>
      </c>
      <c r="D54" s="76">
        <f t="shared" ref="D54:D55" si="19">$C$45</f>
        <v>800</v>
      </c>
      <c r="E54" s="67">
        <f t="shared" si="16"/>
        <v>-0.08</v>
      </c>
      <c r="F54" s="75"/>
      <c r="G54" s="245">
        <f t="shared" si="14"/>
        <v>-4.0000000000000003E-5</v>
      </c>
      <c r="H54" s="76">
        <f t="shared" ref="H54:H55" si="20">$C$45</f>
        <v>800</v>
      </c>
      <c r="I54" s="67">
        <f t="shared" si="17"/>
        <v>-3.2000000000000001E-2</v>
      </c>
      <c r="J54" s="86"/>
      <c r="K54" s="67">
        <f t="shared" si="18"/>
        <v>4.8000000000000001E-2</v>
      </c>
      <c r="L54" s="96">
        <f t="shared" si="15"/>
        <v>-0.6</v>
      </c>
    </row>
    <row r="55" spans="1:12" x14ac:dyDescent="0.25">
      <c r="A55" s="198" t="s">
        <v>64</v>
      </c>
      <c r="B55" s="197" t="s">
        <v>62</v>
      </c>
      <c r="C55" s="70">
        <f t="shared" si="13"/>
        <v>8.0000000000000004E-4</v>
      </c>
      <c r="D55" s="76">
        <f t="shared" si="19"/>
        <v>800</v>
      </c>
      <c r="E55" s="67">
        <f t="shared" si="16"/>
        <v>0.64</v>
      </c>
      <c r="F55" s="75"/>
      <c r="G55" s="70">
        <f t="shared" si="14"/>
        <v>8.0000000000000004E-4</v>
      </c>
      <c r="H55" s="76">
        <f t="shared" si="20"/>
        <v>800</v>
      </c>
      <c r="I55" s="67">
        <f t="shared" si="17"/>
        <v>0.64</v>
      </c>
      <c r="J55" s="86"/>
      <c r="K55" s="67">
        <f t="shared" si="18"/>
        <v>0</v>
      </c>
      <c r="L55" s="96" t="str">
        <f t="shared" si="15"/>
        <v xml:space="preserve"> 0.00%</v>
      </c>
    </row>
    <row r="56" spans="1:12" x14ac:dyDescent="0.25">
      <c r="A56" s="199" t="s">
        <v>43</v>
      </c>
      <c r="B56" s="200"/>
      <c r="C56" s="64"/>
      <c r="D56" s="80"/>
      <c r="E56" s="63">
        <f>SUM(E50:E55)</f>
        <v>31.268200000000004</v>
      </c>
      <c r="F56" s="77"/>
      <c r="G56" s="64"/>
      <c r="H56" s="80"/>
      <c r="I56" s="63">
        <f>SUM(I50:I55)</f>
        <v>31.072300000000002</v>
      </c>
      <c r="J56" s="65"/>
      <c r="K56" s="141">
        <f t="shared" si="18"/>
        <v>-0.19590000000000174</v>
      </c>
      <c r="L56" s="97">
        <f t="shared" si="15"/>
        <v>-6.2651511759551637E-3</v>
      </c>
    </row>
    <row r="57" spans="1:12" x14ac:dyDescent="0.25">
      <c r="A57" s="201" t="s">
        <v>44</v>
      </c>
      <c r="B57" s="197" t="s">
        <v>62</v>
      </c>
      <c r="C57" s="87">
        <f>C21</f>
        <v>0.10214000000000001</v>
      </c>
      <c r="D57" s="78">
        <f>($C$45*$C$46)-$C$45</f>
        <v>34.479999999999905</v>
      </c>
      <c r="E57" s="89">
        <f t="shared" ref="E57" si="21">C57*D57</f>
        <v>3.5217871999999906</v>
      </c>
      <c r="F57" s="77"/>
      <c r="G57" s="87">
        <f>G21</f>
        <v>0.10214000000000001</v>
      </c>
      <c r="H57" s="78">
        <f>($C$45*$C$46)-$C$45</f>
        <v>34.479999999999905</v>
      </c>
      <c r="I57" s="89">
        <f t="shared" ref="I57" si="22">G57*H57</f>
        <v>3.5217871999999906</v>
      </c>
      <c r="J57" s="65"/>
      <c r="K57" s="67">
        <f t="shared" si="18"/>
        <v>0</v>
      </c>
      <c r="L57" s="96" t="str">
        <f t="shared" si="15"/>
        <v xml:space="preserve"> 0.00%</v>
      </c>
    </row>
    <row r="58" spans="1:12" hidden="1" x14ac:dyDescent="0.25">
      <c r="A58" s="201" t="s">
        <v>45</v>
      </c>
      <c r="B58" s="197" t="s">
        <v>62</v>
      </c>
      <c r="C58" s="108">
        <f>C22</f>
        <v>0</v>
      </c>
      <c r="D58" s="78">
        <v>0</v>
      </c>
      <c r="E58" s="89">
        <v>0</v>
      </c>
      <c r="F58" s="77"/>
      <c r="G58" s="108">
        <f>G22</f>
        <v>0</v>
      </c>
      <c r="H58" s="78">
        <v>0</v>
      </c>
      <c r="I58" s="89">
        <v>0</v>
      </c>
      <c r="J58" s="65"/>
      <c r="K58" s="67">
        <f t="shared" si="18"/>
        <v>0</v>
      </c>
      <c r="L58" s="96" t="str">
        <f t="shared" si="15"/>
        <v xml:space="preserve"> 0.00%</v>
      </c>
    </row>
    <row r="59" spans="1:12" x14ac:dyDescent="0.25">
      <c r="A59" s="196" t="s">
        <v>46</v>
      </c>
      <c r="B59" s="197" t="s">
        <v>61</v>
      </c>
      <c r="C59" s="107">
        <f>C23</f>
        <v>0.79</v>
      </c>
      <c r="D59" s="78">
        <v>1</v>
      </c>
      <c r="E59" s="89">
        <f t="shared" ref="E59" si="23">C59*D59</f>
        <v>0.79</v>
      </c>
      <c r="F59" s="77"/>
      <c r="G59" s="107">
        <f>G23</f>
        <v>0</v>
      </c>
      <c r="H59" s="78">
        <v>1</v>
      </c>
      <c r="I59" s="89">
        <f t="shared" ref="I59" si="24">G59*H59</f>
        <v>0</v>
      </c>
      <c r="J59" s="65"/>
      <c r="K59" s="67">
        <f t="shared" si="18"/>
        <v>-0.79</v>
      </c>
      <c r="L59" s="96">
        <f t="shared" si="15"/>
        <v>-1</v>
      </c>
    </row>
    <row r="60" spans="1:12" x14ac:dyDescent="0.25">
      <c r="A60" s="202" t="s">
        <v>47</v>
      </c>
      <c r="B60" s="203"/>
      <c r="C60" s="80"/>
      <c r="D60" s="80"/>
      <c r="E60" s="90">
        <f>SUM(E56:E59)</f>
        <v>35.579987199999991</v>
      </c>
      <c r="F60" s="77"/>
      <c r="G60" s="80"/>
      <c r="H60" s="80"/>
      <c r="I60" s="90">
        <f>SUM(I56:I59)</f>
        <v>34.59408719999999</v>
      </c>
      <c r="J60" s="65"/>
      <c r="K60" s="141">
        <f t="shared" si="18"/>
        <v>-0.98590000000000089</v>
      </c>
      <c r="L60" s="97">
        <f t="shared" si="15"/>
        <v>-2.7709397264763513E-2</v>
      </c>
    </row>
    <row r="61" spans="1:12" x14ac:dyDescent="0.25">
      <c r="A61" s="204" t="s">
        <v>48</v>
      </c>
      <c r="B61" s="197" t="s">
        <v>62</v>
      </c>
      <c r="C61" s="87">
        <f>C25</f>
        <v>7.4999999999999997E-3</v>
      </c>
      <c r="D61" s="81">
        <f>$C$45*$C$46</f>
        <v>834.4799999999999</v>
      </c>
      <c r="E61" s="89">
        <f t="shared" ref="E61:E62" si="25">C61*D61</f>
        <v>6.2585999999999986</v>
      </c>
      <c r="F61" s="77"/>
      <c r="G61" s="87">
        <f>G25</f>
        <v>7.4999999999999997E-3</v>
      </c>
      <c r="H61" s="81">
        <f>$C$45*$C$46</f>
        <v>834.4799999999999</v>
      </c>
      <c r="I61" s="89">
        <f t="shared" ref="I61:I62" si="26">G61*H61</f>
        <v>6.2585999999999986</v>
      </c>
      <c r="J61" s="65"/>
      <c r="K61" s="95">
        <f t="shared" si="18"/>
        <v>0</v>
      </c>
      <c r="L61" s="96" t="str">
        <f t="shared" si="15"/>
        <v xml:space="preserve"> 0.00%</v>
      </c>
    </row>
    <row r="62" spans="1:12" x14ac:dyDescent="0.25">
      <c r="A62" s="205" t="s">
        <v>49</v>
      </c>
      <c r="B62" s="197" t="s">
        <v>62</v>
      </c>
      <c r="C62" s="87">
        <f>C26</f>
        <v>5.4000000000000003E-3</v>
      </c>
      <c r="D62" s="81">
        <f>$C$45*$C$46</f>
        <v>834.4799999999999</v>
      </c>
      <c r="E62" s="89">
        <f t="shared" si="25"/>
        <v>4.5061919999999995</v>
      </c>
      <c r="F62" s="77"/>
      <c r="G62" s="87">
        <f>G26</f>
        <v>5.4000000000000003E-3</v>
      </c>
      <c r="H62" s="81">
        <f>$C$45*$C$46</f>
        <v>834.4799999999999</v>
      </c>
      <c r="I62" s="89">
        <f t="shared" si="26"/>
        <v>4.5061919999999995</v>
      </c>
      <c r="J62" s="65"/>
      <c r="K62" s="95">
        <f t="shared" si="18"/>
        <v>0</v>
      </c>
      <c r="L62" s="96" t="str">
        <f t="shared" si="15"/>
        <v xml:space="preserve"> 0.00%</v>
      </c>
    </row>
    <row r="63" spans="1:12" x14ac:dyDescent="0.25">
      <c r="A63" s="202" t="s">
        <v>50</v>
      </c>
      <c r="B63" s="200"/>
      <c r="C63" s="80"/>
      <c r="D63" s="80"/>
      <c r="E63" s="90">
        <f>SUM(E60:E62)</f>
        <v>46.344779199999991</v>
      </c>
      <c r="F63" s="82"/>
      <c r="G63" s="80"/>
      <c r="H63" s="80"/>
      <c r="I63" s="90">
        <f>SUM(I60:I62)</f>
        <v>45.35887919999999</v>
      </c>
      <c r="J63" s="66"/>
      <c r="K63" s="141">
        <f t="shared" si="18"/>
        <v>-0.98590000000000089</v>
      </c>
      <c r="L63" s="97">
        <f t="shared" si="15"/>
        <v>-2.1273162091146602E-2</v>
      </c>
    </row>
    <row r="64" spans="1:12" x14ac:dyDescent="0.25">
      <c r="A64" s="206" t="s">
        <v>51</v>
      </c>
      <c r="B64" s="197" t="s">
        <v>62</v>
      </c>
      <c r="C64" s="88">
        <f t="shared" ref="C64:C69" si="27">C28</f>
        <v>4.4000000000000003E-3</v>
      </c>
      <c r="D64" s="81">
        <f t="shared" ref="D64:D65" si="28">$C$45*$C$46</f>
        <v>834.4799999999999</v>
      </c>
      <c r="E64" s="67">
        <f t="shared" ref="E64:E68" si="29">C64*D64</f>
        <v>3.6717119999999999</v>
      </c>
      <c r="F64" s="79"/>
      <c r="G64" s="88">
        <f t="shared" ref="G64:G69" si="30">G28</f>
        <v>4.4000000000000003E-3</v>
      </c>
      <c r="H64" s="81">
        <f t="shared" ref="H64:H65" si="31">$C$45*$C$46</f>
        <v>834.4799999999999</v>
      </c>
      <c r="I64" s="67">
        <f t="shared" ref="I64:I68" si="32">G64*H64</f>
        <v>3.6717119999999999</v>
      </c>
      <c r="J64" s="65"/>
      <c r="K64" s="95">
        <f t="shared" si="18"/>
        <v>0</v>
      </c>
      <c r="L64" s="96" t="str">
        <f t="shared" si="15"/>
        <v xml:space="preserve"> 0.00%</v>
      </c>
    </row>
    <row r="65" spans="1:12" x14ac:dyDescent="0.25">
      <c r="A65" s="206" t="s">
        <v>52</v>
      </c>
      <c r="B65" s="197" t="s">
        <v>62</v>
      </c>
      <c r="C65" s="88">
        <f t="shared" si="27"/>
        <v>1.2999999999999999E-3</v>
      </c>
      <c r="D65" s="81">
        <f t="shared" si="28"/>
        <v>834.4799999999999</v>
      </c>
      <c r="E65" s="67">
        <f t="shared" si="29"/>
        <v>1.0848239999999998</v>
      </c>
      <c r="F65" s="79"/>
      <c r="G65" s="88">
        <f t="shared" si="30"/>
        <v>1.2999999999999999E-3</v>
      </c>
      <c r="H65" s="81">
        <f t="shared" si="31"/>
        <v>834.4799999999999</v>
      </c>
      <c r="I65" s="67">
        <f t="shared" si="32"/>
        <v>1.0848239999999998</v>
      </c>
      <c r="J65" s="65"/>
      <c r="K65" s="95">
        <f t="shared" si="18"/>
        <v>0</v>
      </c>
      <c r="L65" s="96" t="str">
        <f t="shared" si="15"/>
        <v xml:space="preserve"> 0.00%</v>
      </c>
    </row>
    <row r="66" spans="1:12" x14ac:dyDescent="0.25">
      <c r="A66" s="196" t="s">
        <v>53</v>
      </c>
      <c r="B66" s="197" t="s">
        <v>61</v>
      </c>
      <c r="C66" s="69">
        <f t="shared" si="27"/>
        <v>0.25</v>
      </c>
      <c r="D66" s="81">
        <v>1</v>
      </c>
      <c r="E66" s="67">
        <f t="shared" si="29"/>
        <v>0.25</v>
      </c>
      <c r="F66" s="79"/>
      <c r="G66" s="69">
        <f t="shared" si="30"/>
        <v>0.25</v>
      </c>
      <c r="H66" s="81">
        <v>1</v>
      </c>
      <c r="I66" s="67">
        <f t="shared" si="32"/>
        <v>0.25</v>
      </c>
      <c r="J66" s="79"/>
      <c r="K66" s="95">
        <f t="shared" si="18"/>
        <v>0</v>
      </c>
      <c r="L66" s="96" t="str">
        <f t="shared" si="15"/>
        <v xml:space="preserve"> 0.00%</v>
      </c>
    </row>
    <row r="67" spans="1:12" x14ac:dyDescent="0.25">
      <c r="A67" s="196" t="s">
        <v>54</v>
      </c>
      <c r="B67" s="197" t="s">
        <v>62</v>
      </c>
      <c r="C67" s="83">
        <f t="shared" si="27"/>
        <v>0.08</v>
      </c>
      <c r="D67" s="81">
        <f>$C$45*0.64</f>
        <v>512</v>
      </c>
      <c r="E67" s="67">
        <f t="shared" si="29"/>
        <v>40.96</v>
      </c>
      <c r="F67" s="79"/>
      <c r="G67" s="83">
        <f t="shared" si="30"/>
        <v>0.08</v>
      </c>
      <c r="H67" s="81">
        <f>$C$45*0.64</f>
        <v>512</v>
      </c>
      <c r="I67" s="67">
        <f t="shared" si="32"/>
        <v>40.96</v>
      </c>
      <c r="J67" s="79"/>
      <c r="K67" s="95">
        <f t="shared" si="18"/>
        <v>0</v>
      </c>
      <c r="L67" s="96" t="str">
        <f t="shared" si="15"/>
        <v xml:space="preserve"> 0.00%</v>
      </c>
    </row>
    <row r="68" spans="1:12" x14ac:dyDescent="0.25">
      <c r="A68" s="196" t="s">
        <v>55</v>
      </c>
      <c r="B68" s="197" t="s">
        <v>62</v>
      </c>
      <c r="C68" s="83">
        <f t="shared" si="27"/>
        <v>0.122</v>
      </c>
      <c r="D68" s="81">
        <f>$C$45*0.18</f>
        <v>144</v>
      </c>
      <c r="E68" s="67">
        <f t="shared" si="29"/>
        <v>17.567999999999998</v>
      </c>
      <c r="F68" s="79"/>
      <c r="G68" s="83">
        <f t="shared" si="30"/>
        <v>0.122</v>
      </c>
      <c r="H68" s="81">
        <f>$C$45*0.18</f>
        <v>144</v>
      </c>
      <c r="I68" s="67">
        <f t="shared" si="32"/>
        <v>17.567999999999998</v>
      </c>
      <c r="J68" s="79"/>
      <c r="K68" s="95">
        <f t="shared" si="18"/>
        <v>0</v>
      </c>
      <c r="L68" s="96" t="str">
        <f t="shared" si="15"/>
        <v xml:space="preserve"> 0.00%</v>
      </c>
    </row>
    <row r="69" spans="1:12" ht="15.75" thickBot="1" x14ac:dyDescent="0.3">
      <c r="A69" s="207" t="s">
        <v>56</v>
      </c>
      <c r="B69" s="208" t="s">
        <v>62</v>
      </c>
      <c r="C69" s="83">
        <f t="shared" si="27"/>
        <v>0.161</v>
      </c>
      <c r="D69" s="81">
        <f>$C$45*0.18</f>
        <v>144</v>
      </c>
      <c r="E69" s="67">
        <f>C69*D69</f>
        <v>23.184000000000001</v>
      </c>
      <c r="F69" s="79"/>
      <c r="G69" s="83">
        <f t="shared" si="30"/>
        <v>0.161</v>
      </c>
      <c r="H69" s="81">
        <f>$C$45*0.18</f>
        <v>144</v>
      </c>
      <c r="I69" s="67">
        <f>G69*H69</f>
        <v>23.184000000000001</v>
      </c>
      <c r="J69" s="79"/>
      <c r="K69" s="95">
        <f t="shared" si="18"/>
        <v>0</v>
      </c>
      <c r="L69" s="96" t="str">
        <f t="shared" si="15"/>
        <v xml:space="preserve"> 0.00%</v>
      </c>
    </row>
    <row r="70" spans="1:12" ht="9" customHeight="1" thickBot="1" x14ac:dyDescent="0.3">
      <c r="A70" s="209"/>
      <c r="B70" s="210"/>
      <c r="C70" s="137"/>
      <c r="D70" s="84"/>
      <c r="E70" s="91"/>
      <c r="F70" s="84"/>
      <c r="G70" s="137"/>
      <c r="H70" s="84"/>
      <c r="I70" s="137"/>
      <c r="J70" s="84"/>
      <c r="K70" s="138"/>
      <c r="L70" s="98"/>
    </row>
    <row r="71" spans="1:12" x14ac:dyDescent="0.25">
      <c r="A71" s="211" t="s">
        <v>57</v>
      </c>
      <c r="B71" s="212"/>
      <c r="C71" s="102"/>
      <c r="D71" s="103"/>
      <c r="E71" s="92">
        <f>SUM(E63:E69)</f>
        <v>133.06331520000001</v>
      </c>
      <c r="F71" s="104"/>
      <c r="G71" s="105"/>
      <c r="H71" s="103"/>
      <c r="I71" s="139">
        <f>SUM(I63:I69)</f>
        <v>132.07741519999999</v>
      </c>
      <c r="J71" s="85"/>
      <c r="K71" s="140">
        <f t="shared" ref="K71:K75" si="33">I71-E71</f>
        <v>-0.9859000000000151</v>
      </c>
      <c r="L71" s="68">
        <f t="shared" si="15"/>
        <v>-7.4092547485244964E-3</v>
      </c>
    </row>
    <row r="72" spans="1:12" x14ac:dyDescent="0.25">
      <c r="A72" s="213" t="s">
        <v>58</v>
      </c>
      <c r="B72" s="214"/>
      <c r="C72" s="102">
        <v>0.13</v>
      </c>
      <c r="D72" s="106"/>
      <c r="E72" s="93">
        <f>E71*C72</f>
        <v>17.298230976000003</v>
      </c>
      <c r="F72" s="74"/>
      <c r="G72" s="102">
        <v>0.13</v>
      </c>
      <c r="H72" s="106"/>
      <c r="I72" s="100">
        <f>I71*G72</f>
        <v>17.170063975999998</v>
      </c>
      <c r="J72" s="86"/>
      <c r="K72" s="67">
        <f t="shared" si="33"/>
        <v>-0.1281670000000048</v>
      </c>
      <c r="L72" s="96">
        <f t="shared" si="15"/>
        <v>-7.4092547485247184E-3</v>
      </c>
    </row>
    <row r="73" spans="1:12" hidden="1" x14ac:dyDescent="0.25">
      <c r="A73" s="215" t="s">
        <v>117</v>
      </c>
      <c r="B73" s="214"/>
      <c r="C73" s="74"/>
      <c r="D73" s="106"/>
      <c r="E73" s="93">
        <f>E71+E72</f>
        <v>150.36154617600002</v>
      </c>
      <c r="F73" s="74"/>
      <c r="G73" s="74"/>
      <c r="H73" s="106"/>
      <c r="I73" s="100">
        <f>I71+I72</f>
        <v>149.24747917599998</v>
      </c>
      <c r="J73" s="86"/>
      <c r="K73" s="67">
        <f t="shared" si="33"/>
        <v>-1.1140670000000341</v>
      </c>
      <c r="L73" s="96">
        <f t="shared" ref="L73" si="34">I73/E73-1</f>
        <v>-7.4092547485246074E-3</v>
      </c>
    </row>
    <row r="74" spans="1:12" hidden="1" x14ac:dyDescent="0.25">
      <c r="A74" s="216"/>
      <c r="B74" s="214"/>
      <c r="C74" s="74"/>
      <c r="D74" s="106"/>
      <c r="E74" s="94">
        <v>0</v>
      </c>
      <c r="F74" s="74"/>
      <c r="G74" s="74"/>
      <c r="H74" s="106"/>
      <c r="I74" s="101">
        <v>0</v>
      </c>
      <c r="J74" s="86"/>
      <c r="K74" s="67">
        <f t="shared" si="33"/>
        <v>0</v>
      </c>
      <c r="L74" s="101">
        <v>0</v>
      </c>
    </row>
    <row r="75" spans="1:12" ht="15.75" thickBot="1" x14ac:dyDescent="0.3">
      <c r="A75" s="217" t="s">
        <v>96</v>
      </c>
      <c r="B75" s="218"/>
      <c r="C75" s="142"/>
      <c r="D75" s="143"/>
      <c r="E75" s="144">
        <f>E73+E74</f>
        <v>150.36154617600002</v>
      </c>
      <c r="F75" s="145"/>
      <c r="G75" s="145"/>
      <c r="H75" s="145"/>
      <c r="I75" s="149">
        <f>I73+I74</f>
        <v>149.24747917599998</v>
      </c>
      <c r="J75" s="146"/>
      <c r="K75" s="147">
        <f t="shared" si="33"/>
        <v>-1.1140670000000341</v>
      </c>
      <c r="L75" s="148">
        <f t="shared" ref="L75" si="35">IF(I75-E75=0, " 0.00%", I75/E75-1)</f>
        <v>-7.4092547485246074E-3</v>
      </c>
    </row>
    <row r="76" spans="1:12" ht="9" customHeight="1" thickBot="1" x14ac:dyDescent="0.3">
      <c r="A76" s="209"/>
      <c r="B76" s="210"/>
      <c r="C76" s="137"/>
      <c r="D76" s="84"/>
      <c r="E76" s="91"/>
      <c r="F76" s="84"/>
      <c r="G76" s="137"/>
      <c r="H76" s="84"/>
      <c r="I76" s="137"/>
      <c r="J76" s="84"/>
      <c r="K76" s="138"/>
      <c r="L76" s="98"/>
    </row>
    <row r="79" spans="1:12" x14ac:dyDescent="0.25">
      <c r="A79" s="229" t="s">
        <v>97</v>
      </c>
      <c r="B79" s="230"/>
      <c r="C79" s="231"/>
    </row>
    <row r="80" spans="1:12" hidden="1" x14ac:dyDescent="0.25">
      <c r="A80" s="233"/>
      <c r="B80" s="234"/>
      <c r="C80" s="235"/>
    </row>
    <row r="81" spans="1:12" x14ac:dyDescent="0.25">
      <c r="A81" s="233" t="s">
        <v>66</v>
      </c>
      <c r="B81" s="234"/>
      <c r="C81" s="240">
        <f>'2018 Bill Impact'!C81</f>
        <v>1500</v>
      </c>
    </row>
    <row r="82" spans="1:12" x14ac:dyDescent="0.25">
      <c r="A82" s="237" t="s">
        <v>65</v>
      </c>
      <c r="B82" s="238"/>
      <c r="C82" s="241">
        <f>'2018 Bill Impact'!C82</f>
        <v>1.0430999999999999</v>
      </c>
    </row>
    <row r="84" spans="1:12" x14ac:dyDescent="0.25">
      <c r="A84" s="187"/>
      <c r="B84" s="188"/>
      <c r="C84" s="258" t="s">
        <v>68</v>
      </c>
      <c r="D84" s="259"/>
      <c r="E84" s="260"/>
      <c r="F84" s="187"/>
      <c r="G84" s="258" t="s">
        <v>69</v>
      </c>
      <c r="H84" s="259"/>
      <c r="I84" s="260"/>
      <c r="J84" s="187"/>
      <c r="K84" s="258" t="s">
        <v>39</v>
      </c>
      <c r="L84" s="260"/>
    </row>
    <row r="85" spans="1:12" ht="15" customHeight="1" x14ac:dyDescent="0.25">
      <c r="A85" s="187"/>
      <c r="B85" s="189"/>
      <c r="C85" s="190" t="s">
        <v>108</v>
      </c>
      <c r="D85" s="190" t="s">
        <v>35</v>
      </c>
      <c r="E85" s="191" t="s">
        <v>109</v>
      </c>
      <c r="F85" s="187"/>
      <c r="G85" s="190" t="s">
        <v>108</v>
      </c>
      <c r="H85" s="190" t="s">
        <v>35</v>
      </c>
      <c r="I85" s="191" t="s">
        <v>109</v>
      </c>
      <c r="J85" s="187"/>
      <c r="K85" s="192" t="s">
        <v>40</v>
      </c>
      <c r="L85" s="193" t="s">
        <v>41</v>
      </c>
    </row>
    <row r="86" spans="1:12" x14ac:dyDescent="0.25">
      <c r="A86" s="194" t="s">
        <v>36</v>
      </c>
      <c r="B86" s="195" t="s">
        <v>61</v>
      </c>
      <c r="C86" s="67">
        <f t="shared" ref="C86:C91" si="36">C50</f>
        <v>23.18</v>
      </c>
      <c r="D86" s="109">
        <v>1</v>
      </c>
      <c r="E86" s="67">
        <f>C86*D86</f>
        <v>23.18</v>
      </c>
      <c r="F86" s="75"/>
      <c r="G86" s="67">
        <f t="shared" ref="G86:G91" si="37">G50</f>
        <v>26.57</v>
      </c>
      <c r="H86" s="109">
        <v>1</v>
      </c>
      <c r="I86" s="67">
        <f>G86*H86</f>
        <v>26.57</v>
      </c>
      <c r="J86" s="75"/>
      <c r="K86" s="67">
        <f>I86-E86</f>
        <v>3.3900000000000006</v>
      </c>
      <c r="L86" s="96">
        <f t="shared" ref="L86:L108" si="38">IF(I86-E86=0, " 0.00%", I86/E86-1)</f>
        <v>0.14624676445211393</v>
      </c>
    </row>
    <row r="87" spans="1:12" x14ac:dyDescent="0.25">
      <c r="A87" s="196" t="s">
        <v>60</v>
      </c>
      <c r="B87" s="197" t="s">
        <v>61</v>
      </c>
      <c r="C87" s="67">
        <f t="shared" si="36"/>
        <v>-0.23180000000000001</v>
      </c>
      <c r="D87" s="109">
        <v>1</v>
      </c>
      <c r="E87" s="67">
        <f t="shared" ref="E87:E91" si="39">C87*D87</f>
        <v>-0.23180000000000001</v>
      </c>
      <c r="F87" s="75"/>
      <c r="G87" s="67">
        <f t="shared" si="37"/>
        <v>-0.26569999999999999</v>
      </c>
      <c r="H87" s="109">
        <v>1</v>
      </c>
      <c r="I87" s="67">
        <f t="shared" ref="I87:I91" si="40">G87*H87</f>
        <v>-0.26569999999999999</v>
      </c>
      <c r="J87" s="86"/>
      <c r="K87" s="67">
        <f t="shared" ref="K87:K105" si="41">I87-E87</f>
        <v>-3.3899999999999986E-2</v>
      </c>
      <c r="L87" s="96">
        <f t="shared" si="38"/>
        <v>0.14624676445211393</v>
      </c>
    </row>
    <row r="88" spans="1:12" x14ac:dyDescent="0.25">
      <c r="A88" s="196" t="s">
        <v>63</v>
      </c>
      <c r="B88" s="197" t="s">
        <v>61</v>
      </c>
      <c r="C88" s="67">
        <f t="shared" si="36"/>
        <v>0.64</v>
      </c>
      <c r="D88" s="109">
        <v>1</v>
      </c>
      <c r="E88" s="67">
        <f t="shared" si="39"/>
        <v>0.64</v>
      </c>
      <c r="F88" s="75"/>
      <c r="G88" s="67">
        <f t="shared" si="37"/>
        <v>0.64</v>
      </c>
      <c r="H88" s="109">
        <v>1</v>
      </c>
      <c r="I88" s="67">
        <f t="shared" si="40"/>
        <v>0.64</v>
      </c>
      <c r="J88" s="86"/>
      <c r="K88" s="67">
        <f t="shared" si="41"/>
        <v>0</v>
      </c>
      <c r="L88" s="96" t="str">
        <f t="shared" si="38"/>
        <v xml:space="preserve"> 0.00%</v>
      </c>
    </row>
    <row r="89" spans="1:12" x14ac:dyDescent="0.25">
      <c r="A89" s="196" t="s">
        <v>42</v>
      </c>
      <c r="B89" s="197" t="s">
        <v>62</v>
      </c>
      <c r="C89" s="70">
        <f t="shared" si="36"/>
        <v>8.8999999999999999E-3</v>
      </c>
      <c r="D89" s="76">
        <f>$C$81</f>
        <v>1500</v>
      </c>
      <c r="E89" s="67">
        <f t="shared" si="39"/>
        <v>13.35</v>
      </c>
      <c r="F89" s="75"/>
      <c r="G89" s="70">
        <f t="shared" si="37"/>
        <v>4.4000000000000003E-3</v>
      </c>
      <c r="H89" s="76">
        <f>$C$81</f>
        <v>1500</v>
      </c>
      <c r="I89" s="67">
        <f t="shared" si="40"/>
        <v>6.6000000000000005</v>
      </c>
      <c r="J89" s="86"/>
      <c r="K89" s="67">
        <f t="shared" si="41"/>
        <v>-6.7499999999999991</v>
      </c>
      <c r="L89" s="96">
        <f t="shared" si="38"/>
        <v>-0.50561797752808979</v>
      </c>
    </row>
    <row r="90" spans="1:12" x14ac:dyDescent="0.25">
      <c r="A90" s="196" t="s">
        <v>60</v>
      </c>
      <c r="B90" s="197" t="s">
        <v>62</v>
      </c>
      <c r="C90" s="70">
        <f t="shared" si="36"/>
        <v>-1E-4</v>
      </c>
      <c r="D90" s="76">
        <f>$C$81</f>
        <v>1500</v>
      </c>
      <c r="E90" s="67">
        <f t="shared" si="39"/>
        <v>-0.15</v>
      </c>
      <c r="F90" s="75"/>
      <c r="G90" s="245">
        <f t="shared" si="37"/>
        <v>-4.0000000000000003E-5</v>
      </c>
      <c r="H90" s="76">
        <f>$C$81</f>
        <v>1500</v>
      </c>
      <c r="I90" s="67">
        <f t="shared" si="40"/>
        <v>-6.0000000000000005E-2</v>
      </c>
      <c r="J90" s="86"/>
      <c r="K90" s="67">
        <f t="shared" si="41"/>
        <v>0.09</v>
      </c>
      <c r="L90" s="96">
        <f t="shared" si="38"/>
        <v>-0.6</v>
      </c>
    </row>
    <row r="91" spans="1:12" x14ac:dyDescent="0.25">
      <c r="A91" s="198" t="s">
        <v>64</v>
      </c>
      <c r="B91" s="197" t="s">
        <v>62</v>
      </c>
      <c r="C91" s="70">
        <f t="shared" si="36"/>
        <v>8.0000000000000004E-4</v>
      </c>
      <c r="D91" s="76">
        <f>$C$81</f>
        <v>1500</v>
      </c>
      <c r="E91" s="67">
        <f t="shared" si="39"/>
        <v>1.2</v>
      </c>
      <c r="F91" s="75"/>
      <c r="G91" s="70">
        <f t="shared" si="37"/>
        <v>8.0000000000000004E-4</v>
      </c>
      <c r="H91" s="76">
        <f>$C$81</f>
        <v>1500</v>
      </c>
      <c r="I91" s="67">
        <f t="shared" si="40"/>
        <v>1.2</v>
      </c>
      <c r="J91" s="86"/>
      <c r="K91" s="67">
        <f t="shared" si="41"/>
        <v>0</v>
      </c>
      <c r="L91" s="96" t="str">
        <f t="shared" si="38"/>
        <v xml:space="preserve"> 0.00%</v>
      </c>
    </row>
    <row r="92" spans="1:12" x14ac:dyDescent="0.25">
      <c r="A92" s="199" t="s">
        <v>43</v>
      </c>
      <c r="B92" s="200"/>
      <c r="C92" s="64"/>
      <c r="D92" s="80"/>
      <c r="E92" s="63">
        <f>SUM(E86:E91)</f>
        <v>37.988200000000006</v>
      </c>
      <c r="F92" s="77"/>
      <c r="G92" s="64"/>
      <c r="H92" s="80"/>
      <c r="I92" s="63">
        <f>SUM(I86:I91)</f>
        <v>34.6843</v>
      </c>
      <c r="J92" s="65"/>
      <c r="K92" s="141">
        <f t="shared" si="41"/>
        <v>-3.3039000000000058</v>
      </c>
      <c r="L92" s="97">
        <f t="shared" si="38"/>
        <v>-8.6971743857303219E-2</v>
      </c>
    </row>
    <row r="93" spans="1:12" x14ac:dyDescent="0.25">
      <c r="A93" s="201" t="s">
        <v>44</v>
      </c>
      <c r="B93" s="197" t="s">
        <v>62</v>
      </c>
      <c r="C93" s="87">
        <f>C57</f>
        <v>0.10214000000000001</v>
      </c>
      <c r="D93" s="78">
        <f>($C$81*$C$46)-$C$81</f>
        <v>64.649999999999864</v>
      </c>
      <c r="E93" s="89">
        <f t="shared" ref="E93" si="42">C93*D93</f>
        <v>6.6033509999999866</v>
      </c>
      <c r="F93" s="77"/>
      <c r="G93" s="87">
        <f>G57</f>
        <v>0.10214000000000001</v>
      </c>
      <c r="H93" s="78">
        <f>($C$81*$C$46)-$C$81</f>
        <v>64.649999999999864</v>
      </c>
      <c r="I93" s="89">
        <f t="shared" ref="I93" si="43">G93*H93</f>
        <v>6.6033509999999866</v>
      </c>
      <c r="J93" s="65"/>
      <c r="K93" s="67">
        <f t="shared" si="41"/>
        <v>0</v>
      </c>
      <c r="L93" s="96" t="str">
        <f t="shared" si="38"/>
        <v xml:space="preserve"> 0.00%</v>
      </c>
    </row>
    <row r="94" spans="1:12" hidden="1" x14ac:dyDescent="0.25">
      <c r="A94" s="201" t="s">
        <v>45</v>
      </c>
      <c r="B94" s="197" t="s">
        <v>62</v>
      </c>
      <c r="C94" s="108">
        <f>C58</f>
        <v>0</v>
      </c>
      <c r="D94" s="78">
        <v>0</v>
      </c>
      <c r="E94" s="89">
        <v>0</v>
      </c>
      <c r="F94" s="77"/>
      <c r="G94" s="108">
        <f>G58</f>
        <v>0</v>
      </c>
      <c r="H94" s="78">
        <v>0</v>
      </c>
      <c r="I94" s="89">
        <v>0</v>
      </c>
      <c r="J94" s="65"/>
      <c r="K94" s="67">
        <f t="shared" si="41"/>
        <v>0</v>
      </c>
      <c r="L94" s="96" t="str">
        <f t="shared" si="38"/>
        <v xml:space="preserve"> 0.00%</v>
      </c>
    </row>
    <row r="95" spans="1:12" x14ac:dyDescent="0.25">
      <c r="A95" s="196" t="s">
        <v>46</v>
      </c>
      <c r="B95" s="197" t="s">
        <v>61</v>
      </c>
      <c r="C95" s="107">
        <f>C59</f>
        <v>0.79</v>
      </c>
      <c r="D95" s="78">
        <v>1</v>
      </c>
      <c r="E95" s="89">
        <f t="shared" ref="E95" si="44">C95*D95</f>
        <v>0.79</v>
      </c>
      <c r="F95" s="77"/>
      <c r="G95" s="107">
        <f>G59</f>
        <v>0</v>
      </c>
      <c r="H95" s="78">
        <v>1</v>
      </c>
      <c r="I95" s="89">
        <f t="shared" ref="I95" si="45">G95*H95</f>
        <v>0</v>
      </c>
      <c r="J95" s="65"/>
      <c r="K95" s="67">
        <f t="shared" si="41"/>
        <v>-0.79</v>
      </c>
      <c r="L95" s="96">
        <f t="shared" si="38"/>
        <v>-1</v>
      </c>
    </row>
    <row r="96" spans="1:12" x14ac:dyDescent="0.25">
      <c r="A96" s="202" t="s">
        <v>47</v>
      </c>
      <c r="B96" s="203"/>
      <c r="C96" s="80"/>
      <c r="D96" s="80"/>
      <c r="E96" s="90">
        <f>SUM(E92:E95)</f>
        <v>45.381550999999995</v>
      </c>
      <c r="F96" s="77"/>
      <c r="G96" s="80"/>
      <c r="H96" s="80"/>
      <c r="I96" s="90">
        <f>SUM(I92:I95)</f>
        <v>41.28765099999999</v>
      </c>
      <c r="J96" s="65"/>
      <c r="K96" s="141">
        <f t="shared" si="41"/>
        <v>-4.093900000000005</v>
      </c>
      <c r="L96" s="97">
        <f t="shared" si="38"/>
        <v>-9.0210667326024341E-2</v>
      </c>
    </row>
    <row r="97" spans="1:12" x14ac:dyDescent="0.25">
      <c r="A97" s="204" t="s">
        <v>48</v>
      </c>
      <c r="B97" s="197" t="s">
        <v>62</v>
      </c>
      <c r="C97" s="87">
        <f>C61</f>
        <v>7.4999999999999997E-3</v>
      </c>
      <c r="D97" s="81">
        <f>$C$81*$C$46</f>
        <v>1564.6499999999999</v>
      </c>
      <c r="E97" s="89">
        <f t="shared" ref="E97:E98" si="46">C97*D97</f>
        <v>11.734874999999999</v>
      </c>
      <c r="F97" s="77"/>
      <c r="G97" s="87">
        <f>G61</f>
        <v>7.4999999999999997E-3</v>
      </c>
      <c r="H97" s="81">
        <f>$C$81*$C$46</f>
        <v>1564.6499999999999</v>
      </c>
      <c r="I97" s="89">
        <f t="shared" ref="I97:I98" si="47">G97*H97</f>
        <v>11.734874999999999</v>
      </c>
      <c r="J97" s="65"/>
      <c r="K97" s="95">
        <f t="shared" si="41"/>
        <v>0</v>
      </c>
      <c r="L97" s="96" t="str">
        <f t="shared" si="38"/>
        <v xml:space="preserve"> 0.00%</v>
      </c>
    </row>
    <row r="98" spans="1:12" x14ac:dyDescent="0.25">
      <c r="A98" s="205" t="s">
        <v>49</v>
      </c>
      <c r="B98" s="197" t="s">
        <v>62</v>
      </c>
      <c r="C98" s="87">
        <f>C62</f>
        <v>5.4000000000000003E-3</v>
      </c>
      <c r="D98" s="81">
        <f>$C$81*$C$46</f>
        <v>1564.6499999999999</v>
      </c>
      <c r="E98" s="89">
        <f t="shared" si="46"/>
        <v>8.4491099999999992</v>
      </c>
      <c r="F98" s="77"/>
      <c r="G98" s="87">
        <f>G62</f>
        <v>5.4000000000000003E-3</v>
      </c>
      <c r="H98" s="81">
        <f>$C$81*$C$46</f>
        <v>1564.6499999999999</v>
      </c>
      <c r="I98" s="89">
        <f t="shared" si="47"/>
        <v>8.4491099999999992</v>
      </c>
      <c r="J98" s="65"/>
      <c r="K98" s="95">
        <f t="shared" si="41"/>
        <v>0</v>
      </c>
      <c r="L98" s="96" t="str">
        <f t="shared" si="38"/>
        <v xml:space="preserve"> 0.00%</v>
      </c>
    </row>
    <row r="99" spans="1:12" x14ac:dyDescent="0.25">
      <c r="A99" s="202" t="s">
        <v>50</v>
      </c>
      <c r="B99" s="200"/>
      <c r="C99" s="80"/>
      <c r="D99" s="80"/>
      <c r="E99" s="90">
        <f>SUM(E96:E98)</f>
        <v>65.565535999999994</v>
      </c>
      <c r="F99" s="82"/>
      <c r="G99" s="80"/>
      <c r="H99" s="80"/>
      <c r="I99" s="90">
        <f>SUM(I96:I98)</f>
        <v>61.471635999999982</v>
      </c>
      <c r="J99" s="66"/>
      <c r="K99" s="141">
        <f t="shared" si="41"/>
        <v>-4.0939000000000121</v>
      </c>
      <c r="L99" s="97">
        <f t="shared" si="38"/>
        <v>-6.2439815942326948E-2</v>
      </c>
    </row>
    <row r="100" spans="1:12" x14ac:dyDescent="0.25">
      <c r="A100" s="206" t="s">
        <v>51</v>
      </c>
      <c r="B100" s="197" t="s">
        <v>62</v>
      </c>
      <c r="C100" s="88">
        <f t="shared" ref="C100:C105" si="48">C64</f>
        <v>4.4000000000000003E-3</v>
      </c>
      <c r="D100" s="81">
        <f>$C$81*$C$46</f>
        <v>1564.6499999999999</v>
      </c>
      <c r="E100" s="67">
        <f t="shared" ref="E100:E104" si="49">C100*D100</f>
        <v>6.8844599999999998</v>
      </c>
      <c r="F100" s="79"/>
      <c r="G100" s="88">
        <f t="shared" ref="G100:G105" si="50">G64</f>
        <v>4.4000000000000003E-3</v>
      </c>
      <c r="H100" s="81">
        <f>$C$81*$C$46</f>
        <v>1564.6499999999999</v>
      </c>
      <c r="I100" s="67">
        <f t="shared" ref="I100:I104" si="51">G100*H100</f>
        <v>6.8844599999999998</v>
      </c>
      <c r="J100" s="65"/>
      <c r="K100" s="95">
        <f t="shared" si="41"/>
        <v>0</v>
      </c>
      <c r="L100" s="96" t="str">
        <f t="shared" si="38"/>
        <v xml:space="preserve"> 0.00%</v>
      </c>
    </row>
    <row r="101" spans="1:12" x14ac:dyDescent="0.25">
      <c r="A101" s="206" t="s">
        <v>52</v>
      </c>
      <c r="B101" s="197" t="s">
        <v>62</v>
      </c>
      <c r="C101" s="88">
        <f t="shared" si="48"/>
        <v>1.2999999999999999E-3</v>
      </c>
      <c r="D101" s="81">
        <f>$C$81*$C$46</f>
        <v>1564.6499999999999</v>
      </c>
      <c r="E101" s="67">
        <f t="shared" si="49"/>
        <v>2.0340449999999999</v>
      </c>
      <c r="F101" s="79"/>
      <c r="G101" s="88">
        <f t="shared" si="50"/>
        <v>1.2999999999999999E-3</v>
      </c>
      <c r="H101" s="81">
        <f>$C$81*$C$46</f>
        <v>1564.6499999999999</v>
      </c>
      <c r="I101" s="67">
        <f t="shared" si="51"/>
        <v>2.0340449999999999</v>
      </c>
      <c r="J101" s="65"/>
      <c r="K101" s="95">
        <f t="shared" si="41"/>
        <v>0</v>
      </c>
      <c r="L101" s="96" t="str">
        <f t="shared" si="38"/>
        <v xml:space="preserve"> 0.00%</v>
      </c>
    </row>
    <row r="102" spans="1:12" x14ac:dyDescent="0.25">
      <c r="A102" s="196" t="s">
        <v>53</v>
      </c>
      <c r="B102" s="197" t="s">
        <v>61</v>
      </c>
      <c r="C102" s="69">
        <f t="shared" si="48"/>
        <v>0.25</v>
      </c>
      <c r="D102" s="81">
        <v>1</v>
      </c>
      <c r="E102" s="67">
        <f t="shared" si="49"/>
        <v>0.25</v>
      </c>
      <c r="F102" s="79"/>
      <c r="G102" s="69">
        <f t="shared" si="50"/>
        <v>0.25</v>
      </c>
      <c r="H102" s="81">
        <v>1</v>
      </c>
      <c r="I102" s="67">
        <f t="shared" si="51"/>
        <v>0.25</v>
      </c>
      <c r="J102" s="79"/>
      <c r="K102" s="95">
        <f t="shared" si="41"/>
        <v>0</v>
      </c>
      <c r="L102" s="96" t="str">
        <f t="shared" si="38"/>
        <v xml:space="preserve"> 0.00%</v>
      </c>
    </row>
    <row r="103" spans="1:12" x14ac:dyDescent="0.25">
      <c r="A103" s="196" t="s">
        <v>54</v>
      </c>
      <c r="B103" s="197" t="s">
        <v>62</v>
      </c>
      <c r="C103" s="83">
        <f t="shared" si="48"/>
        <v>0.08</v>
      </c>
      <c r="D103" s="81">
        <f>$C$81*0.64</f>
        <v>960</v>
      </c>
      <c r="E103" s="67">
        <f t="shared" si="49"/>
        <v>76.8</v>
      </c>
      <c r="F103" s="79"/>
      <c r="G103" s="83">
        <f t="shared" si="50"/>
        <v>0.08</v>
      </c>
      <c r="H103" s="81">
        <f>$C$81*0.64</f>
        <v>960</v>
      </c>
      <c r="I103" s="67">
        <f t="shared" si="51"/>
        <v>76.8</v>
      </c>
      <c r="J103" s="79"/>
      <c r="K103" s="95">
        <f t="shared" si="41"/>
        <v>0</v>
      </c>
      <c r="L103" s="96" t="str">
        <f t="shared" si="38"/>
        <v xml:space="preserve"> 0.00%</v>
      </c>
    </row>
    <row r="104" spans="1:12" x14ac:dyDescent="0.25">
      <c r="A104" s="196" t="s">
        <v>55</v>
      </c>
      <c r="B104" s="197" t="s">
        <v>62</v>
      </c>
      <c r="C104" s="83">
        <f t="shared" si="48"/>
        <v>0.122</v>
      </c>
      <c r="D104" s="81">
        <f>$C$81*0.18</f>
        <v>270</v>
      </c>
      <c r="E104" s="67">
        <f t="shared" si="49"/>
        <v>32.94</v>
      </c>
      <c r="F104" s="79"/>
      <c r="G104" s="83">
        <f t="shared" si="50"/>
        <v>0.122</v>
      </c>
      <c r="H104" s="81">
        <f>$C$81*0.18</f>
        <v>270</v>
      </c>
      <c r="I104" s="67">
        <f t="shared" si="51"/>
        <v>32.94</v>
      </c>
      <c r="J104" s="79"/>
      <c r="K104" s="95">
        <f t="shared" si="41"/>
        <v>0</v>
      </c>
      <c r="L104" s="96" t="str">
        <f t="shared" si="38"/>
        <v xml:space="preserve"> 0.00%</v>
      </c>
    </row>
    <row r="105" spans="1:12" ht="15.75" thickBot="1" x14ac:dyDescent="0.3">
      <c r="A105" s="207" t="s">
        <v>56</v>
      </c>
      <c r="B105" s="208" t="s">
        <v>62</v>
      </c>
      <c r="C105" s="83">
        <f t="shared" si="48"/>
        <v>0.161</v>
      </c>
      <c r="D105" s="81">
        <f>$C$81*0.18</f>
        <v>270</v>
      </c>
      <c r="E105" s="67">
        <f>C105*D105</f>
        <v>43.47</v>
      </c>
      <c r="F105" s="79"/>
      <c r="G105" s="83">
        <f t="shared" si="50"/>
        <v>0.161</v>
      </c>
      <c r="H105" s="81">
        <f>$C$81*0.18</f>
        <v>270</v>
      </c>
      <c r="I105" s="67">
        <f>G105*H105</f>
        <v>43.47</v>
      </c>
      <c r="J105" s="79"/>
      <c r="K105" s="95">
        <f t="shared" si="41"/>
        <v>0</v>
      </c>
      <c r="L105" s="96" t="str">
        <f t="shared" si="38"/>
        <v xml:space="preserve"> 0.00%</v>
      </c>
    </row>
    <row r="106" spans="1:12" ht="9" customHeight="1" thickBot="1" x14ac:dyDescent="0.3">
      <c r="A106" s="209"/>
      <c r="B106" s="210"/>
      <c r="C106" s="137"/>
      <c r="D106" s="84"/>
      <c r="E106" s="91"/>
      <c r="F106" s="84"/>
      <c r="G106" s="137"/>
      <c r="H106" s="84"/>
      <c r="I106" s="137"/>
      <c r="J106" s="84"/>
      <c r="K106" s="138"/>
      <c r="L106" s="98"/>
    </row>
    <row r="107" spans="1:12" x14ac:dyDescent="0.25">
      <c r="A107" s="211" t="s">
        <v>57</v>
      </c>
      <c r="B107" s="212"/>
      <c r="C107" s="102"/>
      <c r="D107" s="103"/>
      <c r="E107" s="92">
        <f>SUM(E99:E105)</f>
        <v>227.944041</v>
      </c>
      <c r="F107" s="104"/>
      <c r="G107" s="105"/>
      <c r="H107" s="103"/>
      <c r="I107" s="139">
        <f>SUM(I99:I105)</f>
        <v>223.85014099999998</v>
      </c>
      <c r="J107" s="85"/>
      <c r="K107" s="140">
        <f t="shared" ref="K107:K111" si="52">I107-E107</f>
        <v>-4.0939000000000192</v>
      </c>
      <c r="L107" s="68">
        <f t="shared" si="38"/>
        <v>-1.7960109779750821E-2</v>
      </c>
    </row>
    <row r="108" spans="1:12" x14ac:dyDescent="0.25">
      <c r="A108" s="213" t="s">
        <v>58</v>
      </c>
      <c r="B108" s="214"/>
      <c r="C108" s="102">
        <v>0.13</v>
      </c>
      <c r="D108" s="106"/>
      <c r="E108" s="93">
        <f>E107*C108</f>
        <v>29.63272533</v>
      </c>
      <c r="F108" s="74"/>
      <c r="G108" s="102">
        <v>0.13</v>
      </c>
      <c r="H108" s="106"/>
      <c r="I108" s="100">
        <f>I107*G108</f>
        <v>29.10051833</v>
      </c>
      <c r="J108" s="86"/>
      <c r="K108" s="67">
        <f t="shared" si="52"/>
        <v>-0.53220699999999965</v>
      </c>
      <c r="L108" s="96">
        <f t="shared" si="38"/>
        <v>-1.796010977975071E-2</v>
      </c>
    </row>
    <row r="109" spans="1:12" hidden="1" x14ac:dyDescent="0.25">
      <c r="A109" s="215" t="s">
        <v>117</v>
      </c>
      <c r="B109" s="214"/>
      <c r="C109" s="74"/>
      <c r="D109" s="106"/>
      <c r="E109" s="93">
        <f>E107+E108</f>
        <v>257.57676633</v>
      </c>
      <c r="F109" s="74"/>
      <c r="G109" s="74"/>
      <c r="H109" s="106"/>
      <c r="I109" s="100">
        <f>I107+I108</f>
        <v>252.95065932999998</v>
      </c>
      <c r="J109" s="86"/>
      <c r="K109" s="67">
        <f t="shared" si="52"/>
        <v>-4.6261070000000188</v>
      </c>
      <c r="L109" s="96">
        <f t="shared" ref="L109" si="53">I109/E109-1</f>
        <v>-1.7960109779750821E-2</v>
      </c>
    </row>
    <row r="110" spans="1:12" hidden="1" x14ac:dyDescent="0.25">
      <c r="A110" s="216"/>
      <c r="B110" s="214"/>
      <c r="C110" s="74"/>
      <c r="D110" s="106"/>
      <c r="E110" s="94">
        <v>0</v>
      </c>
      <c r="F110" s="74"/>
      <c r="G110" s="74"/>
      <c r="H110" s="106"/>
      <c r="I110" s="101">
        <v>0</v>
      </c>
      <c r="J110" s="86"/>
      <c r="K110" s="67">
        <f t="shared" si="52"/>
        <v>0</v>
      </c>
      <c r="L110" s="101">
        <v>0</v>
      </c>
    </row>
    <row r="111" spans="1:12" ht="15.75" thickBot="1" x14ac:dyDescent="0.3">
      <c r="A111" s="217" t="s">
        <v>96</v>
      </c>
      <c r="B111" s="218"/>
      <c r="C111" s="142"/>
      <c r="D111" s="143"/>
      <c r="E111" s="144">
        <f>E109+E110</f>
        <v>257.57676633</v>
      </c>
      <c r="F111" s="145"/>
      <c r="G111" s="145"/>
      <c r="H111" s="145"/>
      <c r="I111" s="149">
        <f>I109+I110</f>
        <v>252.95065932999998</v>
      </c>
      <c r="J111" s="146"/>
      <c r="K111" s="147">
        <f t="shared" si="52"/>
        <v>-4.6261070000000188</v>
      </c>
      <c r="L111" s="148">
        <f t="shared" ref="L111" si="54">IF(I111-E111=0, " 0.00%", I111/E111-1)</f>
        <v>-1.7960109779750821E-2</v>
      </c>
    </row>
    <row r="112" spans="1:12" ht="9" customHeight="1" thickBot="1" x14ac:dyDescent="0.3">
      <c r="A112" s="209"/>
      <c r="B112" s="210"/>
      <c r="C112" s="137"/>
      <c r="D112" s="84"/>
      <c r="E112" s="91"/>
      <c r="F112" s="84"/>
      <c r="G112" s="137"/>
      <c r="H112" s="84"/>
      <c r="I112" s="137"/>
      <c r="J112" s="84"/>
      <c r="K112" s="138"/>
      <c r="L112" s="98"/>
    </row>
  </sheetData>
  <mergeCells count="9">
    <mergeCell ref="C84:E84"/>
    <mergeCell ref="G84:I84"/>
    <mergeCell ref="K84:L84"/>
    <mergeCell ref="C12:E12"/>
    <mergeCell ref="G12:I12"/>
    <mergeCell ref="K12:L12"/>
    <mergeCell ref="C48:E48"/>
    <mergeCell ref="G48:I48"/>
    <mergeCell ref="K48:L48"/>
  </mergeCells>
  <pageMargins left="0.7" right="0.7" top="0.75" bottom="0.75" header="0.3" footer="0.3"/>
  <pageSetup scale="48" orientation="portrait" r:id="rId1"/>
  <headerFooter>
    <oddHeader>&amp;RFiled: 2016-10-18
EB-2016-0082
Draft Rate Order
Attachment 3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112"/>
  <sheetViews>
    <sheetView showGridLines="0" tabSelected="1" view="pageLayout" topLeftCell="B1" zoomScaleNormal="90" workbookViewId="0">
      <selection activeCell="L1" sqref="L1"/>
    </sheetView>
  </sheetViews>
  <sheetFormatPr defaultColWidth="9.140625" defaultRowHeight="15" x14ac:dyDescent="0.25"/>
  <cols>
    <col min="1" max="1" width="64.85546875" style="232" bestFit="1" customWidth="1"/>
    <col min="2" max="2" width="9.140625" style="232"/>
    <col min="3" max="3" width="11.7109375" style="232" bestFit="1" customWidth="1"/>
    <col min="4" max="4" width="9.140625" style="186"/>
    <col min="5" max="5" width="11.5703125" style="186" bestFit="1" customWidth="1"/>
    <col min="6" max="6" width="9.140625" style="186"/>
    <col min="7" max="7" width="11.7109375" style="186" bestFit="1" customWidth="1"/>
    <col min="8" max="8" width="9.140625" style="186"/>
    <col min="9" max="9" width="11.5703125" style="186" bestFit="1" customWidth="1"/>
    <col min="10" max="10" width="9.28515625" style="186" customWidth="1"/>
    <col min="11" max="11" width="9.5703125" style="186" bestFit="1" customWidth="1"/>
    <col min="12" max="12" width="10" style="186" bestFit="1" customWidth="1"/>
    <col min="13" max="16384" width="9.140625" style="186"/>
  </cols>
  <sheetData>
    <row r="1" spans="1:12" s="183" customFormat="1" x14ac:dyDescent="0.25">
      <c r="E1" s="184"/>
      <c r="L1" s="185"/>
    </row>
    <row r="2" spans="1:12" s="183" customFormat="1" x14ac:dyDescent="0.25">
      <c r="E2" s="184"/>
      <c r="L2" s="185"/>
    </row>
    <row r="3" spans="1:12" s="183" customFormat="1" x14ac:dyDescent="0.25">
      <c r="E3" s="184"/>
      <c r="L3" s="185"/>
    </row>
    <row r="4" spans="1:12" s="183" customFormat="1" x14ac:dyDescent="0.25">
      <c r="E4" s="184"/>
      <c r="L4" s="185"/>
    </row>
    <row r="5" spans="1:12" s="183" customFormat="1" x14ac:dyDescent="0.25">
      <c r="E5" s="184"/>
      <c r="L5" s="242"/>
    </row>
    <row r="7" spans="1:12" x14ac:dyDescent="0.25">
      <c r="A7" s="229" t="s">
        <v>97</v>
      </c>
      <c r="B7" s="230"/>
      <c r="C7" s="231"/>
    </row>
    <row r="8" spans="1:12" hidden="1" x14ac:dyDescent="0.25">
      <c r="A8" s="233"/>
      <c r="B8" s="234"/>
      <c r="C8" s="235"/>
    </row>
    <row r="9" spans="1:12" x14ac:dyDescent="0.25">
      <c r="A9" s="233" t="s">
        <v>66</v>
      </c>
      <c r="B9" s="234"/>
      <c r="C9" s="240">
        <f>'2019 Bill Impact'!C9</f>
        <v>285</v>
      </c>
    </row>
    <row r="10" spans="1:12" x14ac:dyDescent="0.25">
      <c r="A10" s="237" t="s">
        <v>65</v>
      </c>
      <c r="B10" s="238"/>
      <c r="C10" s="241">
        <f>'2019 Bill Impact'!C10</f>
        <v>1.0430999999999999</v>
      </c>
    </row>
    <row r="12" spans="1:12" x14ac:dyDescent="0.25">
      <c r="A12" s="187"/>
      <c r="B12" s="188"/>
      <c r="C12" s="258" t="s">
        <v>69</v>
      </c>
      <c r="D12" s="259"/>
      <c r="E12" s="260"/>
      <c r="F12" s="187"/>
      <c r="G12" s="258" t="s">
        <v>70</v>
      </c>
      <c r="H12" s="259"/>
      <c r="I12" s="260"/>
      <c r="J12" s="187"/>
      <c r="K12" s="258" t="s">
        <v>39</v>
      </c>
      <c r="L12" s="260"/>
    </row>
    <row r="13" spans="1:12" ht="15" customHeight="1" x14ac:dyDescent="0.25">
      <c r="A13" s="187"/>
      <c r="B13" s="189"/>
      <c r="C13" s="190" t="s">
        <v>108</v>
      </c>
      <c r="D13" s="190" t="s">
        <v>35</v>
      </c>
      <c r="E13" s="191" t="s">
        <v>109</v>
      </c>
      <c r="F13" s="187"/>
      <c r="G13" s="190" t="s">
        <v>108</v>
      </c>
      <c r="H13" s="190" t="s">
        <v>35</v>
      </c>
      <c r="I13" s="191" t="s">
        <v>109</v>
      </c>
      <c r="J13" s="187"/>
      <c r="K13" s="192" t="s">
        <v>40</v>
      </c>
      <c r="L13" s="193" t="s">
        <v>41</v>
      </c>
    </row>
    <row r="14" spans="1:12" x14ac:dyDescent="0.25">
      <c r="A14" s="194" t="s">
        <v>36</v>
      </c>
      <c r="B14" s="195" t="s">
        <v>61</v>
      </c>
      <c r="C14" s="67">
        <f>'2019 Bill Impact'!G14</f>
        <v>26.57</v>
      </c>
      <c r="D14" s="109">
        <v>1</v>
      </c>
      <c r="E14" s="67">
        <f>C14*D14</f>
        <v>26.57</v>
      </c>
      <c r="F14" s="75"/>
      <c r="G14" s="67">
        <f>App.2PA_Res_Rate_Design_20!D43</f>
        <v>29.98</v>
      </c>
      <c r="H14" s="109">
        <v>1</v>
      </c>
      <c r="I14" s="67">
        <f>G14*H14</f>
        <v>29.98</v>
      </c>
      <c r="J14" s="75"/>
      <c r="K14" s="67">
        <f>I14-E14</f>
        <v>3.41</v>
      </c>
      <c r="L14" s="96">
        <f t="shared" ref="L14:L36" si="0">IF(I14-E14=0, " 0.00%", I14/E14-1)</f>
        <v>0.12834023334587874</v>
      </c>
    </row>
    <row r="15" spans="1:12" x14ac:dyDescent="0.25">
      <c r="A15" s="196" t="s">
        <v>60</v>
      </c>
      <c r="B15" s="197" t="s">
        <v>61</v>
      </c>
      <c r="C15" s="67">
        <f>'2019 Bill Impact'!G15</f>
        <v>-0.26569999999999999</v>
      </c>
      <c r="D15" s="109">
        <v>1</v>
      </c>
      <c r="E15" s="67">
        <f t="shared" ref="E15:E32" si="1">C15*D15</f>
        <v>-0.26569999999999999</v>
      </c>
      <c r="F15" s="75"/>
      <c r="G15" s="67">
        <f>-G14*0.01</f>
        <v>-0.29980000000000001</v>
      </c>
      <c r="H15" s="109">
        <v>1</v>
      </c>
      <c r="I15" s="67">
        <f t="shared" ref="I15:I19" si="2">G15*H15</f>
        <v>-0.29980000000000001</v>
      </c>
      <c r="J15" s="86"/>
      <c r="K15" s="67">
        <f t="shared" ref="K15:K33" si="3">I15-E15</f>
        <v>-3.4100000000000019E-2</v>
      </c>
      <c r="L15" s="96">
        <f t="shared" si="0"/>
        <v>0.12834023334587896</v>
      </c>
    </row>
    <row r="16" spans="1:12" x14ac:dyDescent="0.25">
      <c r="A16" s="196" t="s">
        <v>63</v>
      </c>
      <c r="B16" s="197" t="s">
        <v>61</v>
      </c>
      <c r="C16" s="67">
        <f>'2019 Bill Impact'!G16</f>
        <v>0.64</v>
      </c>
      <c r="D16" s="109">
        <v>1</v>
      </c>
      <c r="E16" s="67">
        <f t="shared" si="1"/>
        <v>0.64</v>
      </c>
      <c r="F16" s="75"/>
      <c r="G16" s="67">
        <v>0.64</v>
      </c>
      <c r="H16" s="109">
        <v>1</v>
      </c>
      <c r="I16" s="67">
        <f t="shared" si="2"/>
        <v>0.64</v>
      </c>
      <c r="J16" s="86"/>
      <c r="K16" s="67">
        <f t="shared" si="3"/>
        <v>0</v>
      </c>
      <c r="L16" s="96" t="str">
        <f t="shared" si="0"/>
        <v xml:space="preserve"> 0.00%</v>
      </c>
    </row>
    <row r="17" spans="1:12" x14ac:dyDescent="0.25">
      <c r="A17" s="196" t="s">
        <v>42</v>
      </c>
      <c r="B17" s="197" t="s">
        <v>62</v>
      </c>
      <c r="C17" s="70">
        <f>'2019 Bill Impact'!G17</f>
        <v>4.4000000000000003E-3</v>
      </c>
      <c r="D17" s="76">
        <f>$C$9</f>
        <v>285</v>
      </c>
      <c r="E17" s="67">
        <f t="shared" si="1"/>
        <v>1.254</v>
      </c>
      <c r="F17" s="75"/>
      <c r="G17" s="70">
        <f>App.2PA_Res_Rate_Design_20!D44</f>
        <v>0</v>
      </c>
      <c r="H17" s="76">
        <f>$C$9</f>
        <v>285</v>
      </c>
      <c r="I17" s="67">
        <f t="shared" si="2"/>
        <v>0</v>
      </c>
      <c r="J17" s="86"/>
      <c r="K17" s="67">
        <f t="shared" si="3"/>
        <v>-1.254</v>
      </c>
      <c r="L17" s="96">
        <f t="shared" si="0"/>
        <v>-1</v>
      </c>
    </row>
    <row r="18" spans="1:12" x14ac:dyDescent="0.25">
      <c r="A18" s="196" t="s">
        <v>60</v>
      </c>
      <c r="B18" s="197" t="s">
        <v>62</v>
      </c>
      <c r="C18" s="70">
        <f>'2019 Bill Impact'!G18</f>
        <v>-4.0000000000000003E-5</v>
      </c>
      <c r="D18" s="76">
        <f t="shared" ref="D18:D19" si="4">$C$9</f>
        <v>285</v>
      </c>
      <c r="E18" s="67">
        <f t="shared" si="1"/>
        <v>-1.14E-2</v>
      </c>
      <c r="F18" s="75"/>
      <c r="G18" s="70">
        <f>ROUND(-G17*0.01,5)</f>
        <v>0</v>
      </c>
      <c r="H18" s="76">
        <f t="shared" ref="H18:H19" si="5">$C$9</f>
        <v>285</v>
      </c>
      <c r="I18" s="67">
        <f t="shared" si="2"/>
        <v>0</v>
      </c>
      <c r="J18" s="86"/>
      <c r="K18" s="67">
        <f t="shared" si="3"/>
        <v>1.14E-2</v>
      </c>
      <c r="L18" s="96">
        <f t="shared" si="0"/>
        <v>-1</v>
      </c>
    </row>
    <row r="19" spans="1:12" x14ac:dyDescent="0.25">
      <c r="A19" s="198" t="s">
        <v>64</v>
      </c>
      <c r="B19" s="197" t="s">
        <v>62</v>
      </c>
      <c r="C19" s="70">
        <f>'2019 Bill Impact'!G19</f>
        <v>8.0000000000000004E-4</v>
      </c>
      <c r="D19" s="76">
        <f t="shared" si="4"/>
        <v>285</v>
      </c>
      <c r="E19" s="67">
        <f t="shared" si="1"/>
        <v>0.22800000000000001</v>
      </c>
      <c r="F19" s="75"/>
      <c r="G19" s="70">
        <v>8.0000000000000004E-4</v>
      </c>
      <c r="H19" s="76">
        <f t="shared" si="5"/>
        <v>285</v>
      </c>
      <c r="I19" s="67">
        <f t="shared" si="2"/>
        <v>0.22800000000000001</v>
      </c>
      <c r="J19" s="86"/>
      <c r="K19" s="67">
        <f t="shared" si="3"/>
        <v>0</v>
      </c>
      <c r="L19" s="96" t="str">
        <f t="shared" si="0"/>
        <v xml:space="preserve"> 0.00%</v>
      </c>
    </row>
    <row r="20" spans="1:12" x14ac:dyDescent="0.25">
      <c r="A20" s="199" t="s">
        <v>43</v>
      </c>
      <c r="B20" s="200"/>
      <c r="C20" s="64"/>
      <c r="D20" s="80"/>
      <c r="E20" s="63">
        <f>SUM(E14:E19)</f>
        <v>28.414900000000006</v>
      </c>
      <c r="F20" s="77"/>
      <c r="G20" s="64"/>
      <c r="H20" s="80"/>
      <c r="I20" s="63">
        <f>SUM(I14:I19)</f>
        <v>30.548200000000001</v>
      </c>
      <c r="J20" s="65"/>
      <c r="K20" s="141">
        <f t="shared" si="3"/>
        <v>2.1332999999999949</v>
      </c>
      <c r="L20" s="97">
        <f t="shared" si="0"/>
        <v>7.5076808294239905E-2</v>
      </c>
    </row>
    <row r="21" spans="1:12" x14ac:dyDescent="0.25">
      <c r="A21" s="201" t="s">
        <v>44</v>
      </c>
      <c r="B21" s="197" t="s">
        <v>62</v>
      </c>
      <c r="C21" s="87">
        <f>'2019 Bill Impact'!G21</f>
        <v>0.10214000000000001</v>
      </c>
      <c r="D21" s="78">
        <f>($C$9*$C$10)-$C$9</f>
        <v>12.283500000000004</v>
      </c>
      <c r="E21" s="89">
        <f t="shared" si="1"/>
        <v>1.2546366900000006</v>
      </c>
      <c r="F21" s="77"/>
      <c r="G21" s="87">
        <f>G31*0.64+G32*0.18+G33*0.18</f>
        <v>0.10214000000000001</v>
      </c>
      <c r="H21" s="78">
        <f>($C$9*$C$10)-$C$9</f>
        <v>12.283500000000004</v>
      </c>
      <c r="I21" s="89">
        <f t="shared" ref="I21" si="6">G21*H21</f>
        <v>1.2546366900000006</v>
      </c>
      <c r="J21" s="65"/>
      <c r="K21" s="67">
        <f t="shared" si="3"/>
        <v>0</v>
      </c>
      <c r="L21" s="96" t="str">
        <f t="shared" si="0"/>
        <v xml:space="preserve"> 0.00%</v>
      </c>
    </row>
    <row r="22" spans="1:12" ht="12.75" hidden="1" customHeight="1" x14ac:dyDescent="0.25">
      <c r="A22" s="201" t="s">
        <v>45</v>
      </c>
      <c r="B22" s="197" t="s">
        <v>62</v>
      </c>
      <c r="C22" s="108">
        <f>'2019 Bill Impact'!G22</f>
        <v>0</v>
      </c>
      <c r="D22" s="78">
        <v>0</v>
      </c>
      <c r="E22" s="89">
        <v>0</v>
      </c>
      <c r="F22" s="77"/>
      <c r="G22" s="108">
        <v>0</v>
      </c>
      <c r="H22" s="78">
        <v>0</v>
      </c>
      <c r="I22" s="89">
        <v>0</v>
      </c>
      <c r="J22" s="65"/>
      <c r="K22" s="67">
        <f t="shared" si="3"/>
        <v>0</v>
      </c>
      <c r="L22" s="96" t="str">
        <f t="shared" si="0"/>
        <v xml:space="preserve"> 0.00%</v>
      </c>
    </row>
    <row r="23" spans="1:12" x14ac:dyDescent="0.25">
      <c r="A23" s="196" t="s">
        <v>46</v>
      </c>
      <c r="B23" s="197" t="s">
        <v>61</v>
      </c>
      <c r="C23" s="107">
        <f>'2019 Bill Impact'!G23</f>
        <v>0</v>
      </c>
      <c r="D23" s="78">
        <v>1</v>
      </c>
      <c r="E23" s="89">
        <f t="shared" si="1"/>
        <v>0</v>
      </c>
      <c r="F23" s="77"/>
      <c r="G23" s="107">
        <v>0</v>
      </c>
      <c r="H23" s="78">
        <v>1</v>
      </c>
      <c r="I23" s="89">
        <f t="shared" ref="I23" si="7">G23*H23</f>
        <v>0</v>
      </c>
      <c r="J23" s="65"/>
      <c r="K23" s="67">
        <f t="shared" si="3"/>
        <v>0</v>
      </c>
      <c r="L23" s="96" t="str">
        <f t="shared" si="0"/>
        <v xml:space="preserve"> 0.00%</v>
      </c>
    </row>
    <row r="24" spans="1:12" x14ac:dyDescent="0.25">
      <c r="A24" s="202" t="s">
        <v>47</v>
      </c>
      <c r="B24" s="203"/>
      <c r="C24" s="80"/>
      <c r="D24" s="80"/>
      <c r="E24" s="90">
        <f>SUM(E20:E23)</f>
        <v>29.669536690000008</v>
      </c>
      <c r="F24" s="77"/>
      <c r="G24" s="80"/>
      <c r="H24" s="80"/>
      <c r="I24" s="90">
        <f>SUM(I20:I23)</f>
        <v>31.802836690000003</v>
      </c>
      <c r="J24" s="65"/>
      <c r="K24" s="141">
        <f t="shared" si="3"/>
        <v>2.1332999999999949</v>
      </c>
      <c r="L24" s="97">
        <f t="shared" si="0"/>
        <v>7.1902032791735904E-2</v>
      </c>
    </row>
    <row r="25" spans="1:12" x14ac:dyDescent="0.25">
      <c r="A25" s="204" t="s">
        <v>48</v>
      </c>
      <c r="B25" s="197" t="s">
        <v>62</v>
      </c>
      <c r="C25" s="87">
        <f>'2019 Bill Impact'!G25</f>
        <v>7.4999999999999997E-3</v>
      </c>
      <c r="D25" s="81">
        <f>$C$9*$C$10</f>
        <v>297.2835</v>
      </c>
      <c r="E25" s="89">
        <f t="shared" si="1"/>
        <v>2.2296262499999999</v>
      </c>
      <c r="F25" s="77"/>
      <c r="G25" s="87">
        <v>7.4999999999999997E-3</v>
      </c>
      <c r="H25" s="81">
        <f>$C$9*$C$10</f>
        <v>297.2835</v>
      </c>
      <c r="I25" s="89">
        <f t="shared" ref="I25:I26" si="8">G25*H25</f>
        <v>2.2296262499999999</v>
      </c>
      <c r="J25" s="65"/>
      <c r="K25" s="95">
        <f t="shared" si="3"/>
        <v>0</v>
      </c>
      <c r="L25" s="96" t="str">
        <f t="shared" si="0"/>
        <v xml:space="preserve"> 0.00%</v>
      </c>
    </row>
    <row r="26" spans="1:12" x14ac:dyDescent="0.25">
      <c r="A26" s="205" t="s">
        <v>49</v>
      </c>
      <c r="B26" s="197" t="s">
        <v>62</v>
      </c>
      <c r="C26" s="87">
        <f>'2019 Bill Impact'!G26</f>
        <v>5.4000000000000003E-3</v>
      </c>
      <c r="D26" s="81">
        <f>$C$9*$C$10</f>
        <v>297.2835</v>
      </c>
      <c r="E26" s="89">
        <f t="shared" si="1"/>
        <v>1.6053309</v>
      </c>
      <c r="F26" s="77"/>
      <c r="G26" s="87">
        <v>5.4000000000000003E-3</v>
      </c>
      <c r="H26" s="81">
        <f>$C$9*$C$10</f>
        <v>297.2835</v>
      </c>
      <c r="I26" s="89">
        <f t="shared" si="8"/>
        <v>1.6053309</v>
      </c>
      <c r="J26" s="65"/>
      <c r="K26" s="95">
        <f t="shared" si="3"/>
        <v>0</v>
      </c>
      <c r="L26" s="96" t="str">
        <f t="shared" si="0"/>
        <v xml:space="preserve"> 0.00%</v>
      </c>
    </row>
    <row r="27" spans="1:12" x14ac:dyDescent="0.25">
      <c r="A27" s="202" t="s">
        <v>50</v>
      </c>
      <c r="B27" s="200"/>
      <c r="C27" s="80"/>
      <c r="D27" s="80"/>
      <c r="E27" s="90">
        <f>SUM(E24:E26)</f>
        <v>33.504493840000009</v>
      </c>
      <c r="F27" s="82"/>
      <c r="G27" s="80"/>
      <c r="H27" s="80"/>
      <c r="I27" s="90">
        <f>SUM(I24:I26)</f>
        <v>35.637793840000001</v>
      </c>
      <c r="J27" s="66"/>
      <c r="K27" s="141">
        <f t="shared" si="3"/>
        <v>2.1332999999999913</v>
      </c>
      <c r="L27" s="97">
        <f t="shared" si="0"/>
        <v>6.3672055760266577E-2</v>
      </c>
    </row>
    <row r="28" spans="1:12" x14ac:dyDescent="0.25">
      <c r="A28" s="206" t="s">
        <v>51</v>
      </c>
      <c r="B28" s="197" t="s">
        <v>62</v>
      </c>
      <c r="C28" s="88">
        <f>'2019 Bill Impact'!G28</f>
        <v>4.4000000000000003E-3</v>
      </c>
      <c r="D28" s="81">
        <f>$C$9*$C$10</f>
        <v>297.2835</v>
      </c>
      <c r="E28" s="67">
        <f t="shared" si="1"/>
        <v>1.3080474000000002</v>
      </c>
      <c r="F28" s="79"/>
      <c r="G28" s="88">
        <v>4.4000000000000003E-3</v>
      </c>
      <c r="H28" s="81">
        <f>$C$9*$C$10</f>
        <v>297.2835</v>
      </c>
      <c r="I28" s="67">
        <f t="shared" ref="I28:I32" si="9">G28*H28</f>
        <v>1.3080474000000002</v>
      </c>
      <c r="J28" s="65"/>
      <c r="K28" s="95">
        <f t="shared" si="3"/>
        <v>0</v>
      </c>
      <c r="L28" s="96" t="str">
        <f t="shared" si="0"/>
        <v xml:space="preserve"> 0.00%</v>
      </c>
    </row>
    <row r="29" spans="1:12" x14ac:dyDescent="0.25">
      <c r="A29" s="206" t="s">
        <v>52</v>
      </c>
      <c r="B29" s="197" t="s">
        <v>62</v>
      </c>
      <c r="C29" s="88">
        <f>'2019 Bill Impact'!G29</f>
        <v>1.2999999999999999E-3</v>
      </c>
      <c r="D29" s="81">
        <f>$C$9*$C$10</f>
        <v>297.2835</v>
      </c>
      <c r="E29" s="67">
        <f t="shared" si="1"/>
        <v>0.38646854999999997</v>
      </c>
      <c r="F29" s="79"/>
      <c r="G29" s="88">
        <v>1.2999999999999999E-3</v>
      </c>
      <c r="H29" s="81">
        <f>$C$9*$C$10</f>
        <v>297.2835</v>
      </c>
      <c r="I29" s="67">
        <f t="shared" si="9"/>
        <v>0.38646854999999997</v>
      </c>
      <c r="J29" s="65"/>
      <c r="K29" s="95">
        <f t="shared" si="3"/>
        <v>0</v>
      </c>
      <c r="L29" s="96" t="str">
        <f t="shared" si="0"/>
        <v xml:space="preserve"> 0.00%</v>
      </c>
    </row>
    <row r="30" spans="1:12" x14ac:dyDescent="0.25">
      <c r="A30" s="196" t="s">
        <v>53</v>
      </c>
      <c r="B30" s="197" t="s">
        <v>61</v>
      </c>
      <c r="C30" s="69">
        <f>'2019 Bill Impact'!G30</f>
        <v>0.25</v>
      </c>
      <c r="D30" s="81">
        <v>1</v>
      </c>
      <c r="E30" s="67">
        <f t="shared" si="1"/>
        <v>0.25</v>
      </c>
      <c r="F30" s="79"/>
      <c r="G30" s="69">
        <v>0.25</v>
      </c>
      <c r="H30" s="81">
        <v>1</v>
      </c>
      <c r="I30" s="67">
        <f t="shared" si="9"/>
        <v>0.25</v>
      </c>
      <c r="J30" s="79"/>
      <c r="K30" s="95">
        <f t="shared" si="3"/>
        <v>0</v>
      </c>
      <c r="L30" s="96" t="str">
        <f t="shared" si="0"/>
        <v xml:space="preserve"> 0.00%</v>
      </c>
    </row>
    <row r="31" spans="1:12" x14ac:dyDescent="0.25">
      <c r="A31" s="196" t="s">
        <v>54</v>
      </c>
      <c r="B31" s="197" t="s">
        <v>62</v>
      </c>
      <c r="C31" s="83">
        <f>'2019 Bill Impact'!G31</f>
        <v>0.08</v>
      </c>
      <c r="D31" s="81">
        <f>$C$9*0.64</f>
        <v>182.4</v>
      </c>
      <c r="E31" s="67">
        <f t="shared" si="1"/>
        <v>14.592000000000001</v>
      </c>
      <c r="F31" s="79"/>
      <c r="G31" s="83">
        <v>0.08</v>
      </c>
      <c r="H31" s="81">
        <f>$C$9*0.64</f>
        <v>182.4</v>
      </c>
      <c r="I31" s="67">
        <f t="shared" si="9"/>
        <v>14.592000000000001</v>
      </c>
      <c r="J31" s="79"/>
      <c r="K31" s="95">
        <f t="shared" si="3"/>
        <v>0</v>
      </c>
      <c r="L31" s="96" t="str">
        <f t="shared" si="0"/>
        <v xml:space="preserve"> 0.00%</v>
      </c>
    </row>
    <row r="32" spans="1:12" x14ac:dyDescent="0.25">
      <c r="A32" s="196" t="s">
        <v>55</v>
      </c>
      <c r="B32" s="197" t="s">
        <v>62</v>
      </c>
      <c r="C32" s="83">
        <f>'2019 Bill Impact'!G32</f>
        <v>0.122</v>
      </c>
      <c r="D32" s="81">
        <f>$C$9*0.18</f>
        <v>51.3</v>
      </c>
      <c r="E32" s="67">
        <f t="shared" si="1"/>
        <v>6.2585999999999995</v>
      </c>
      <c r="F32" s="79"/>
      <c r="G32" s="83">
        <v>0.122</v>
      </c>
      <c r="H32" s="81">
        <f>$C$9*0.18</f>
        <v>51.3</v>
      </c>
      <c r="I32" s="67">
        <f t="shared" si="9"/>
        <v>6.2585999999999995</v>
      </c>
      <c r="J32" s="79"/>
      <c r="K32" s="95">
        <f t="shared" si="3"/>
        <v>0</v>
      </c>
      <c r="L32" s="96" t="str">
        <f t="shared" si="0"/>
        <v xml:space="preserve"> 0.00%</v>
      </c>
    </row>
    <row r="33" spans="1:12" ht="15.75" thickBot="1" x14ac:dyDescent="0.3">
      <c r="A33" s="207" t="s">
        <v>56</v>
      </c>
      <c r="B33" s="208" t="s">
        <v>62</v>
      </c>
      <c r="C33" s="83">
        <f>'2019 Bill Impact'!G33</f>
        <v>0.161</v>
      </c>
      <c r="D33" s="81">
        <f>$C$9*0.18</f>
        <v>51.3</v>
      </c>
      <c r="E33" s="67">
        <f>C33*D33</f>
        <v>8.2592999999999996</v>
      </c>
      <c r="F33" s="79"/>
      <c r="G33" s="83">
        <v>0.161</v>
      </c>
      <c r="H33" s="81">
        <f>$C$9*0.18</f>
        <v>51.3</v>
      </c>
      <c r="I33" s="67">
        <f>G33*H33</f>
        <v>8.2592999999999996</v>
      </c>
      <c r="J33" s="79"/>
      <c r="K33" s="95">
        <f t="shared" si="3"/>
        <v>0</v>
      </c>
      <c r="L33" s="96" t="str">
        <f t="shared" si="0"/>
        <v xml:space="preserve"> 0.00%</v>
      </c>
    </row>
    <row r="34" spans="1:12" ht="9" customHeight="1" thickBot="1" x14ac:dyDescent="0.3">
      <c r="A34" s="209"/>
      <c r="B34" s="210"/>
      <c r="C34" s="137"/>
      <c r="D34" s="84"/>
      <c r="E34" s="91"/>
      <c r="F34" s="84"/>
      <c r="G34" s="137"/>
      <c r="H34" s="84"/>
      <c r="I34" s="137"/>
      <c r="J34" s="84"/>
      <c r="K34" s="138"/>
      <c r="L34" s="98"/>
    </row>
    <row r="35" spans="1:12" x14ac:dyDescent="0.25">
      <c r="A35" s="211" t="s">
        <v>57</v>
      </c>
      <c r="B35" s="212"/>
      <c r="C35" s="102"/>
      <c r="D35" s="103"/>
      <c r="E35" s="92">
        <f>SUM(E27:E33)</f>
        <v>64.558909790000001</v>
      </c>
      <c r="F35" s="104"/>
      <c r="G35" s="105"/>
      <c r="H35" s="105"/>
      <c r="I35" s="139">
        <f>SUM(I27:I33)</f>
        <v>66.692209789999993</v>
      </c>
      <c r="J35" s="85"/>
      <c r="K35" s="140">
        <f t="shared" ref="K35:K39" si="10">I35-E35</f>
        <v>2.1332999999999913</v>
      </c>
      <c r="L35" s="68">
        <f t="shared" si="0"/>
        <v>3.3044238307915696E-2</v>
      </c>
    </row>
    <row r="36" spans="1:12" x14ac:dyDescent="0.25">
      <c r="A36" s="213" t="s">
        <v>58</v>
      </c>
      <c r="B36" s="214"/>
      <c r="C36" s="102">
        <v>0.13</v>
      </c>
      <c r="D36" s="106"/>
      <c r="E36" s="93">
        <f>E35*C36</f>
        <v>8.3926582727000003</v>
      </c>
      <c r="F36" s="74"/>
      <c r="G36" s="102">
        <v>0.13</v>
      </c>
      <c r="H36" s="74"/>
      <c r="I36" s="100">
        <f>I35*G36</f>
        <v>8.6699872726999985</v>
      </c>
      <c r="J36" s="86"/>
      <c r="K36" s="67">
        <f t="shared" si="10"/>
        <v>0.27732899999999816</v>
      </c>
      <c r="L36" s="96">
        <f t="shared" si="0"/>
        <v>3.3044238307915696E-2</v>
      </c>
    </row>
    <row r="37" spans="1:12" hidden="1" x14ac:dyDescent="0.25">
      <c r="A37" s="215" t="s">
        <v>117</v>
      </c>
      <c r="B37" s="214"/>
      <c r="C37" s="74"/>
      <c r="D37" s="106"/>
      <c r="E37" s="93">
        <f>E35+E36</f>
        <v>72.951568062700005</v>
      </c>
      <c r="F37" s="74"/>
      <c r="G37" s="74"/>
      <c r="H37" s="74"/>
      <c r="I37" s="100">
        <f>I35+I36</f>
        <v>75.362197062699991</v>
      </c>
      <c r="J37" s="86"/>
      <c r="K37" s="67">
        <f t="shared" si="10"/>
        <v>2.4106289999999859</v>
      </c>
      <c r="L37" s="96">
        <f t="shared" ref="L37" si="11">I37/E37-1</f>
        <v>3.3044238307915696E-2</v>
      </c>
    </row>
    <row r="38" spans="1:12" hidden="1" x14ac:dyDescent="0.25">
      <c r="A38" s="216"/>
      <c r="B38" s="214"/>
      <c r="C38" s="74"/>
      <c r="D38" s="106"/>
      <c r="E38" s="94">
        <v>0</v>
      </c>
      <c r="F38" s="74"/>
      <c r="G38" s="74"/>
      <c r="H38" s="74"/>
      <c r="I38" s="101">
        <v>0</v>
      </c>
      <c r="J38" s="86"/>
      <c r="K38" s="67">
        <f t="shared" si="10"/>
        <v>0</v>
      </c>
      <c r="L38" s="101">
        <v>0</v>
      </c>
    </row>
    <row r="39" spans="1:12" ht="15.75" thickBot="1" x14ac:dyDescent="0.3">
      <c r="A39" s="217" t="s">
        <v>96</v>
      </c>
      <c r="B39" s="218"/>
      <c r="C39" s="142"/>
      <c r="D39" s="143"/>
      <c r="E39" s="144">
        <f>E37+E38</f>
        <v>72.951568062700005</v>
      </c>
      <c r="F39" s="145"/>
      <c r="G39" s="145"/>
      <c r="H39" s="145"/>
      <c r="I39" s="149">
        <f>I37+I38</f>
        <v>75.362197062699991</v>
      </c>
      <c r="J39" s="146"/>
      <c r="K39" s="147">
        <f t="shared" si="10"/>
        <v>2.4106289999999859</v>
      </c>
      <c r="L39" s="148">
        <f t="shared" ref="L39" si="12">IF(I39-E39=0, " 0.00%", I39/E39-1)</f>
        <v>3.3044238307915696E-2</v>
      </c>
    </row>
    <row r="40" spans="1:12" ht="9" customHeight="1" thickBot="1" x14ac:dyDescent="0.3">
      <c r="A40" s="209"/>
      <c r="B40" s="210"/>
      <c r="C40" s="137"/>
      <c r="D40" s="84"/>
      <c r="E40" s="91"/>
      <c r="F40" s="84"/>
      <c r="G40" s="137"/>
      <c r="H40" s="84"/>
      <c r="I40" s="137"/>
      <c r="J40" s="84"/>
      <c r="K40" s="138"/>
      <c r="L40" s="98"/>
    </row>
    <row r="43" spans="1:12" x14ac:dyDescent="0.25">
      <c r="A43" s="229" t="s">
        <v>97</v>
      </c>
      <c r="B43" s="230"/>
      <c r="C43" s="231"/>
    </row>
    <row r="44" spans="1:12" hidden="1" x14ac:dyDescent="0.25">
      <c r="A44" s="233"/>
      <c r="B44" s="234"/>
      <c r="C44" s="235"/>
    </row>
    <row r="45" spans="1:12" x14ac:dyDescent="0.25">
      <c r="A45" s="233" t="s">
        <v>66</v>
      </c>
      <c r="B45" s="234"/>
      <c r="C45" s="240">
        <f>'2019 Bill Impact'!C45</f>
        <v>800</v>
      </c>
    </row>
    <row r="46" spans="1:12" x14ac:dyDescent="0.25">
      <c r="A46" s="237" t="s">
        <v>65</v>
      </c>
      <c r="B46" s="238"/>
      <c r="C46" s="241">
        <f>'2019 Bill Impact'!C46</f>
        <v>1.0430999999999999</v>
      </c>
    </row>
    <row r="48" spans="1:12" x14ac:dyDescent="0.25">
      <c r="A48" s="187"/>
      <c r="B48" s="188"/>
      <c r="C48" s="258" t="s">
        <v>69</v>
      </c>
      <c r="D48" s="259"/>
      <c r="E48" s="260"/>
      <c r="F48" s="187"/>
      <c r="G48" s="258" t="s">
        <v>70</v>
      </c>
      <c r="H48" s="259"/>
      <c r="I48" s="260"/>
      <c r="J48" s="187"/>
      <c r="K48" s="258" t="s">
        <v>39</v>
      </c>
      <c r="L48" s="260"/>
    </row>
    <row r="49" spans="1:12" ht="15" customHeight="1" x14ac:dyDescent="0.25">
      <c r="A49" s="187"/>
      <c r="B49" s="189"/>
      <c r="C49" s="190" t="s">
        <v>108</v>
      </c>
      <c r="D49" s="190" t="s">
        <v>35</v>
      </c>
      <c r="E49" s="191" t="s">
        <v>109</v>
      </c>
      <c r="F49" s="187"/>
      <c r="G49" s="190" t="s">
        <v>108</v>
      </c>
      <c r="H49" s="190" t="s">
        <v>35</v>
      </c>
      <c r="I49" s="191" t="s">
        <v>109</v>
      </c>
      <c r="J49" s="187"/>
      <c r="K49" s="192" t="s">
        <v>40</v>
      </c>
      <c r="L49" s="193" t="s">
        <v>41</v>
      </c>
    </row>
    <row r="50" spans="1:12" x14ac:dyDescent="0.25">
      <c r="A50" s="194" t="s">
        <v>36</v>
      </c>
      <c r="B50" s="195" t="s">
        <v>61</v>
      </c>
      <c r="C50" s="67">
        <f>C14</f>
        <v>26.57</v>
      </c>
      <c r="D50" s="109">
        <v>1</v>
      </c>
      <c r="E50" s="67">
        <f>C50*D50</f>
        <v>26.57</v>
      </c>
      <c r="F50" s="75"/>
      <c r="G50" s="67">
        <f t="shared" ref="G50:G55" si="13">G14</f>
        <v>29.98</v>
      </c>
      <c r="H50" s="109">
        <v>1</v>
      </c>
      <c r="I50" s="67">
        <f>G50*H50</f>
        <v>29.98</v>
      </c>
      <c r="J50" s="75"/>
      <c r="K50" s="67">
        <f>I50-E50</f>
        <v>3.41</v>
      </c>
      <c r="L50" s="96">
        <f t="shared" ref="L50:L72" si="14">IF(I50-E50=0, " 0.00%", I50/E50-1)</f>
        <v>0.12834023334587874</v>
      </c>
    </row>
    <row r="51" spans="1:12" x14ac:dyDescent="0.25">
      <c r="A51" s="196" t="s">
        <v>60</v>
      </c>
      <c r="B51" s="197" t="s">
        <v>61</v>
      </c>
      <c r="C51" s="67">
        <f t="shared" ref="C51:C69" si="15">C15</f>
        <v>-0.26569999999999999</v>
      </c>
      <c r="D51" s="109">
        <v>1</v>
      </c>
      <c r="E51" s="67">
        <f t="shared" ref="E51:E55" si="16">C51*D51</f>
        <v>-0.26569999999999999</v>
      </c>
      <c r="F51" s="75"/>
      <c r="G51" s="67">
        <f t="shared" si="13"/>
        <v>-0.29980000000000001</v>
      </c>
      <c r="H51" s="109">
        <v>1</v>
      </c>
      <c r="I51" s="67">
        <f t="shared" ref="I51:I55" si="17">G51*H51</f>
        <v>-0.29980000000000001</v>
      </c>
      <c r="J51" s="86"/>
      <c r="K51" s="67">
        <f t="shared" ref="K51:K69" si="18">I51-E51</f>
        <v>-3.4100000000000019E-2</v>
      </c>
      <c r="L51" s="96">
        <f t="shared" si="14"/>
        <v>0.12834023334587896</v>
      </c>
    </row>
    <row r="52" spans="1:12" x14ac:dyDescent="0.25">
      <c r="A52" s="196" t="s">
        <v>63</v>
      </c>
      <c r="B52" s="197" t="s">
        <v>61</v>
      </c>
      <c r="C52" s="67">
        <f t="shared" si="15"/>
        <v>0.64</v>
      </c>
      <c r="D52" s="109">
        <v>1</v>
      </c>
      <c r="E52" s="67">
        <f t="shared" si="16"/>
        <v>0.64</v>
      </c>
      <c r="F52" s="75"/>
      <c r="G52" s="67">
        <f t="shared" si="13"/>
        <v>0.64</v>
      </c>
      <c r="H52" s="109">
        <v>1</v>
      </c>
      <c r="I52" s="67">
        <f t="shared" si="17"/>
        <v>0.64</v>
      </c>
      <c r="J52" s="86"/>
      <c r="K52" s="67">
        <f t="shared" si="18"/>
        <v>0</v>
      </c>
      <c r="L52" s="96" t="str">
        <f t="shared" si="14"/>
        <v xml:space="preserve"> 0.00%</v>
      </c>
    </row>
    <row r="53" spans="1:12" x14ac:dyDescent="0.25">
      <c r="A53" s="196" t="s">
        <v>42</v>
      </c>
      <c r="B53" s="197" t="s">
        <v>62</v>
      </c>
      <c r="C53" s="70">
        <f t="shared" si="15"/>
        <v>4.4000000000000003E-3</v>
      </c>
      <c r="D53" s="76">
        <f>$C$45</f>
        <v>800</v>
      </c>
      <c r="E53" s="67">
        <f t="shared" si="16"/>
        <v>3.52</v>
      </c>
      <c r="F53" s="75"/>
      <c r="G53" s="70">
        <f t="shared" si="13"/>
        <v>0</v>
      </c>
      <c r="H53" s="76">
        <f>$C$45</f>
        <v>800</v>
      </c>
      <c r="I53" s="67">
        <f t="shared" si="17"/>
        <v>0</v>
      </c>
      <c r="J53" s="86"/>
      <c r="K53" s="67">
        <f t="shared" si="18"/>
        <v>-3.52</v>
      </c>
      <c r="L53" s="96">
        <f t="shared" si="14"/>
        <v>-1</v>
      </c>
    </row>
    <row r="54" spans="1:12" x14ac:dyDescent="0.25">
      <c r="A54" s="196" t="s">
        <v>60</v>
      </c>
      <c r="B54" s="197" t="s">
        <v>62</v>
      </c>
      <c r="C54" s="70">
        <f t="shared" si="15"/>
        <v>-4.0000000000000003E-5</v>
      </c>
      <c r="D54" s="76">
        <f t="shared" ref="D54:D55" si="19">$C$45</f>
        <v>800</v>
      </c>
      <c r="E54" s="67">
        <f t="shared" si="16"/>
        <v>-3.2000000000000001E-2</v>
      </c>
      <c r="F54" s="75"/>
      <c r="G54" s="70">
        <f t="shared" si="13"/>
        <v>0</v>
      </c>
      <c r="H54" s="76">
        <f t="shared" ref="H54:H55" si="20">$C$45</f>
        <v>800</v>
      </c>
      <c r="I54" s="67">
        <f t="shared" si="17"/>
        <v>0</v>
      </c>
      <c r="J54" s="86"/>
      <c r="K54" s="67">
        <f t="shared" si="18"/>
        <v>3.2000000000000001E-2</v>
      </c>
      <c r="L54" s="96">
        <f t="shared" si="14"/>
        <v>-1</v>
      </c>
    </row>
    <row r="55" spans="1:12" x14ac:dyDescent="0.25">
      <c r="A55" s="198" t="s">
        <v>64</v>
      </c>
      <c r="B55" s="197" t="s">
        <v>62</v>
      </c>
      <c r="C55" s="70">
        <f t="shared" si="15"/>
        <v>8.0000000000000004E-4</v>
      </c>
      <c r="D55" s="76">
        <f t="shared" si="19"/>
        <v>800</v>
      </c>
      <c r="E55" s="67">
        <f t="shared" si="16"/>
        <v>0.64</v>
      </c>
      <c r="F55" s="75"/>
      <c r="G55" s="70">
        <f t="shared" si="13"/>
        <v>8.0000000000000004E-4</v>
      </c>
      <c r="H55" s="76">
        <f t="shared" si="20"/>
        <v>800</v>
      </c>
      <c r="I55" s="67">
        <f t="shared" si="17"/>
        <v>0.64</v>
      </c>
      <c r="J55" s="86"/>
      <c r="K55" s="67">
        <f t="shared" si="18"/>
        <v>0</v>
      </c>
      <c r="L55" s="96" t="str">
        <f t="shared" si="14"/>
        <v xml:space="preserve"> 0.00%</v>
      </c>
    </row>
    <row r="56" spans="1:12" x14ac:dyDescent="0.25">
      <c r="A56" s="199" t="s">
        <v>43</v>
      </c>
      <c r="B56" s="200"/>
      <c r="C56" s="64"/>
      <c r="D56" s="80"/>
      <c r="E56" s="63">
        <f>SUM(E50:E55)</f>
        <v>31.072300000000002</v>
      </c>
      <c r="F56" s="77"/>
      <c r="G56" s="64"/>
      <c r="H56" s="80"/>
      <c r="I56" s="63">
        <f>SUM(I50:I55)</f>
        <v>30.9602</v>
      </c>
      <c r="J56" s="65"/>
      <c r="K56" s="141">
        <f t="shared" si="18"/>
        <v>-0.11210000000000164</v>
      </c>
      <c r="L56" s="97">
        <f t="shared" si="14"/>
        <v>-3.6077149100646189E-3</v>
      </c>
    </row>
    <row r="57" spans="1:12" x14ac:dyDescent="0.25">
      <c r="A57" s="201" t="s">
        <v>44</v>
      </c>
      <c r="B57" s="197" t="s">
        <v>62</v>
      </c>
      <c r="C57" s="87">
        <f t="shared" si="15"/>
        <v>0.10214000000000001</v>
      </c>
      <c r="D57" s="78">
        <f>($C$45*$C$46)-$C$45</f>
        <v>34.479999999999905</v>
      </c>
      <c r="E57" s="89">
        <f t="shared" ref="E57" si="21">C57*D57</f>
        <v>3.5217871999999906</v>
      </c>
      <c r="F57" s="77"/>
      <c r="G57" s="87">
        <f>G21</f>
        <v>0.10214000000000001</v>
      </c>
      <c r="H57" s="78">
        <f>($C$45*$C$46)-$C$45</f>
        <v>34.479999999999905</v>
      </c>
      <c r="I57" s="89">
        <f t="shared" ref="I57" si="22">G57*H57</f>
        <v>3.5217871999999906</v>
      </c>
      <c r="J57" s="65"/>
      <c r="K57" s="67">
        <f t="shared" si="18"/>
        <v>0</v>
      </c>
      <c r="L57" s="96" t="str">
        <f t="shared" si="14"/>
        <v xml:space="preserve"> 0.00%</v>
      </c>
    </row>
    <row r="58" spans="1:12" hidden="1" x14ac:dyDescent="0.25">
      <c r="A58" s="201" t="s">
        <v>45</v>
      </c>
      <c r="B58" s="197" t="s">
        <v>62</v>
      </c>
      <c r="C58" s="108">
        <f t="shared" si="15"/>
        <v>0</v>
      </c>
      <c r="D58" s="78">
        <v>0</v>
      </c>
      <c r="E58" s="89">
        <v>0</v>
      </c>
      <c r="F58" s="77"/>
      <c r="G58" s="108">
        <f>G22</f>
        <v>0</v>
      </c>
      <c r="H58" s="78">
        <v>0</v>
      </c>
      <c r="I58" s="89">
        <v>0</v>
      </c>
      <c r="J58" s="65"/>
      <c r="K58" s="67">
        <f t="shared" si="18"/>
        <v>0</v>
      </c>
      <c r="L58" s="96" t="str">
        <f t="shared" si="14"/>
        <v xml:space="preserve"> 0.00%</v>
      </c>
    </row>
    <row r="59" spans="1:12" x14ac:dyDescent="0.25">
      <c r="A59" s="196" t="s">
        <v>46</v>
      </c>
      <c r="B59" s="197" t="s">
        <v>61</v>
      </c>
      <c r="C59" s="107">
        <f t="shared" si="15"/>
        <v>0</v>
      </c>
      <c r="D59" s="78">
        <v>1</v>
      </c>
      <c r="E59" s="89">
        <f t="shared" ref="E59" si="23">C59*D59</f>
        <v>0</v>
      </c>
      <c r="F59" s="77"/>
      <c r="G59" s="70">
        <f t="shared" ref="G59" si="24">G23</f>
        <v>0</v>
      </c>
      <c r="H59" s="78">
        <v>1</v>
      </c>
      <c r="I59" s="89">
        <f t="shared" ref="I59" si="25">G59*H59</f>
        <v>0</v>
      </c>
      <c r="J59" s="65"/>
      <c r="K59" s="67">
        <f t="shared" si="18"/>
        <v>0</v>
      </c>
      <c r="L59" s="96" t="str">
        <f t="shared" si="14"/>
        <v xml:space="preserve"> 0.00%</v>
      </c>
    </row>
    <row r="60" spans="1:12" x14ac:dyDescent="0.25">
      <c r="A60" s="202" t="s">
        <v>47</v>
      </c>
      <c r="B60" s="203"/>
      <c r="C60" s="80"/>
      <c r="D60" s="80"/>
      <c r="E60" s="90">
        <f>SUM(E56:E59)</f>
        <v>34.59408719999999</v>
      </c>
      <c r="F60" s="77"/>
      <c r="G60" s="80"/>
      <c r="H60" s="80"/>
      <c r="I60" s="90">
        <f>SUM(I56:I59)</f>
        <v>34.481987199999992</v>
      </c>
      <c r="J60" s="65"/>
      <c r="K60" s="141">
        <f t="shared" si="18"/>
        <v>-0.11209999999999809</v>
      </c>
      <c r="L60" s="97">
        <f t="shared" si="14"/>
        <v>-3.2404381521012882E-3</v>
      </c>
    </row>
    <row r="61" spans="1:12" x14ac:dyDescent="0.25">
      <c r="A61" s="204" t="s">
        <v>48</v>
      </c>
      <c r="B61" s="197" t="s">
        <v>62</v>
      </c>
      <c r="C61" s="87">
        <f t="shared" si="15"/>
        <v>7.4999999999999997E-3</v>
      </c>
      <c r="D61" s="81">
        <f>$C$45*$C$46</f>
        <v>834.4799999999999</v>
      </c>
      <c r="E61" s="89">
        <f t="shared" ref="E61:E62" si="26">C61*D61</f>
        <v>6.2585999999999986</v>
      </c>
      <c r="F61" s="77"/>
      <c r="G61" s="87">
        <f>G25</f>
        <v>7.4999999999999997E-3</v>
      </c>
      <c r="H61" s="81">
        <f>$C$45*$C$46</f>
        <v>834.4799999999999</v>
      </c>
      <c r="I61" s="89">
        <f t="shared" ref="I61:I62" si="27">G61*H61</f>
        <v>6.2585999999999986</v>
      </c>
      <c r="J61" s="65"/>
      <c r="K61" s="95">
        <f t="shared" si="18"/>
        <v>0</v>
      </c>
      <c r="L61" s="96" t="str">
        <f t="shared" si="14"/>
        <v xml:space="preserve"> 0.00%</v>
      </c>
    </row>
    <row r="62" spans="1:12" x14ac:dyDescent="0.25">
      <c r="A62" s="205" t="s">
        <v>49</v>
      </c>
      <c r="B62" s="197" t="s">
        <v>62</v>
      </c>
      <c r="C62" s="87">
        <f t="shared" si="15"/>
        <v>5.4000000000000003E-3</v>
      </c>
      <c r="D62" s="81">
        <f>$C$45*$C$46</f>
        <v>834.4799999999999</v>
      </c>
      <c r="E62" s="89">
        <f t="shared" si="26"/>
        <v>4.5061919999999995</v>
      </c>
      <c r="F62" s="77"/>
      <c r="G62" s="87">
        <f>G26</f>
        <v>5.4000000000000003E-3</v>
      </c>
      <c r="H62" s="81">
        <f>$C$45*$C$46</f>
        <v>834.4799999999999</v>
      </c>
      <c r="I62" s="89">
        <f t="shared" si="27"/>
        <v>4.5061919999999995</v>
      </c>
      <c r="J62" s="65"/>
      <c r="K62" s="95">
        <f t="shared" si="18"/>
        <v>0</v>
      </c>
      <c r="L62" s="96" t="str">
        <f t="shared" si="14"/>
        <v xml:space="preserve"> 0.00%</v>
      </c>
    </row>
    <row r="63" spans="1:12" x14ac:dyDescent="0.25">
      <c r="A63" s="202" t="s">
        <v>50</v>
      </c>
      <c r="B63" s="200"/>
      <c r="C63" s="80"/>
      <c r="D63" s="80"/>
      <c r="E63" s="90">
        <f>SUM(E60:E62)</f>
        <v>45.35887919999999</v>
      </c>
      <c r="F63" s="82"/>
      <c r="G63" s="80"/>
      <c r="H63" s="80"/>
      <c r="I63" s="90">
        <f>SUM(I60:I62)</f>
        <v>45.246779199999992</v>
      </c>
      <c r="J63" s="66"/>
      <c r="K63" s="141">
        <f t="shared" si="18"/>
        <v>-0.11209999999999809</v>
      </c>
      <c r="L63" s="97">
        <f t="shared" si="14"/>
        <v>-2.4714014538524953E-3</v>
      </c>
    </row>
    <row r="64" spans="1:12" x14ac:dyDescent="0.25">
      <c r="A64" s="206" t="s">
        <v>51</v>
      </c>
      <c r="B64" s="197" t="s">
        <v>62</v>
      </c>
      <c r="C64" s="88">
        <f t="shared" si="15"/>
        <v>4.4000000000000003E-3</v>
      </c>
      <c r="D64" s="81">
        <f t="shared" ref="D64:D65" si="28">$C$45*$C$46</f>
        <v>834.4799999999999</v>
      </c>
      <c r="E64" s="67">
        <f t="shared" ref="E64:E68" si="29">C64*D64</f>
        <v>3.6717119999999999</v>
      </c>
      <c r="F64" s="79"/>
      <c r="G64" s="88">
        <f t="shared" ref="G64:G69" si="30">G28</f>
        <v>4.4000000000000003E-3</v>
      </c>
      <c r="H64" s="81">
        <f t="shared" ref="H64:H65" si="31">$C$45*$C$46</f>
        <v>834.4799999999999</v>
      </c>
      <c r="I64" s="67">
        <f t="shared" ref="I64:I68" si="32">G64*H64</f>
        <v>3.6717119999999999</v>
      </c>
      <c r="J64" s="65"/>
      <c r="K64" s="95">
        <f t="shared" si="18"/>
        <v>0</v>
      </c>
      <c r="L64" s="96" t="str">
        <f t="shared" si="14"/>
        <v xml:space="preserve"> 0.00%</v>
      </c>
    </row>
    <row r="65" spans="1:12" x14ac:dyDescent="0.25">
      <c r="A65" s="206" t="s">
        <v>52</v>
      </c>
      <c r="B65" s="197" t="s">
        <v>62</v>
      </c>
      <c r="C65" s="88">
        <f t="shared" si="15"/>
        <v>1.2999999999999999E-3</v>
      </c>
      <c r="D65" s="81">
        <f t="shared" si="28"/>
        <v>834.4799999999999</v>
      </c>
      <c r="E65" s="67">
        <f t="shared" si="29"/>
        <v>1.0848239999999998</v>
      </c>
      <c r="F65" s="79"/>
      <c r="G65" s="88">
        <f t="shared" si="30"/>
        <v>1.2999999999999999E-3</v>
      </c>
      <c r="H65" s="81">
        <f t="shared" si="31"/>
        <v>834.4799999999999</v>
      </c>
      <c r="I65" s="67">
        <f t="shared" si="32"/>
        <v>1.0848239999999998</v>
      </c>
      <c r="J65" s="65"/>
      <c r="K65" s="95">
        <f t="shared" si="18"/>
        <v>0</v>
      </c>
      <c r="L65" s="96" t="str">
        <f t="shared" si="14"/>
        <v xml:space="preserve"> 0.00%</v>
      </c>
    </row>
    <row r="66" spans="1:12" x14ac:dyDescent="0.25">
      <c r="A66" s="196" t="s">
        <v>53</v>
      </c>
      <c r="B66" s="197" t="s">
        <v>61</v>
      </c>
      <c r="C66" s="69">
        <f t="shared" si="15"/>
        <v>0.25</v>
      </c>
      <c r="D66" s="81">
        <v>1</v>
      </c>
      <c r="E66" s="67">
        <f t="shared" si="29"/>
        <v>0.25</v>
      </c>
      <c r="F66" s="79"/>
      <c r="G66" s="69">
        <f t="shared" si="30"/>
        <v>0.25</v>
      </c>
      <c r="H66" s="81">
        <v>1</v>
      </c>
      <c r="I66" s="67">
        <f t="shared" si="32"/>
        <v>0.25</v>
      </c>
      <c r="J66" s="79"/>
      <c r="K66" s="95">
        <f t="shared" si="18"/>
        <v>0</v>
      </c>
      <c r="L66" s="96" t="str">
        <f t="shared" si="14"/>
        <v xml:space="preserve"> 0.00%</v>
      </c>
    </row>
    <row r="67" spans="1:12" x14ac:dyDescent="0.25">
      <c r="A67" s="196" t="s">
        <v>54</v>
      </c>
      <c r="B67" s="197" t="s">
        <v>62</v>
      </c>
      <c r="C67" s="83">
        <f t="shared" si="15"/>
        <v>0.08</v>
      </c>
      <c r="D67" s="81">
        <f>$C$45*0.64</f>
        <v>512</v>
      </c>
      <c r="E67" s="67">
        <f t="shared" si="29"/>
        <v>40.96</v>
      </c>
      <c r="F67" s="79"/>
      <c r="G67" s="83">
        <f t="shared" si="30"/>
        <v>0.08</v>
      </c>
      <c r="H67" s="81">
        <f>$C$45*0.64</f>
        <v>512</v>
      </c>
      <c r="I67" s="67">
        <f t="shared" si="32"/>
        <v>40.96</v>
      </c>
      <c r="J67" s="79"/>
      <c r="K67" s="95">
        <f t="shared" si="18"/>
        <v>0</v>
      </c>
      <c r="L67" s="96" t="str">
        <f t="shared" si="14"/>
        <v xml:space="preserve"> 0.00%</v>
      </c>
    </row>
    <row r="68" spans="1:12" x14ac:dyDescent="0.25">
      <c r="A68" s="196" t="s">
        <v>55</v>
      </c>
      <c r="B68" s="197" t="s">
        <v>62</v>
      </c>
      <c r="C68" s="83">
        <f t="shared" si="15"/>
        <v>0.122</v>
      </c>
      <c r="D68" s="81">
        <f>$C$45*0.18</f>
        <v>144</v>
      </c>
      <c r="E68" s="67">
        <f t="shared" si="29"/>
        <v>17.567999999999998</v>
      </c>
      <c r="F68" s="79"/>
      <c r="G68" s="83">
        <f t="shared" si="30"/>
        <v>0.122</v>
      </c>
      <c r="H68" s="81">
        <f>$C$45*0.18</f>
        <v>144</v>
      </c>
      <c r="I68" s="67">
        <f t="shared" si="32"/>
        <v>17.567999999999998</v>
      </c>
      <c r="J68" s="79"/>
      <c r="K68" s="95">
        <f t="shared" si="18"/>
        <v>0</v>
      </c>
      <c r="L68" s="96" t="str">
        <f t="shared" si="14"/>
        <v xml:space="preserve"> 0.00%</v>
      </c>
    </row>
    <row r="69" spans="1:12" ht="15.75" thickBot="1" x14ac:dyDescent="0.3">
      <c r="A69" s="207" t="s">
        <v>56</v>
      </c>
      <c r="B69" s="208" t="s">
        <v>62</v>
      </c>
      <c r="C69" s="83">
        <f t="shared" si="15"/>
        <v>0.161</v>
      </c>
      <c r="D69" s="81">
        <f>$C$45*0.18</f>
        <v>144</v>
      </c>
      <c r="E69" s="67">
        <f>C69*D69</f>
        <v>23.184000000000001</v>
      </c>
      <c r="F69" s="79"/>
      <c r="G69" s="83">
        <f t="shared" si="30"/>
        <v>0.161</v>
      </c>
      <c r="H69" s="81">
        <f>$C$45*0.18</f>
        <v>144</v>
      </c>
      <c r="I69" s="67">
        <f>G69*H69</f>
        <v>23.184000000000001</v>
      </c>
      <c r="J69" s="79"/>
      <c r="K69" s="95">
        <f t="shared" si="18"/>
        <v>0</v>
      </c>
      <c r="L69" s="96" t="str">
        <f t="shared" si="14"/>
        <v xml:space="preserve"> 0.00%</v>
      </c>
    </row>
    <row r="70" spans="1:12" ht="9" customHeight="1" thickBot="1" x14ac:dyDescent="0.3">
      <c r="A70" s="209"/>
      <c r="B70" s="210"/>
      <c r="C70" s="137"/>
      <c r="D70" s="84"/>
      <c r="E70" s="91"/>
      <c r="F70" s="84"/>
      <c r="G70" s="137"/>
      <c r="H70" s="84"/>
      <c r="I70" s="137"/>
      <c r="J70" s="84"/>
      <c r="K70" s="138"/>
      <c r="L70" s="98"/>
    </row>
    <row r="71" spans="1:12" x14ac:dyDescent="0.25">
      <c r="A71" s="211" t="s">
        <v>57</v>
      </c>
      <c r="B71" s="212"/>
      <c r="C71" s="102"/>
      <c r="D71" s="103"/>
      <c r="E71" s="92">
        <f>SUM(E63:E69)</f>
        <v>132.07741519999999</v>
      </c>
      <c r="F71" s="104"/>
      <c r="G71" s="105"/>
      <c r="H71" s="103"/>
      <c r="I71" s="139">
        <f>SUM(I63:I69)</f>
        <v>131.96531519999999</v>
      </c>
      <c r="J71" s="85"/>
      <c r="K71" s="140">
        <f t="shared" ref="K71:K75" si="33">I71-E71</f>
        <v>-0.11209999999999809</v>
      </c>
      <c r="L71" s="68">
        <f t="shared" si="14"/>
        <v>-8.487446535068166E-4</v>
      </c>
    </row>
    <row r="72" spans="1:12" x14ac:dyDescent="0.25">
      <c r="A72" s="213" t="s">
        <v>58</v>
      </c>
      <c r="B72" s="214"/>
      <c r="C72" s="102">
        <v>0.13</v>
      </c>
      <c r="D72" s="106"/>
      <c r="E72" s="93">
        <f>E71*C72</f>
        <v>17.170063975999998</v>
      </c>
      <c r="F72" s="74"/>
      <c r="G72" s="102">
        <v>0.13</v>
      </c>
      <c r="H72" s="106"/>
      <c r="I72" s="100">
        <f>I71*G72</f>
        <v>17.155490975999999</v>
      </c>
      <c r="J72" s="86"/>
      <c r="K72" s="67">
        <f t="shared" si="33"/>
        <v>-1.4572999999998615E-2</v>
      </c>
      <c r="L72" s="96">
        <f t="shared" si="14"/>
        <v>-8.4874465350670558E-4</v>
      </c>
    </row>
    <row r="73" spans="1:12" hidden="1" x14ac:dyDescent="0.25">
      <c r="A73" s="215" t="s">
        <v>117</v>
      </c>
      <c r="B73" s="214"/>
      <c r="C73" s="74"/>
      <c r="D73" s="106"/>
      <c r="E73" s="93">
        <f>E71+E72</f>
        <v>149.24747917599998</v>
      </c>
      <c r="F73" s="74"/>
      <c r="G73" s="74"/>
      <c r="H73" s="106"/>
      <c r="I73" s="100">
        <f>I71+I72</f>
        <v>149.120806176</v>
      </c>
      <c r="J73" s="86"/>
      <c r="K73" s="67">
        <f t="shared" si="33"/>
        <v>-0.12667299999998249</v>
      </c>
      <c r="L73" s="96">
        <f t="shared" ref="L73" si="34">I73/E73-1</f>
        <v>-8.4874465350670558E-4</v>
      </c>
    </row>
    <row r="74" spans="1:12" hidden="1" x14ac:dyDescent="0.25">
      <c r="A74" s="216"/>
      <c r="B74" s="214"/>
      <c r="C74" s="74"/>
      <c r="D74" s="106"/>
      <c r="E74" s="94">
        <v>0</v>
      </c>
      <c r="F74" s="74"/>
      <c r="G74" s="74"/>
      <c r="H74" s="106"/>
      <c r="I74" s="101">
        <v>0</v>
      </c>
      <c r="J74" s="86"/>
      <c r="K74" s="67">
        <f t="shared" si="33"/>
        <v>0</v>
      </c>
      <c r="L74" s="101">
        <v>0</v>
      </c>
    </row>
    <row r="75" spans="1:12" ht="15.75" thickBot="1" x14ac:dyDescent="0.3">
      <c r="A75" s="217" t="s">
        <v>96</v>
      </c>
      <c r="B75" s="218"/>
      <c r="C75" s="142"/>
      <c r="D75" s="143"/>
      <c r="E75" s="144">
        <f>E73+E74</f>
        <v>149.24747917599998</v>
      </c>
      <c r="F75" s="145"/>
      <c r="G75" s="145"/>
      <c r="H75" s="143"/>
      <c r="I75" s="149">
        <f>I73+I74</f>
        <v>149.120806176</v>
      </c>
      <c r="J75" s="146"/>
      <c r="K75" s="147">
        <f t="shared" si="33"/>
        <v>-0.12667299999998249</v>
      </c>
      <c r="L75" s="148">
        <f t="shared" ref="L75" si="35">IF(I75-E75=0, " 0.00%", I75/E75-1)</f>
        <v>-8.4874465350670558E-4</v>
      </c>
    </row>
    <row r="76" spans="1:12" ht="9" customHeight="1" thickBot="1" x14ac:dyDescent="0.3">
      <c r="A76" s="209"/>
      <c r="B76" s="210"/>
      <c r="C76" s="137"/>
      <c r="D76" s="84"/>
      <c r="E76" s="91"/>
      <c r="F76" s="84"/>
      <c r="G76" s="137"/>
      <c r="H76" s="84"/>
      <c r="I76" s="137"/>
      <c r="J76" s="84"/>
      <c r="K76" s="138"/>
      <c r="L76" s="98"/>
    </row>
    <row r="79" spans="1:12" x14ac:dyDescent="0.25">
      <c r="A79" s="229" t="s">
        <v>97</v>
      </c>
      <c r="B79" s="230"/>
      <c r="C79" s="231"/>
    </row>
    <row r="80" spans="1:12" hidden="1" x14ac:dyDescent="0.25">
      <c r="A80" s="233"/>
      <c r="B80" s="234"/>
      <c r="C80" s="235"/>
    </row>
    <row r="81" spans="1:12" x14ac:dyDescent="0.25">
      <c r="A81" s="233" t="s">
        <v>66</v>
      </c>
      <c r="B81" s="234"/>
      <c r="C81" s="240">
        <f>'2019 Bill Impact'!C81</f>
        <v>1500</v>
      </c>
    </row>
    <row r="82" spans="1:12" x14ac:dyDescent="0.25">
      <c r="A82" s="237" t="s">
        <v>65</v>
      </c>
      <c r="B82" s="238"/>
      <c r="C82" s="241">
        <f>'2019 Bill Impact'!C82</f>
        <v>1.0430999999999999</v>
      </c>
    </row>
    <row r="84" spans="1:12" x14ac:dyDescent="0.25">
      <c r="A84" s="187"/>
      <c r="B84" s="188"/>
      <c r="C84" s="258" t="s">
        <v>69</v>
      </c>
      <c r="D84" s="259"/>
      <c r="E84" s="260"/>
      <c r="F84" s="187"/>
      <c r="G84" s="258" t="s">
        <v>70</v>
      </c>
      <c r="H84" s="259"/>
      <c r="I84" s="260"/>
      <c r="J84" s="187"/>
      <c r="K84" s="258" t="s">
        <v>39</v>
      </c>
      <c r="L84" s="260"/>
    </row>
    <row r="85" spans="1:12" ht="15" customHeight="1" x14ac:dyDescent="0.25">
      <c r="A85" s="187"/>
      <c r="B85" s="189"/>
      <c r="C85" s="190" t="s">
        <v>108</v>
      </c>
      <c r="D85" s="190" t="s">
        <v>35</v>
      </c>
      <c r="E85" s="191" t="s">
        <v>109</v>
      </c>
      <c r="F85" s="187"/>
      <c r="G85" s="190" t="s">
        <v>108</v>
      </c>
      <c r="H85" s="190" t="s">
        <v>35</v>
      </c>
      <c r="I85" s="191" t="s">
        <v>109</v>
      </c>
      <c r="J85" s="187"/>
      <c r="K85" s="192" t="s">
        <v>40</v>
      </c>
      <c r="L85" s="193" t="s">
        <v>41</v>
      </c>
    </row>
    <row r="86" spans="1:12" x14ac:dyDescent="0.25">
      <c r="A86" s="194" t="s">
        <v>36</v>
      </c>
      <c r="B86" s="195" t="s">
        <v>61</v>
      </c>
      <c r="C86" s="67">
        <f>C50</f>
        <v>26.57</v>
      </c>
      <c r="D86" s="109">
        <v>1</v>
      </c>
      <c r="E86" s="67">
        <f>C86*D86</f>
        <v>26.57</v>
      </c>
      <c r="F86" s="75"/>
      <c r="G86" s="67">
        <f>G50</f>
        <v>29.98</v>
      </c>
      <c r="H86" s="109">
        <v>1</v>
      </c>
      <c r="I86" s="67">
        <f>G86*H86</f>
        <v>29.98</v>
      </c>
      <c r="J86" s="75"/>
      <c r="K86" s="67">
        <f>I86-E86</f>
        <v>3.41</v>
      </c>
      <c r="L86" s="96">
        <f t="shared" ref="L86:L108" si="36">IF(I86-E86=0, " 0.00%", I86/E86-1)</f>
        <v>0.12834023334587874</v>
      </c>
    </row>
    <row r="87" spans="1:12" x14ac:dyDescent="0.25">
      <c r="A87" s="196" t="s">
        <v>60</v>
      </c>
      <c r="B87" s="197" t="s">
        <v>61</v>
      </c>
      <c r="C87" s="67">
        <f t="shared" ref="C87:C105" si="37">C51</f>
        <v>-0.26569999999999999</v>
      </c>
      <c r="D87" s="109">
        <v>1</v>
      </c>
      <c r="E87" s="67">
        <f t="shared" ref="E87:E91" si="38">C87*D87</f>
        <v>-0.26569999999999999</v>
      </c>
      <c r="F87" s="75"/>
      <c r="G87" s="67">
        <f t="shared" ref="G87:G105" si="39">G51</f>
        <v>-0.29980000000000001</v>
      </c>
      <c r="H87" s="109">
        <v>1</v>
      </c>
      <c r="I87" s="67">
        <f t="shared" ref="I87:I91" si="40">G87*H87</f>
        <v>-0.29980000000000001</v>
      </c>
      <c r="J87" s="86"/>
      <c r="K87" s="67">
        <f t="shared" ref="K87:K105" si="41">I87-E87</f>
        <v>-3.4100000000000019E-2</v>
      </c>
      <c r="L87" s="96">
        <f t="shared" si="36"/>
        <v>0.12834023334587896</v>
      </c>
    </row>
    <row r="88" spans="1:12" x14ac:dyDescent="0.25">
      <c r="A88" s="196" t="s">
        <v>63</v>
      </c>
      <c r="B88" s="197" t="s">
        <v>61</v>
      </c>
      <c r="C88" s="67">
        <f t="shared" si="37"/>
        <v>0.64</v>
      </c>
      <c r="D88" s="109">
        <v>1</v>
      </c>
      <c r="E88" s="67">
        <f t="shared" si="38"/>
        <v>0.64</v>
      </c>
      <c r="F88" s="75"/>
      <c r="G88" s="67">
        <f t="shared" si="39"/>
        <v>0.64</v>
      </c>
      <c r="H88" s="109">
        <v>1</v>
      </c>
      <c r="I88" s="67">
        <f t="shared" si="40"/>
        <v>0.64</v>
      </c>
      <c r="J88" s="86"/>
      <c r="K88" s="67">
        <f t="shared" si="41"/>
        <v>0</v>
      </c>
      <c r="L88" s="96" t="str">
        <f t="shared" si="36"/>
        <v xml:space="preserve"> 0.00%</v>
      </c>
    </row>
    <row r="89" spans="1:12" x14ac:dyDescent="0.25">
      <c r="A89" s="196" t="s">
        <v>42</v>
      </c>
      <c r="B89" s="197" t="s">
        <v>62</v>
      </c>
      <c r="C89" s="70">
        <f t="shared" si="37"/>
        <v>4.4000000000000003E-3</v>
      </c>
      <c r="D89" s="76">
        <f>$C$81</f>
        <v>1500</v>
      </c>
      <c r="E89" s="67">
        <f t="shared" si="38"/>
        <v>6.6000000000000005</v>
      </c>
      <c r="F89" s="75"/>
      <c r="G89" s="70">
        <f t="shared" si="39"/>
        <v>0</v>
      </c>
      <c r="H89" s="76">
        <f>$C$81</f>
        <v>1500</v>
      </c>
      <c r="I89" s="67">
        <f t="shared" si="40"/>
        <v>0</v>
      </c>
      <c r="J89" s="86"/>
      <c r="K89" s="67">
        <f t="shared" si="41"/>
        <v>-6.6000000000000005</v>
      </c>
      <c r="L89" s="96">
        <f t="shared" si="36"/>
        <v>-1</v>
      </c>
    </row>
    <row r="90" spans="1:12" x14ac:dyDescent="0.25">
      <c r="A90" s="196" t="s">
        <v>60</v>
      </c>
      <c r="B90" s="197" t="s">
        <v>62</v>
      </c>
      <c r="C90" s="70">
        <f t="shared" si="37"/>
        <v>-4.0000000000000003E-5</v>
      </c>
      <c r="D90" s="76">
        <f>$C$81</f>
        <v>1500</v>
      </c>
      <c r="E90" s="67">
        <f t="shared" si="38"/>
        <v>-6.0000000000000005E-2</v>
      </c>
      <c r="F90" s="75"/>
      <c r="G90" s="70">
        <f t="shared" si="39"/>
        <v>0</v>
      </c>
      <c r="H90" s="76">
        <f>$C$81</f>
        <v>1500</v>
      </c>
      <c r="I90" s="67">
        <f t="shared" si="40"/>
        <v>0</v>
      </c>
      <c r="J90" s="86"/>
      <c r="K90" s="67">
        <f t="shared" si="41"/>
        <v>6.0000000000000005E-2</v>
      </c>
      <c r="L90" s="96">
        <f t="shared" si="36"/>
        <v>-1</v>
      </c>
    </row>
    <row r="91" spans="1:12" x14ac:dyDescent="0.25">
      <c r="A91" s="198" t="s">
        <v>64</v>
      </c>
      <c r="B91" s="197" t="s">
        <v>62</v>
      </c>
      <c r="C91" s="70">
        <f t="shared" si="37"/>
        <v>8.0000000000000004E-4</v>
      </c>
      <c r="D91" s="76">
        <f>$C$81</f>
        <v>1500</v>
      </c>
      <c r="E91" s="67">
        <f t="shared" si="38"/>
        <v>1.2</v>
      </c>
      <c r="F91" s="75"/>
      <c r="G91" s="70">
        <f t="shared" si="39"/>
        <v>8.0000000000000004E-4</v>
      </c>
      <c r="H91" s="76">
        <f>$C$81</f>
        <v>1500</v>
      </c>
      <c r="I91" s="67">
        <f t="shared" si="40"/>
        <v>1.2</v>
      </c>
      <c r="J91" s="86"/>
      <c r="K91" s="67">
        <f t="shared" si="41"/>
        <v>0</v>
      </c>
      <c r="L91" s="96" t="str">
        <f t="shared" si="36"/>
        <v xml:space="preserve"> 0.00%</v>
      </c>
    </row>
    <row r="92" spans="1:12" x14ac:dyDescent="0.25">
      <c r="A92" s="199" t="s">
        <v>43</v>
      </c>
      <c r="B92" s="200"/>
      <c r="C92" s="64"/>
      <c r="D92" s="80"/>
      <c r="E92" s="63">
        <f>SUM(E86:E91)</f>
        <v>34.6843</v>
      </c>
      <c r="F92" s="77"/>
      <c r="G92" s="64"/>
      <c r="H92" s="80"/>
      <c r="I92" s="63">
        <f>SUM(I86:I91)</f>
        <v>31.520199999999999</v>
      </c>
      <c r="J92" s="65"/>
      <c r="K92" s="141">
        <f t="shared" si="41"/>
        <v>-3.1641000000000012</v>
      </c>
      <c r="L92" s="97">
        <f t="shared" si="36"/>
        <v>-9.122571307479177E-2</v>
      </c>
    </row>
    <row r="93" spans="1:12" x14ac:dyDescent="0.25">
      <c r="A93" s="201" t="s">
        <v>44</v>
      </c>
      <c r="B93" s="197" t="s">
        <v>62</v>
      </c>
      <c r="C93" s="87">
        <f t="shared" si="37"/>
        <v>0.10214000000000001</v>
      </c>
      <c r="D93" s="78">
        <f>($C$81*$C$46)-$C$81</f>
        <v>64.649999999999864</v>
      </c>
      <c r="E93" s="89">
        <f t="shared" ref="E93" si="42">C93*D93</f>
        <v>6.6033509999999866</v>
      </c>
      <c r="F93" s="77"/>
      <c r="G93" s="87">
        <f t="shared" si="39"/>
        <v>0.10214000000000001</v>
      </c>
      <c r="H93" s="78">
        <f>($C$81*$C$46)-$C$81</f>
        <v>64.649999999999864</v>
      </c>
      <c r="I93" s="89">
        <f t="shared" ref="I93" si="43">G93*H93</f>
        <v>6.6033509999999866</v>
      </c>
      <c r="J93" s="65"/>
      <c r="K93" s="67">
        <f t="shared" si="41"/>
        <v>0</v>
      </c>
      <c r="L93" s="96" t="str">
        <f t="shared" si="36"/>
        <v xml:space="preserve"> 0.00%</v>
      </c>
    </row>
    <row r="94" spans="1:12" hidden="1" x14ac:dyDescent="0.25">
      <c r="A94" s="201" t="s">
        <v>45</v>
      </c>
      <c r="B94" s="197" t="s">
        <v>62</v>
      </c>
      <c r="C94" s="108">
        <f t="shared" si="37"/>
        <v>0</v>
      </c>
      <c r="D94" s="78">
        <v>0</v>
      </c>
      <c r="E94" s="89">
        <v>0</v>
      </c>
      <c r="F94" s="77"/>
      <c r="G94" s="108">
        <f t="shared" si="39"/>
        <v>0</v>
      </c>
      <c r="H94" s="78">
        <v>0</v>
      </c>
      <c r="I94" s="89">
        <v>0</v>
      </c>
      <c r="J94" s="65"/>
      <c r="K94" s="67">
        <f t="shared" si="41"/>
        <v>0</v>
      </c>
      <c r="L94" s="96" t="str">
        <f t="shared" si="36"/>
        <v xml:space="preserve"> 0.00%</v>
      </c>
    </row>
    <row r="95" spans="1:12" x14ac:dyDescent="0.25">
      <c r="A95" s="196" t="s">
        <v>46</v>
      </c>
      <c r="B95" s="197" t="s">
        <v>61</v>
      </c>
      <c r="C95" s="107">
        <f t="shared" si="37"/>
        <v>0</v>
      </c>
      <c r="D95" s="78">
        <v>1</v>
      </c>
      <c r="E95" s="89">
        <f t="shared" ref="E95" si="44">C95*D95</f>
        <v>0</v>
      </c>
      <c r="F95" s="77"/>
      <c r="G95" s="87">
        <f t="shared" si="39"/>
        <v>0</v>
      </c>
      <c r="H95" s="78">
        <v>1</v>
      </c>
      <c r="I95" s="89">
        <f t="shared" ref="I95" si="45">G95*H95</f>
        <v>0</v>
      </c>
      <c r="J95" s="65"/>
      <c r="K95" s="67">
        <f t="shared" si="41"/>
        <v>0</v>
      </c>
      <c r="L95" s="96" t="str">
        <f t="shared" si="36"/>
        <v xml:space="preserve"> 0.00%</v>
      </c>
    </row>
    <row r="96" spans="1:12" x14ac:dyDescent="0.25">
      <c r="A96" s="202" t="s">
        <v>47</v>
      </c>
      <c r="B96" s="203"/>
      <c r="C96" s="80"/>
      <c r="D96" s="80"/>
      <c r="E96" s="90">
        <f>SUM(E92:E95)</f>
        <v>41.28765099999999</v>
      </c>
      <c r="F96" s="77"/>
      <c r="G96" s="80"/>
      <c r="H96" s="80"/>
      <c r="I96" s="90">
        <f>SUM(I92:I95)</f>
        <v>38.123550999999985</v>
      </c>
      <c r="J96" s="65"/>
      <c r="K96" s="141">
        <f t="shared" si="41"/>
        <v>-3.1641000000000048</v>
      </c>
      <c r="L96" s="97">
        <f t="shared" si="36"/>
        <v>-7.6635505371812185E-2</v>
      </c>
    </row>
    <row r="97" spans="1:12" x14ac:dyDescent="0.25">
      <c r="A97" s="204" t="s">
        <v>48</v>
      </c>
      <c r="B97" s="197" t="s">
        <v>62</v>
      </c>
      <c r="C97" s="87">
        <f t="shared" si="37"/>
        <v>7.4999999999999997E-3</v>
      </c>
      <c r="D97" s="81">
        <f>$C$81*$C$46</f>
        <v>1564.6499999999999</v>
      </c>
      <c r="E97" s="89">
        <f t="shared" ref="E97:E98" si="46">C97*D97</f>
        <v>11.734874999999999</v>
      </c>
      <c r="F97" s="77"/>
      <c r="G97" s="87">
        <f t="shared" si="39"/>
        <v>7.4999999999999997E-3</v>
      </c>
      <c r="H97" s="81">
        <f>$C$81*$C$46</f>
        <v>1564.6499999999999</v>
      </c>
      <c r="I97" s="89">
        <f t="shared" ref="I97:I98" si="47">G97*H97</f>
        <v>11.734874999999999</v>
      </c>
      <c r="J97" s="65"/>
      <c r="K97" s="95">
        <f t="shared" si="41"/>
        <v>0</v>
      </c>
      <c r="L97" s="96" t="str">
        <f t="shared" si="36"/>
        <v xml:space="preserve"> 0.00%</v>
      </c>
    </row>
    <row r="98" spans="1:12" x14ac:dyDescent="0.25">
      <c r="A98" s="205" t="s">
        <v>49</v>
      </c>
      <c r="B98" s="197" t="s">
        <v>62</v>
      </c>
      <c r="C98" s="87">
        <f t="shared" si="37"/>
        <v>5.4000000000000003E-3</v>
      </c>
      <c r="D98" s="81">
        <f>$C$81*$C$46</f>
        <v>1564.6499999999999</v>
      </c>
      <c r="E98" s="89">
        <f t="shared" si="46"/>
        <v>8.4491099999999992</v>
      </c>
      <c r="F98" s="77"/>
      <c r="G98" s="87">
        <f t="shared" si="39"/>
        <v>5.4000000000000003E-3</v>
      </c>
      <c r="H98" s="81">
        <f>$C$81*$C$46</f>
        <v>1564.6499999999999</v>
      </c>
      <c r="I98" s="89">
        <f t="shared" si="47"/>
        <v>8.4491099999999992</v>
      </c>
      <c r="J98" s="65"/>
      <c r="K98" s="95">
        <f t="shared" si="41"/>
        <v>0</v>
      </c>
      <c r="L98" s="96" t="str">
        <f t="shared" si="36"/>
        <v xml:space="preserve"> 0.00%</v>
      </c>
    </row>
    <row r="99" spans="1:12" x14ac:dyDescent="0.25">
      <c r="A99" s="202" t="s">
        <v>50</v>
      </c>
      <c r="B99" s="200"/>
      <c r="C99" s="80"/>
      <c r="D99" s="80"/>
      <c r="E99" s="90">
        <f>SUM(E96:E98)</f>
        <v>61.471635999999982</v>
      </c>
      <c r="F99" s="82"/>
      <c r="G99" s="80"/>
      <c r="H99" s="80"/>
      <c r="I99" s="90">
        <f>SUM(I96:I98)</f>
        <v>58.307535999999978</v>
      </c>
      <c r="J99" s="66"/>
      <c r="K99" s="141">
        <f t="shared" si="41"/>
        <v>-3.1641000000000048</v>
      </c>
      <c r="L99" s="97">
        <f t="shared" si="36"/>
        <v>-5.1472519781318393E-2</v>
      </c>
    </row>
    <row r="100" spans="1:12" x14ac:dyDescent="0.25">
      <c r="A100" s="206" t="s">
        <v>51</v>
      </c>
      <c r="B100" s="197" t="s">
        <v>62</v>
      </c>
      <c r="C100" s="88">
        <f t="shared" si="37"/>
        <v>4.4000000000000003E-3</v>
      </c>
      <c r="D100" s="81">
        <f>$C$81*$C$46</f>
        <v>1564.6499999999999</v>
      </c>
      <c r="E100" s="67">
        <f t="shared" ref="E100:E104" si="48">C100*D100</f>
        <v>6.8844599999999998</v>
      </c>
      <c r="F100" s="79"/>
      <c r="G100" s="88">
        <f t="shared" si="39"/>
        <v>4.4000000000000003E-3</v>
      </c>
      <c r="H100" s="81">
        <f>$C$81*$C$46</f>
        <v>1564.6499999999999</v>
      </c>
      <c r="I100" s="67">
        <f t="shared" ref="I100:I104" si="49">G100*H100</f>
        <v>6.8844599999999998</v>
      </c>
      <c r="J100" s="65"/>
      <c r="K100" s="95">
        <f t="shared" si="41"/>
        <v>0</v>
      </c>
      <c r="L100" s="96" t="str">
        <f t="shared" si="36"/>
        <v xml:space="preserve"> 0.00%</v>
      </c>
    </row>
    <row r="101" spans="1:12" x14ac:dyDescent="0.25">
      <c r="A101" s="206" t="s">
        <v>52</v>
      </c>
      <c r="B101" s="197" t="s">
        <v>62</v>
      </c>
      <c r="C101" s="88">
        <f t="shared" si="37"/>
        <v>1.2999999999999999E-3</v>
      </c>
      <c r="D101" s="81">
        <f>$C$81*$C$46</f>
        <v>1564.6499999999999</v>
      </c>
      <c r="E101" s="67">
        <f t="shared" si="48"/>
        <v>2.0340449999999999</v>
      </c>
      <c r="F101" s="79"/>
      <c r="G101" s="88">
        <f t="shared" si="39"/>
        <v>1.2999999999999999E-3</v>
      </c>
      <c r="H101" s="81">
        <f>$C$81*$C$46</f>
        <v>1564.6499999999999</v>
      </c>
      <c r="I101" s="67">
        <f t="shared" si="49"/>
        <v>2.0340449999999999</v>
      </c>
      <c r="J101" s="65"/>
      <c r="K101" s="95">
        <f t="shared" si="41"/>
        <v>0</v>
      </c>
      <c r="L101" s="96" t="str">
        <f t="shared" si="36"/>
        <v xml:space="preserve"> 0.00%</v>
      </c>
    </row>
    <row r="102" spans="1:12" x14ac:dyDescent="0.25">
      <c r="A102" s="196" t="s">
        <v>53</v>
      </c>
      <c r="B102" s="197" t="s">
        <v>61</v>
      </c>
      <c r="C102" s="69">
        <f t="shared" si="37"/>
        <v>0.25</v>
      </c>
      <c r="D102" s="81">
        <v>1</v>
      </c>
      <c r="E102" s="67">
        <f t="shared" si="48"/>
        <v>0.25</v>
      </c>
      <c r="F102" s="79"/>
      <c r="G102" s="69">
        <f t="shared" si="39"/>
        <v>0.25</v>
      </c>
      <c r="H102" s="81">
        <v>1</v>
      </c>
      <c r="I102" s="67">
        <f t="shared" si="49"/>
        <v>0.25</v>
      </c>
      <c r="J102" s="79"/>
      <c r="K102" s="95">
        <f t="shared" si="41"/>
        <v>0</v>
      </c>
      <c r="L102" s="96" t="str">
        <f t="shared" si="36"/>
        <v xml:space="preserve"> 0.00%</v>
      </c>
    </row>
    <row r="103" spans="1:12" x14ac:dyDescent="0.25">
      <c r="A103" s="196" t="s">
        <v>54</v>
      </c>
      <c r="B103" s="197" t="s">
        <v>62</v>
      </c>
      <c r="C103" s="83">
        <f t="shared" si="37"/>
        <v>0.08</v>
      </c>
      <c r="D103" s="81">
        <f>$C$81*0.64</f>
        <v>960</v>
      </c>
      <c r="E103" s="67">
        <f t="shared" si="48"/>
        <v>76.8</v>
      </c>
      <c r="F103" s="79"/>
      <c r="G103" s="83">
        <f t="shared" si="39"/>
        <v>0.08</v>
      </c>
      <c r="H103" s="81">
        <f>$C$81*0.64</f>
        <v>960</v>
      </c>
      <c r="I103" s="67">
        <f t="shared" si="49"/>
        <v>76.8</v>
      </c>
      <c r="J103" s="79"/>
      <c r="K103" s="95">
        <f t="shared" si="41"/>
        <v>0</v>
      </c>
      <c r="L103" s="96" t="str">
        <f t="shared" si="36"/>
        <v xml:space="preserve"> 0.00%</v>
      </c>
    </row>
    <row r="104" spans="1:12" x14ac:dyDescent="0.25">
      <c r="A104" s="196" t="s">
        <v>55</v>
      </c>
      <c r="B104" s="197" t="s">
        <v>62</v>
      </c>
      <c r="C104" s="83">
        <f t="shared" si="37"/>
        <v>0.122</v>
      </c>
      <c r="D104" s="81">
        <f>$C$81*0.18</f>
        <v>270</v>
      </c>
      <c r="E104" s="67">
        <f t="shared" si="48"/>
        <v>32.94</v>
      </c>
      <c r="F104" s="79"/>
      <c r="G104" s="83">
        <f t="shared" si="39"/>
        <v>0.122</v>
      </c>
      <c r="H104" s="81">
        <f>$C$81*0.18</f>
        <v>270</v>
      </c>
      <c r="I104" s="67">
        <f t="shared" si="49"/>
        <v>32.94</v>
      </c>
      <c r="J104" s="79"/>
      <c r="K104" s="95">
        <f t="shared" si="41"/>
        <v>0</v>
      </c>
      <c r="L104" s="96" t="str">
        <f t="shared" si="36"/>
        <v xml:space="preserve"> 0.00%</v>
      </c>
    </row>
    <row r="105" spans="1:12" ht="15.75" thickBot="1" x14ac:dyDescent="0.3">
      <c r="A105" s="207" t="s">
        <v>56</v>
      </c>
      <c r="B105" s="208" t="s">
        <v>62</v>
      </c>
      <c r="C105" s="83">
        <f t="shared" si="37"/>
        <v>0.161</v>
      </c>
      <c r="D105" s="81">
        <f>$C$81*0.18</f>
        <v>270</v>
      </c>
      <c r="E105" s="67">
        <f>C105*D105</f>
        <v>43.47</v>
      </c>
      <c r="F105" s="79"/>
      <c r="G105" s="83">
        <f t="shared" si="39"/>
        <v>0.161</v>
      </c>
      <c r="H105" s="81">
        <f>$C$81*0.18</f>
        <v>270</v>
      </c>
      <c r="I105" s="67">
        <f>G105*H105</f>
        <v>43.47</v>
      </c>
      <c r="J105" s="79"/>
      <c r="K105" s="95">
        <f t="shared" si="41"/>
        <v>0</v>
      </c>
      <c r="L105" s="96" t="str">
        <f t="shared" si="36"/>
        <v xml:space="preserve"> 0.00%</v>
      </c>
    </row>
    <row r="106" spans="1:12" ht="9" customHeight="1" thickBot="1" x14ac:dyDescent="0.3">
      <c r="A106" s="209"/>
      <c r="B106" s="210"/>
      <c r="C106" s="137"/>
      <c r="D106" s="84"/>
      <c r="E106" s="91"/>
      <c r="F106" s="84"/>
      <c r="G106" s="137"/>
      <c r="H106" s="84"/>
      <c r="I106" s="137"/>
      <c r="J106" s="84"/>
      <c r="K106" s="138"/>
      <c r="L106" s="98"/>
    </row>
    <row r="107" spans="1:12" x14ac:dyDescent="0.25">
      <c r="A107" s="211" t="s">
        <v>57</v>
      </c>
      <c r="B107" s="212"/>
      <c r="C107" s="102"/>
      <c r="D107" s="103"/>
      <c r="E107" s="92">
        <f>SUM(E99:E105)</f>
        <v>223.85014099999998</v>
      </c>
      <c r="F107" s="104"/>
      <c r="G107" s="105"/>
      <c r="H107" s="103"/>
      <c r="I107" s="139">
        <f>SUM(I99:I105)</f>
        <v>220.68604099999996</v>
      </c>
      <c r="J107" s="85"/>
      <c r="K107" s="140">
        <f t="shared" ref="K107:K111" si="50">I107-E107</f>
        <v>-3.164100000000019</v>
      </c>
      <c r="L107" s="68">
        <f t="shared" si="36"/>
        <v>-1.413490286789687E-2</v>
      </c>
    </row>
    <row r="108" spans="1:12" x14ac:dyDescent="0.25">
      <c r="A108" s="213" t="s">
        <v>58</v>
      </c>
      <c r="B108" s="214"/>
      <c r="C108" s="102">
        <v>0.13</v>
      </c>
      <c r="D108" s="106"/>
      <c r="E108" s="93">
        <f>E107*C108</f>
        <v>29.10051833</v>
      </c>
      <c r="F108" s="74"/>
      <c r="G108" s="102">
        <v>0.13</v>
      </c>
      <c r="H108" s="106"/>
      <c r="I108" s="100">
        <f>I107*G108</f>
        <v>28.689185329999997</v>
      </c>
      <c r="J108" s="86"/>
      <c r="K108" s="67">
        <f t="shared" si="50"/>
        <v>-0.41133300000000261</v>
      </c>
      <c r="L108" s="96">
        <f t="shared" si="36"/>
        <v>-1.413490286789687E-2</v>
      </c>
    </row>
    <row r="109" spans="1:12" hidden="1" x14ac:dyDescent="0.25">
      <c r="A109" s="215" t="s">
        <v>117</v>
      </c>
      <c r="B109" s="214"/>
      <c r="C109" s="74"/>
      <c r="D109" s="106"/>
      <c r="E109" s="93">
        <f>E107+E108</f>
        <v>252.95065932999998</v>
      </c>
      <c r="F109" s="74"/>
      <c r="G109" s="74"/>
      <c r="H109" s="106"/>
      <c r="I109" s="100">
        <f>I107+I108</f>
        <v>249.37522632999995</v>
      </c>
      <c r="J109" s="86"/>
      <c r="K109" s="67">
        <f t="shared" si="50"/>
        <v>-3.5754330000000323</v>
      </c>
      <c r="L109" s="96">
        <f t="shared" ref="L109" si="51">I109/E109-1</f>
        <v>-1.413490286789687E-2</v>
      </c>
    </row>
    <row r="110" spans="1:12" hidden="1" x14ac:dyDescent="0.25">
      <c r="A110" s="216"/>
      <c r="B110" s="214"/>
      <c r="C110" s="74"/>
      <c r="D110" s="106"/>
      <c r="E110" s="94">
        <v>0</v>
      </c>
      <c r="F110" s="74"/>
      <c r="G110" s="74"/>
      <c r="H110" s="106"/>
      <c r="I110" s="101">
        <v>0</v>
      </c>
      <c r="J110" s="86"/>
      <c r="K110" s="67">
        <f t="shared" si="50"/>
        <v>0</v>
      </c>
      <c r="L110" s="101">
        <v>0</v>
      </c>
    </row>
    <row r="111" spans="1:12" ht="15.75" thickBot="1" x14ac:dyDescent="0.3">
      <c r="A111" s="217" t="s">
        <v>96</v>
      </c>
      <c r="B111" s="218"/>
      <c r="C111" s="142"/>
      <c r="D111" s="143"/>
      <c r="E111" s="144">
        <f>E109+E110</f>
        <v>252.95065932999998</v>
      </c>
      <c r="F111" s="145"/>
      <c r="G111" s="145"/>
      <c r="H111" s="143"/>
      <c r="I111" s="149">
        <f>I109+I110</f>
        <v>249.37522632999995</v>
      </c>
      <c r="J111" s="146"/>
      <c r="K111" s="147">
        <f t="shared" si="50"/>
        <v>-3.5754330000000323</v>
      </c>
      <c r="L111" s="148">
        <f t="shared" ref="L111" si="52">IF(I111-E111=0, " 0.00%", I111/E111-1)</f>
        <v>-1.413490286789687E-2</v>
      </c>
    </row>
    <row r="112" spans="1:12" ht="9" customHeight="1" thickBot="1" x14ac:dyDescent="0.3">
      <c r="A112" s="209"/>
      <c r="B112" s="210"/>
      <c r="C112" s="137"/>
      <c r="D112" s="84"/>
      <c r="E112" s="91"/>
      <c r="F112" s="84"/>
      <c r="G112" s="137"/>
      <c r="H112" s="84"/>
      <c r="I112" s="137"/>
      <c r="J112" s="84"/>
      <c r="K112" s="138"/>
      <c r="L112" s="98"/>
    </row>
  </sheetData>
  <mergeCells count="9">
    <mergeCell ref="C84:E84"/>
    <mergeCell ref="G84:I84"/>
    <mergeCell ref="K84:L84"/>
    <mergeCell ref="C12:E12"/>
    <mergeCell ref="G12:I12"/>
    <mergeCell ref="K12:L12"/>
    <mergeCell ref="C48:E48"/>
    <mergeCell ref="G48:I48"/>
    <mergeCell ref="K48:L48"/>
  </mergeCells>
  <pageMargins left="0.7" right="0.7" top="0.75" bottom="0.75" header="0.3" footer="0.3"/>
  <pageSetup scale="48" orientation="portrait" r:id="rId1"/>
  <headerFooter>
    <oddHeader>&amp;RFiled: 2016-10-18
EB-2016-0082
Draft Rate Order
Attachment 3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G19"/>
  <sheetViews>
    <sheetView showGridLines="0" tabSelected="1" view="pageLayout" zoomScaleNormal="100" workbookViewId="0">
      <selection activeCell="L1" sqref="L1"/>
    </sheetView>
  </sheetViews>
  <sheetFormatPr defaultColWidth="9.140625" defaultRowHeight="12.75" x14ac:dyDescent="0.2"/>
  <cols>
    <col min="1" max="1" width="19" style="71" bestFit="1" customWidth="1"/>
    <col min="2" max="3" width="9.140625" style="71"/>
    <col min="4" max="4" width="10.85546875" style="71" bestFit="1" customWidth="1"/>
    <col min="5" max="5" width="9.28515625" style="71" bestFit="1" customWidth="1"/>
    <col min="6" max="6" width="15" style="71" customWidth="1"/>
    <col min="7" max="7" width="11.5703125" style="71" bestFit="1" customWidth="1"/>
    <col min="8" max="16384" width="9.140625" style="71"/>
  </cols>
  <sheetData>
    <row r="1" spans="1:7" s="72" customFormat="1" x14ac:dyDescent="0.2">
      <c r="E1" s="2"/>
      <c r="G1" s="3"/>
    </row>
    <row r="2" spans="1:7" s="72" customFormat="1" x14ac:dyDescent="0.2">
      <c r="E2" s="2"/>
      <c r="G2" s="3"/>
    </row>
    <row r="3" spans="1:7" s="72" customFormat="1" x14ac:dyDescent="0.2">
      <c r="E3" s="2"/>
      <c r="G3" s="3"/>
    </row>
    <row r="4" spans="1:7" s="72" customFormat="1" x14ac:dyDescent="0.2">
      <c r="E4" s="2"/>
      <c r="G4" s="3"/>
    </row>
    <row r="5" spans="1:7" s="72" customFormat="1" x14ac:dyDescent="0.2">
      <c r="E5" s="2"/>
      <c r="G5" s="3"/>
    </row>
    <row r="9" spans="1:7" x14ac:dyDescent="0.2">
      <c r="A9" s="115" t="s">
        <v>85</v>
      </c>
      <c r="B9" s="116"/>
      <c r="C9" s="116"/>
      <c r="D9" s="116"/>
      <c r="E9" s="116"/>
      <c r="F9" s="116"/>
      <c r="G9" s="117"/>
    </row>
    <row r="10" spans="1:7" ht="38.25" x14ac:dyDescent="0.2">
      <c r="A10" s="122" t="s">
        <v>71</v>
      </c>
      <c r="B10" s="122" t="s">
        <v>72</v>
      </c>
      <c r="C10" s="122" t="s">
        <v>73</v>
      </c>
      <c r="D10" s="122" t="s">
        <v>74</v>
      </c>
      <c r="E10" s="122" t="s">
        <v>73</v>
      </c>
      <c r="F10" s="122" t="s">
        <v>75</v>
      </c>
      <c r="G10" s="122" t="s">
        <v>73</v>
      </c>
    </row>
    <row r="11" spans="1:7" x14ac:dyDescent="0.2">
      <c r="A11" s="110" t="s">
        <v>76</v>
      </c>
      <c r="B11" s="110"/>
      <c r="C11" s="110"/>
      <c r="D11" s="110"/>
      <c r="E11" s="110"/>
      <c r="F11" s="110"/>
      <c r="G11" s="110"/>
    </row>
    <row r="12" spans="1:7" x14ac:dyDescent="0.2">
      <c r="A12" s="110" t="s">
        <v>77</v>
      </c>
      <c r="B12" s="111">
        <f>'2016 Bill Impact'!C14</f>
        <v>12.98</v>
      </c>
      <c r="C12" s="111"/>
      <c r="D12" s="112">
        <f>'2016 Bill Impact'!C17</f>
        <v>2.2200000000000001E-2</v>
      </c>
      <c r="E12" s="112"/>
      <c r="F12" s="113">
        <f>'App.2-PA_Res_Rate_Design_16'!B20</f>
        <v>4959005.9754000008</v>
      </c>
      <c r="G12" s="113"/>
    </row>
    <row r="13" spans="1:7" x14ac:dyDescent="0.2">
      <c r="A13" s="110" t="s">
        <v>38</v>
      </c>
      <c r="B13" s="111"/>
      <c r="C13" s="111"/>
      <c r="D13" s="112"/>
      <c r="E13" s="112"/>
      <c r="F13" s="113"/>
      <c r="G13" s="113"/>
    </row>
    <row r="14" spans="1:7" x14ac:dyDescent="0.2">
      <c r="A14" s="110" t="s">
        <v>78</v>
      </c>
      <c r="B14" s="111">
        <f>'2016 Bill Impact'!G14</f>
        <v>16.38</v>
      </c>
      <c r="C14" s="111">
        <f>B14-B12</f>
        <v>3.3999999999999986</v>
      </c>
      <c r="D14" s="112">
        <f>'2016 Bill Impact'!G17</f>
        <v>1.78E-2</v>
      </c>
      <c r="E14" s="112">
        <f>D14-D12</f>
        <v>-4.4000000000000011E-3</v>
      </c>
      <c r="F14" s="113">
        <f>'App.2-PA_Res_Rate_Design_16'!E45</f>
        <v>4964129.5045999996</v>
      </c>
      <c r="G14" s="114">
        <f>F14-F12</f>
        <v>5123.5291999988258</v>
      </c>
    </row>
    <row r="15" spans="1:7" x14ac:dyDescent="0.2">
      <c r="A15" s="110" t="s">
        <v>79</v>
      </c>
      <c r="B15" s="111">
        <f>'2017 Bill Impact'!G14</f>
        <v>19.77</v>
      </c>
      <c r="C15" s="111">
        <f>B15-B14</f>
        <v>3.3900000000000006</v>
      </c>
      <c r="D15" s="112">
        <f>'2017 Bill Impact'!G17</f>
        <v>1.3299999999999999E-2</v>
      </c>
      <c r="E15" s="112">
        <f>D15-D14</f>
        <v>-4.5000000000000005E-3</v>
      </c>
      <c r="F15" s="113">
        <f>'App.2-PA_Res_Rate_Design_17'!E45</f>
        <v>4954932.8230999997</v>
      </c>
      <c r="G15" s="114">
        <f>F15-F14</f>
        <v>-9196.6814999999478</v>
      </c>
    </row>
    <row r="16" spans="1:7" x14ac:dyDescent="0.2">
      <c r="A16" s="110" t="s">
        <v>80</v>
      </c>
      <c r="B16" s="111">
        <f>'2018 Bill Impact'!G14</f>
        <v>23.18</v>
      </c>
      <c r="C16" s="111">
        <f>B16-B15</f>
        <v>3.41</v>
      </c>
      <c r="D16" s="112">
        <f>'2018 Bill Impact'!G17</f>
        <v>8.8999999999999999E-3</v>
      </c>
      <c r="E16" s="112">
        <f>D16-D15</f>
        <v>-4.3999999999999994E-3</v>
      </c>
      <c r="F16" s="113">
        <f>'App.2-PA_Res_Rate_Design_18'!E45</f>
        <v>4961710.5522999996</v>
      </c>
      <c r="G16" s="114">
        <f>F16-F15</f>
        <v>6777.7291999999434</v>
      </c>
    </row>
    <row r="17" spans="1:7" x14ac:dyDescent="0.2">
      <c r="A17" s="110" t="s">
        <v>81</v>
      </c>
      <c r="B17" s="111">
        <f>'2019 Bill Impact'!G14</f>
        <v>26.57</v>
      </c>
      <c r="C17" s="111">
        <f>B17-B16</f>
        <v>3.3900000000000006</v>
      </c>
      <c r="D17" s="112">
        <f>'2019 Bill Impact'!G17</f>
        <v>4.4000000000000003E-3</v>
      </c>
      <c r="E17" s="112">
        <f>D17-D16</f>
        <v>-4.4999999999999997E-3</v>
      </c>
      <c r="F17" s="113">
        <f>'App.2-PA_Res_Rate_Design_19'!E45</f>
        <v>4952513.8708000006</v>
      </c>
      <c r="G17" s="114">
        <f>F17-F16</f>
        <v>-9196.6814999990165</v>
      </c>
    </row>
    <row r="18" spans="1:7" x14ac:dyDescent="0.2">
      <c r="A18" s="110" t="s">
        <v>82</v>
      </c>
      <c r="B18" s="111">
        <f>'2020 Bill Impact'!G14</f>
        <v>29.98</v>
      </c>
      <c r="C18" s="111">
        <f>B18-B17</f>
        <v>3.41</v>
      </c>
      <c r="D18" s="112">
        <f>'2020 Bill Impact'!G17</f>
        <v>0</v>
      </c>
      <c r="E18" s="112">
        <f>D18-D17</f>
        <v>-4.4000000000000003E-3</v>
      </c>
      <c r="F18" s="113">
        <f>App.2PA_Res_Rate_Design_20!E45</f>
        <v>4959291.5999999996</v>
      </c>
      <c r="G18" s="114">
        <f>F18-F17</f>
        <v>6777.7291999990121</v>
      </c>
    </row>
    <row r="19" spans="1:7" ht="25.5" x14ac:dyDescent="0.2">
      <c r="A19" s="118" t="s">
        <v>83</v>
      </c>
      <c r="B19" s="119"/>
      <c r="C19" s="120">
        <f>AVERAGE(C14:C18)</f>
        <v>3.4</v>
      </c>
      <c r="D19" s="180">
        <f>AVERAGE(D14:D18)</f>
        <v>8.8800000000000007E-3</v>
      </c>
      <c r="E19" s="180"/>
      <c r="F19" s="118" t="s">
        <v>84</v>
      </c>
      <c r="G19" s="121">
        <f>SUM(G14:G18)</f>
        <v>285.62459999881685</v>
      </c>
    </row>
  </sheetData>
  <pageMargins left="0.7" right="0.7" top="0.75" bottom="0.75" header="0.3" footer="0.3"/>
  <pageSetup orientation="portrait" r:id="rId1"/>
  <headerFooter>
    <oddHeader>&amp;RFiled: 2016-10-18
EB-2016-0082
Draft Rate Order
Attachment 3
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59999389629810485"/>
    <pageSetUpPr fitToPage="1"/>
  </sheetPr>
  <dimension ref="A1:F61"/>
  <sheetViews>
    <sheetView showGridLines="0" tabSelected="1" view="pageLayout" zoomScaleNormal="100" workbookViewId="0">
      <selection activeCell="L1" sqref="L1"/>
    </sheetView>
  </sheetViews>
  <sheetFormatPr defaultColWidth="9.140625" defaultRowHeight="12.75" x14ac:dyDescent="0.2"/>
  <cols>
    <col min="1" max="1" width="32" style="1" customWidth="1"/>
    <col min="2" max="2" width="21.5703125" style="1" customWidth="1"/>
    <col min="3" max="4" width="21" style="1" customWidth="1"/>
    <col min="5" max="5" width="19.7109375" style="1" customWidth="1"/>
    <col min="6" max="6" width="15" style="1" customWidth="1"/>
    <col min="7" max="16384" width="9.140625" style="1"/>
  </cols>
  <sheetData>
    <row r="1" spans="1:6" x14ac:dyDescent="0.2">
      <c r="E1" s="2"/>
      <c r="F1" s="3"/>
    </row>
    <row r="2" spans="1:6" x14ac:dyDescent="0.2">
      <c r="E2" s="2"/>
      <c r="F2" s="3"/>
    </row>
    <row r="3" spans="1:6" x14ac:dyDescent="0.2">
      <c r="E3" s="2"/>
      <c r="F3" s="3"/>
    </row>
    <row r="4" spans="1:6" x14ac:dyDescent="0.2">
      <c r="E4" s="2"/>
      <c r="F4" s="3"/>
    </row>
    <row r="5" spans="1:6" x14ac:dyDescent="0.2">
      <c r="E5" s="2"/>
      <c r="F5" s="3"/>
    </row>
    <row r="6" spans="1:6" x14ac:dyDescent="0.2">
      <c r="E6" s="2"/>
      <c r="F6" s="3"/>
    </row>
    <row r="7" spans="1:6" x14ac:dyDescent="0.2">
      <c r="E7" s="178"/>
      <c r="F7" s="179"/>
    </row>
    <row r="9" spans="1:6" ht="18" x14ac:dyDescent="0.25">
      <c r="A9" s="248" t="s">
        <v>110</v>
      </c>
      <c r="B9" s="248"/>
      <c r="C9" s="248"/>
      <c r="D9" s="248"/>
      <c r="E9" s="248"/>
      <c r="F9" s="248"/>
    </row>
    <row r="10" spans="1:6" ht="18" x14ac:dyDescent="0.25">
      <c r="A10" s="248" t="s">
        <v>0</v>
      </c>
      <c r="B10" s="248"/>
      <c r="C10" s="248"/>
      <c r="D10" s="248"/>
      <c r="E10" s="248"/>
      <c r="F10" s="248"/>
    </row>
    <row r="12" spans="1:6" x14ac:dyDescent="0.2">
      <c r="A12" s="4"/>
    </row>
    <row r="14" spans="1:6" x14ac:dyDescent="0.2">
      <c r="A14" s="5" t="s">
        <v>1</v>
      </c>
      <c r="B14" s="5"/>
    </row>
    <row r="15" spans="1:6" ht="13.5" thickBot="1" x14ac:dyDescent="0.25"/>
    <row r="16" spans="1:6" ht="18" customHeight="1" x14ac:dyDescent="0.2">
      <c r="A16" s="249" t="s">
        <v>2</v>
      </c>
      <c r="B16" s="250"/>
      <c r="C16" s="4"/>
    </row>
    <row r="17" spans="1:6" ht="12.75" customHeight="1" x14ac:dyDescent="0.2">
      <c r="A17" s="6" t="s">
        <v>3</v>
      </c>
      <c r="B17" s="7">
        <v>13785</v>
      </c>
      <c r="E17" s="61"/>
      <c r="F17" s="62"/>
    </row>
    <row r="18" spans="1:6" ht="12.75" customHeight="1" thickBot="1" x14ac:dyDescent="0.25">
      <c r="A18" s="8" t="s">
        <v>4</v>
      </c>
      <c r="B18" s="9">
        <v>126660107</v>
      </c>
      <c r="E18" s="61"/>
      <c r="F18" s="62"/>
    </row>
    <row r="19" spans="1:6" ht="12.75" customHeight="1" thickBot="1" x14ac:dyDescent="0.25"/>
    <row r="20" spans="1:6" ht="33.75" customHeight="1" thickBot="1" x14ac:dyDescent="0.25">
      <c r="A20" s="10" t="s">
        <v>5</v>
      </c>
      <c r="B20" s="11">
        <f>(B17*B23*12)+B18*B24</f>
        <v>4959005.9754000008</v>
      </c>
      <c r="C20" s="243"/>
    </row>
    <row r="21" spans="1:6" ht="12.75" customHeight="1" thickBot="1" x14ac:dyDescent="0.25"/>
    <row r="22" spans="1:6" ht="15.75" customHeight="1" x14ac:dyDescent="0.2">
      <c r="A22" s="249" t="s">
        <v>6</v>
      </c>
      <c r="B22" s="250"/>
    </row>
    <row r="23" spans="1:6" ht="12.75" customHeight="1" x14ac:dyDescent="0.2">
      <c r="A23" s="6" t="s">
        <v>7</v>
      </c>
      <c r="B23" s="12">
        <v>12.98</v>
      </c>
    </row>
    <row r="24" spans="1:6" ht="12.75" customHeight="1" thickBot="1" x14ac:dyDescent="0.25">
      <c r="A24" s="8" t="s">
        <v>8</v>
      </c>
      <c r="B24" s="13">
        <v>2.2200000000000001E-2</v>
      </c>
    </row>
    <row r="25" spans="1:6" ht="12.75" customHeight="1" x14ac:dyDescent="0.2">
      <c r="B25" s="1" t="s">
        <v>34</v>
      </c>
    </row>
    <row r="26" spans="1:6" ht="12.75" customHeight="1" x14ac:dyDescent="0.2">
      <c r="A26" s="5" t="s">
        <v>9</v>
      </c>
    </row>
    <row r="27" spans="1:6" ht="12.75" customHeight="1" thickBot="1" x14ac:dyDescent="0.25"/>
    <row r="28" spans="1:6" ht="12.75" customHeight="1" x14ac:dyDescent="0.2">
      <c r="A28" s="14"/>
      <c r="B28" s="15" t="s">
        <v>10</v>
      </c>
      <c r="C28" s="16" t="s">
        <v>11</v>
      </c>
      <c r="D28" s="17" t="s">
        <v>12</v>
      </c>
      <c r="E28" s="18" t="s">
        <v>13</v>
      </c>
    </row>
    <row r="29" spans="1:6" ht="12.75" customHeight="1" x14ac:dyDescent="0.25">
      <c r="A29" s="6" t="s">
        <v>14</v>
      </c>
      <c r="B29" s="19">
        <f>IF(B23="","",B23)</f>
        <v>12.98</v>
      </c>
      <c r="C29" s="20">
        <f>IF(B17="","",B17)</f>
        <v>13785</v>
      </c>
      <c r="D29" s="21">
        <f>IF(ISERROR(B29*C29*12),"",B29*C29*12)</f>
        <v>2147151.6</v>
      </c>
      <c r="E29" s="22">
        <f>IF(ISERROR(D29/D31),"",D29/D31)</f>
        <v>0.43298024052628969</v>
      </c>
    </row>
    <row r="30" spans="1:6" ht="12.75" customHeight="1" x14ac:dyDescent="0.25">
      <c r="A30" s="6" t="s">
        <v>15</v>
      </c>
      <c r="B30" s="19">
        <f>IF(B24="","",B24)</f>
        <v>2.2200000000000001E-2</v>
      </c>
      <c r="C30" s="23">
        <f>IF(B18="","",B18)</f>
        <v>126660107</v>
      </c>
      <c r="D30" s="21">
        <f>IF(ISERROR(B30*C30),"",B30*C30)</f>
        <v>2811854.3754000003</v>
      </c>
      <c r="E30" s="22">
        <f>IF(ISERROR(D30/D31),"",D30/D31)</f>
        <v>0.56701975947371019</v>
      </c>
    </row>
    <row r="31" spans="1:6" ht="12.75" customHeight="1" thickBot="1" x14ac:dyDescent="0.3">
      <c r="A31" s="24" t="s">
        <v>16</v>
      </c>
      <c r="B31" s="25" t="s">
        <v>17</v>
      </c>
      <c r="C31" s="26" t="s">
        <v>17</v>
      </c>
      <c r="D31" s="27">
        <f>IF(ISERROR(D29+D30),"",D29+D30)</f>
        <v>4959005.9754000008</v>
      </c>
      <c r="E31" s="28" t="s">
        <v>17</v>
      </c>
    </row>
    <row r="32" spans="1:6" ht="12.75" customHeight="1" x14ac:dyDescent="0.2">
      <c r="A32" s="4"/>
    </row>
    <row r="33" spans="1:6" ht="12.75" customHeight="1" x14ac:dyDescent="0.2">
      <c r="A33" s="29" t="s">
        <v>18</v>
      </c>
    </row>
    <row r="34" spans="1:6" ht="12.75" customHeight="1" thickBot="1" x14ac:dyDescent="0.25">
      <c r="A34" s="4"/>
    </row>
    <row r="35" spans="1:6" ht="33.75" customHeight="1" thickBot="1" x14ac:dyDescent="0.25">
      <c r="A35" s="30" t="s">
        <v>19</v>
      </c>
      <c r="B35" s="31">
        <v>5</v>
      </c>
      <c r="C35" s="4"/>
    </row>
    <row r="36" spans="1:6" ht="12.75" customHeight="1" thickBot="1" x14ac:dyDescent="0.25">
      <c r="A36" s="4"/>
    </row>
    <row r="37" spans="1:6" ht="39" customHeight="1" x14ac:dyDescent="0.2">
      <c r="A37" s="32"/>
      <c r="B37" s="33" t="s">
        <v>20</v>
      </c>
      <c r="C37" s="34" t="s">
        <v>21</v>
      </c>
      <c r="D37" s="35" t="s">
        <v>22</v>
      </c>
    </row>
    <row r="38" spans="1:6" ht="12.75" customHeight="1" x14ac:dyDescent="0.25">
      <c r="A38" s="6" t="s">
        <v>14</v>
      </c>
      <c r="B38" s="21">
        <f>IF(ISERROR(B$20*E29),"",B$20*E29)</f>
        <v>2147151.6</v>
      </c>
      <c r="C38" s="36">
        <f>IF(ISERROR(ROUND(B38/B17/12,2)),"",ROUND(B38/B17/12,2))</f>
        <v>12.98</v>
      </c>
      <c r="D38" s="37">
        <f>IF(ISERROR(C38*B17*12),"",C38*B17*12)</f>
        <v>2147151.6</v>
      </c>
    </row>
    <row r="39" spans="1:6" ht="12.75" customHeight="1" x14ac:dyDescent="0.25">
      <c r="A39" s="38" t="s">
        <v>15</v>
      </c>
      <c r="B39" s="39">
        <f>IF(ISERROR(B$20*E30),"",B$20*E30)</f>
        <v>2811854.3754000003</v>
      </c>
      <c r="C39" s="40">
        <f>IF(ISERROR(ROUND(B39/B18,4)),"",ROUND(B39/B18,4))</f>
        <v>2.2200000000000001E-2</v>
      </c>
      <c r="D39" s="37">
        <f>IF(ISERROR(C39*B18),"",C39*B18)</f>
        <v>2811854.3754000003</v>
      </c>
    </row>
    <row r="40" spans="1:6" ht="12.75" customHeight="1" thickBot="1" x14ac:dyDescent="0.3">
      <c r="A40" s="41" t="s">
        <v>16</v>
      </c>
      <c r="B40" s="42">
        <f>IF(ISERROR(B38+B39),"",B38+B39)</f>
        <v>4959005.9754000008</v>
      </c>
      <c r="C40" s="43" t="s">
        <v>17</v>
      </c>
      <c r="D40" s="44">
        <f>IF(ISERROR(D38+D39),"",D38+D39)</f>
        <v>4959005.9754000008</v>
      </c>
    </row>
    <row r="41" spans="1:6" ht="12.75" customHeight="1" thickBot="1" x14ac:dyDescent="0.25">
      <c r="A41" s="4"/>
    </row>
    <row r="42" spans="1:6" ht="27" customHeight="1" x14ac:dyDescent="0.2">
      <c r="A42" s="32"/>
      <c r="B42" s="16" t="s">
        <v>23</v>
      </c>
      <c r="C42" s="45" t="s">
        <v>24</v>
      </c>
      <c r="D42" s="46" t="s">
        <v>25</v>
      </c>
      <c r="E42" s="47" t="s">
        <v>26</v>
      </c>
      <c r="F42" s="4"/>
    </row>
    <row r="43" spans="1:6" ht="12.75" customHeight="1" x14ac:dyDescent="0.25">
      <c r="A43" s="6" t="s">
        <v>14</v>
      </c>
      <c r="B43" s="48">
        <f>IF(ISERROR(((1-E29)/B35)+E29),"",((1-E29)/B35)+E29)</f>
        <v>0.54638419242103176</v>
      </c>
      <c r="C43" s="49">
        <f>IF(ISERROR(B43*B$20),"",B43*B$20)</f>
        <v>2709522.4750800002</v>
      </c>
      <c r="D43" s="36">
        <f>IF(ISERROR(ROUND(C43/B17/12,2)),"",ROUND(C43/B17/12,2))</f>
        <v>16.38</v>
      </c>
      <c r="E43" s="37">
        <f>IF(ISERROR(D43*12*B17),"",D43*12*B17)</f>
        <v>2709579.6</v>
      </c>
      <c r="F43" s="4"/>
    </row>
    <row r="44" spans="1:6" ht="12.75" customHeight="1" x14ac:dyDescent="0.25">
      <c r="A44" s="38" t="s">
        <v>15</v>
      </c>
      <c r="B44" s="50">
        <f>IF(ISERROR(1-B43),"",1-B43)</f>
        <v>0.45361580757896824</v>
      </c>
      <c r="C44" s="51">
        <f>IF(ISERROR(B44*B$20),"",B44*B$20)</f>
        <v>2249483.5003200006</v>
      </c>
      <c r="D44" s="40">
        <f>IF(ISERROR(ROUND(C44/B18,4)),"",ROUND(C44/B18,4))</f>
        <v>1.78E-2</v>
      </c>
      <c r="E44" s="52">
        <f>IF(ISERROR(D44*B18),"",D44*B18)</f>
        <v>2254549.9046</v>
      </c>
      <c r="F44" s="4"/>
    </row>
    <row r="45" spans="1:6" ht="12.75" customHeight="1" thickBot="1" x14ac:dyDescent="0.3">
      <c r="A45" s="41" t="s">
        <v>16</v>
      </c>
      <c r="B45" s="53" t="s">
        <v>17</v>
      </c>
      <c r="C45" s="27">
        <f>IF(ISERROR(SUM(C43:C44)),"",SUM(C43:C44))</f>
        <v>4959005.9754000008</v>
      </c>
      <c r="D45" s="43" t="s">
        <v>17</v>
      </c>
      <c r="E45" s="54">
        <f>IF(ISERROR(E43+E44),"",E43+E44)</f>
        <v>4964129.5045999996</v>
      </c>
    </row>
    <row r="46" spans="1:6" ht="12.75" customHeight="1" thickBot="1" x14ac:dyDescent="0.25">
      <c r="A46" s="4"/>
    </row>
    <row r="47" spans="1:6" ht="14.25" customHeight="1" x14ac:dyDescent="0.2">
      <c r="A47" s="251" t="s">
        <v>27</v>
      </c>
      <c r="B47" s="252"/>
    </row>
    <row r="48" spans="1:6" ht="12.75" customHeight="1" x14ac:dyDescent="0.25">
      <c r="A48" s="6" t="s">
        <v>28</v>
      </c>
      <c r="B48" s="37">
        <f>IF(ISERROR(D43-C38),"",D43-C38)</f>
        <v>3.3999999999999986</v>
      </c>
    </row>
    <row r="49" spans="1:6" ht="18" customHeight="1" x14ac:dyDescent="0.25">
      <c r="A49" s="253" t="s">
        <v>29</v>
      </c>
      <c r="B49" s="52">
        <f>IF(ISERROR((D43*12*B17)+(D44*B18)-B20),"",(D43*12*B17)+(D44*B18)-B20)</f>
        <v>5123.5291999988258</v>
      </c>
    </row>
    <row r="50" spans="1:6" ht="21.75" customHeight="1" thickBot="1" x14ac:dyDescent="0.3">
      <c r="A50" s="254"/>
      <c r="B50" s="55">
        <f>IF(ISERROR(B49/B20), "", B49/B20)</f>
        <v>1.0331766538324355E-3</v>
      </c>
    </row>
    <row r="51" spans="1:6" ht="12.75" customHeight="1" x14ac:dyDescent="0.2">
      <c r="A51" s="4"/>
    </row>
    <row r="52" spans="1:6" ht="12.75" customHeight="1" x14ac:dyDescent="0.2">
      <c r="A52" s="5" t="s">
        <v>30</v>
      </c>
    </row>
    <row r="54" spans="1:6" ht="12.75" customHeight="1" x14ac:dyDescent="0.2">
      <c r="A54" s="246" t="s">
        <v>31</v>
      </c>
      <c r="B54" s="246"/>
      <c r="C54" s="246"/>
      <c r="D54" s="246"/>
      <c r="E54" s="246"/>
    </row>
    <row r="55" spans="1:6" x14ac:dyDescent="0.2">
      <c r="A55" s="246"/>
      <c r="B55" s="246"/>
      <c r="C55" s="246"/>
      <c r="D55" s="246"/>
      <c r="E55" s="246"/>
    </row>
    <row r="56" spans="1:6" x14ac:dyDescent="0.2">
      <c r="B56" s="56"/>
      <c r="C56" s="56"/>
      <c r="D56" s="56"/>
      <c r="E56" s="56"/>
      <c r="F56" s="56"/>
    </row>
    <row r="57" spans="1:6" ht="12.75" customHeight="1" x14ac:dyDescent="0.2">
      <c r="A57" s="247" t="s">
        <v>32</v>
      </c>
      <c r="B57" s="247"/>
      <c r="C57" s="247"/>
      <c r="D57" s="247"/>
      <c r="E57" s="247"/>
      <c r="F57" s="56"/>
    </row>
    <row r="58" spans="1:6" x14ac:dyDescent="0.2">
      <c r="A58" s="247"/>
      <c r="B58" s="247"/>
      <c r="C58" s="247"/>
      <c r="D58" s="247"/>
      <c r="E58" s="247"/>
      <c r="F58" s="57"/>
    </row>
    <row r="59" spans="1:6" x14ac:dyDescent="0.2">
      <c r="A59" s="247"/>
      <c r="B59" s="247"/>
      <c r="C59" s="247"/>
      <c r="D59" s="247"/>
      <c r="E59" s="247"/>
      <c r="F59" s="57"/>
    </row>
    <row r="60" spans="1:6" ht="12.75" customHeight="1" x14ac:dyDescent="0.2">
      <c r="A60" s="247" t="s">
        <v>33</v>
      </c>
      <c r="B60" s="247"/>
      <c r="C60" s="247"/>
      <c r="D60" s="247"/>
      <c r="E60" s="247"/>
      <c r="F60" s="58"/>
    </row>
    <row r="61" spans="1:6" x14ac:dyDescent="0.2">
      <c r="A61" s="247"/>
      <c r="B61" s="247"/>
      <c r="C61" s="247"/>
      <c r="D61" s="247"/>
      <c r="E61" s="247"/>
    </row>
  </sheetData>
  <mergeCells count="9">
    <mergeCell ref="A54:E55"/>
    <mergeCell ref="A57:E59"/>
    <mergeCell ref="A60:E61"/>
    <mergeCell ref="A9:F9"/>
    <mergeCell ref="A10:F10"/>
    <mergeCell ref="A16:B16"/>
    <mergeCell ref="A22:B22"/>
    <mergeCell ref="A47:B47"/>
    <mergeCell ref="A49:A50"/>
  </mergeCells>
  <dataValidations count="1">
    <dataValidation allowBlank="1" showInputMessage="1" showErrorMessage="1" promptTitle="Date Format" prompt="E.g:  &quot;August 1, 2011&quot;" sqref="F7"/>
  </dataValidations>
  <pageMargins left="0.7" right="0.7" top="0.75" bottom="0.75" header="0.3" footer="0.3"/>
  <pageSetup scale="69" orientation="portrait" r:id="rId1"/>
  <headerFooter>
    <oddHeader>&amp;RFiled: 2016-10-18
EB-2016-0082
Draft Rate Order
Attachment 3
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F61"/>
  <sheetViews>
    <sheetView showGridLines="0" tabSelected="1" view="pageLayout" topLeftCell="C1" zoomScaleNormal="100" workbookViewId="0">
      <selection activeCell="L1" sqref="L1"/>
    </sheetView>
  </sheetViews>
  <sheetFormatPr defaultColWidth="9.140625" defaultRowHeight="12.75" x14ac:dyDescent="0.2"/>
  <cols>
    <col min="1" max="1" width="32" style="72" customWidth="1"/>
    <col min="2" max="2" width="21.5703125" style="72" customWidth="1"/>
    <col min="3" max="4" width="21" style="72" customWidth="1"/>
    <col min="5" max="5" width="19.7109375" style="72" customWidth="1"/>
    <col min="6" max="6" width="15" style="72" customWidth="1"/>
    <col min="7" max="16384" width="9.140625" style="72"/>
  </cols>
  <sheetData>
    <row r="1" spans="1:6" x14ac:dyDescent="0.2">
      <c r="E1" s="2"/>
      <c r="F1" s="3"/>
    </row>
    <row r="2" spans="1:6" x14ac:dyDescent="0.2">
      <c r="E2" s="2"/>
      <c r="F2" s="3"/>
    </row>
    <row r="3" spans="1:6" x14ac:dyDescent="0.2">
      <c r="E3" s="2"/>
      <c r="F3" s="3"/>
    </row>
    <row r="4" spans="1:6" x14ac:dyDescent="0.2">
      <c r="E4" s="2"/>
      <c r="F4" s="3"/>
    </row>
    <row r="5" spans="1:6" x14ac:dyDescent="0.2">
      <c r="E5" s="2"/>
      <c r="F5" s="3"/>
    </row>
    <row r="6" spans="1:6" x14ac:dyDescent="0.2">
      <c r="E6" s="2"/>
      <c r="F6" s="3"/>
    </row>
    <row r="7" spans="1:6" x14ac:dyDescent="0.2">
      <c r="E7" s="178"/>
      <c r="F7" s="179"/>
    </row>
    <row r="9" spans="1:6" ht="18" x14ac:dyDescent="0.25">
      <c r="A9" s="248" t="s">
        <v>111</v>
      </c>
      <c r="B9" s="248"/>
      <c r="C9" s="248"/>
      <c r="D9" s="248"/>
      <c r="E9" s="248"/>
      <c r="F9" s="248"/>
    </row>
    <row r="10" spans="1:6" ht="18" x14ac:dyDescent="0.25">
      <c r="A10" s="248" t="s">
        <v>0</v>
      </c>
      <c r="B10" s="248"/>
      <c r="C10" s="248"/>
      <c r="D10" s="248"/>
      <c r="E10" s="248"/>
      <c r="F10" s="248"/>
    </row>
    <row r="12" spans="1:6" x14ac:dyDescent="0.2">
      <c r="A12" s="4"/>
    </row>
    <row r="14" spans="1:6" x14ac:dyDescent="0.2">
      <c r="A14" s="73" t="s">
        <v>1</v>
      </c>
      <c r="B14" s="73"/>
    </row>
    <row r="15" spans="1:6" ht="13.5" thickBot="1" x14ac:dyDescent="0.25"/>
    <row r="16" spans="1:6" ht="18" customHeight="1" x14ac:dyDescent="0.2">
      <c r="A16" s="249" t="s">
        <v>2</v>
      </c>
      <c r="B16" s="250"/>
      <c r="C16" s="4"/>
    </row>
    <row r="17" spans="1:5" x14ac:dyDescent="0.2">
      <c r="A17" s="6" t="s">
        <v>3</v>
      </c>
      <c r="B17" s="7">
        <v>13785</v>
      </c>
      <c r="E17" s="62"/>
    </row>
    <row r="18" spans="1:5" ht="13.5" thickBot="1" x14ac:dyDescent="0.25">
      <c r="A18" s="8" t="s">
        <v>4</v>
      </c>
      <c r="B18" s="9">
        <v>126660107</v>
      </c>
      <c r="E18" s="62"/>
    </row>
    <row r="19" spans="1:5" ht="13.5" thickBot="1" x14ac:dyDescent="0.25"/>
    <row r="20" spans="1:5" ht="27.75" thickBot="1" x14ac:dyDescent="0.25">
      <c r="A20" s="10" t="s">
        <v>5</v>
      </c>
      <c r="B20" s="11">
        <f>'App.2-PA_Res_Rate_Design_16'!B20</f>
        <v>4959005.9754000008</v>
      </c>
    </row>
    <row r="21" spans="1:5" ht="13.5" thickBot="1" x14ac:dyDescent="0.25"/>
    <row r="22" spans="1:5" x14ac:dyDescent="0.2">
      <c r="A22" s="249" t="s">
        <v>6</v>
      </c>
      <c r="B22" s="250"/>
    </row>
    <row r="23" spans="1:5" x14ac:dyDescent="0.2">
      <c r="A23" s="6" t="s">
        <v>7</v>
      </c>
      <c r="B23" s="12">
        <v>12.98</v>
      </c>
    </row>
    <row r="24" spans="1:5" ht="13.5" thickBot="1" x14ac:dyDescent="0.25">
      <c r="A24" s="8" t="s">
        <v>8</v>
      </c>
      <c r="B24" s="13">
        <v>2.2200000000000001E-2</v>
      </c>
    </row>
    <row r="25" spans="1:5" x14ac:dyDescent="0.2">
      <c r="B25" s="72" t="s">
        <v>34</v>
      </c>
    </row>
    <row r="26" spans="1:5" x14ac:dyDescent="0.2">
      <c r="A26" s="73" t="s">
        <v>9</v>
      </c>
    </row>
    <row r="27" spans="1:5" ht="13.5" thickBot="1" x14ac:dyDescent="0.25"/>
    <row r="28" spans="1:5" x14ac:dyDescent="0.2">
      <c r="A28" s="14"/>
      <c r="B28" s="15" t="s">
        <v>10</v>
      </c>
      <c r="C28" s="16" t="s">
        <v>11</v>
      </c>
      <c r="D28" s="17" t="s">
        <v>12</v>
      </c>
      <c r="E28" s="60" t="s">
        <v>13</v>
      </c>
    </row>
    <row r="29" spans="1:5" ht="15" x14ac:dyDescent="0.25">
      <c r="A29" s="6" t="s">
        <v>14</v>
      </c>
      <c r="B29" s="19">
        <f>'App.2-PA_Res_Rate_Design_16'!D43</f>
        <v>16.38</v>
      </c>
      <c r="C29" s="20">
        <f>IF(B17="","",B17)</f>
        <v>13785</v>
      </c>
      <c r="D29" s="21">
        <f>IF(ISERROR(B29*C29*12),"",B29*C29*12)</f>
        <v>2709579.5999999996</v>
      </c>
      <c r="E29" s="22">
        <f>IF(ISERROR(D29/D31),"",D29/D31)</f>
        <v>0.54583177120765558</v>
      </c>
    </row>
    <row r="30" spans="1:5" ht="15" x14ac:dyDescent="0.25">
      <c r="A30" s="6" t="s">
        <v>15</v>
      </c>
      <c r="B30" s="19">
        <f>'App.2-PA_Res_Rate_Design_16'!D44</f>
        <v>1.78E-2</v>
      </c>
      <c r="C30" s="23">
        <f>IF(B18="","",B18)</f>
        <v>126660107</v>
      </c>
      <c r="D30" s="21">
        <f>IF(ISERROR(B30*C30),"",B30*C30)</f>
        <v>2254549.9046</v>
      </c>
      <c r="E30" s="22">
        <f>IF(ISERROR(D30/D31),"",D30/D31)</f>
        <v>0.45416822879234442</v>
      </c>
    </row>
    <row r="31" spans="1:5" ht="15.75" thickBot="1" x14ac:dyDescent="0.3">
      <c r="A31" s="24" t="s">
        <v>16</v>
      </c>
      <c r="B31" s="25" t="s">
        <v>17</v>
      </c>
      <c r="C31" s="26" t="s">
        <v>17</v>
      </c>
      <c r="D31" s="27">
        <f>IF(ISERROR(D29+D30),"",D29+D30)</f>
        <v>4964129.5045999996</v>
      </c>
      <c r="E31" s="28" t="s">
        <v>17</v>
      </c>
    </row>
    <row r="32" spans="1:5" x14ac:dyDescent="0.2">
      <c r="A32" s="4"/>
    </row>
    <row r="33" spans="1:6" ht="12.75" customHeight="1" x14ac:dyDescent="0.2">
      <c r="A33" s="29" t="s">
        <v>18</v>
      </c>
    </row>
    <row r="34" spans="1:6" ht="12.75" customHeight="1" thickBot="1" x14ac:dyDescent="0.25">
      <c r="A34" s="4"/>
    </row>
    <row r="35" spans="1:6" ht="33.75" customHeight="1" thickBot="1" x14ac:dyDescent="0.25">
      <c r="A35" s="30" t="s">
        <v>19</v>
      </c>
      <c r="B35" s="31">
        <f>'App.2-PA_Res_Rate_Design_16'!B35-1</f>
        <v>4</v>
      </c>
      <c r="C35" s="4"/>
    </row>
    <row r="36" spans="1:6" ht="12.75" customHeight="1" thickBot="1" x14ac:dyDescent="0.25">
      <c r="A36" s="4"/>
    </row>
    <row r="37" spans="1:6" ht="39" customHeight="1" x14ac:dyDescent="0.2">
      <c r="A37" s="32"/>
      <c r="B37" s="33" t="s">
        <v>20</v>
      </c>
      <c r="C37" s="34" t="s">
        <v>21</v>
      </c>
      <c r="D37" s="35" t="s">
        <v>22</v>
      </c>
    </row>
    <row r="38" spans="1:6" ht="12.75" customHeight="1" x14ac:dyDescent="0.25">
      <c r="A38" s="6" t="s">
        <v>14</v>
      </c>
      <c r="B38" s="21">
        <f>IF(ISERROR(B$20*E29),"",B$20*E29)</f>
        <v>2706783.0149819301</v>
      </c>
      <c r="C38" s="36">
        <f>IF(ISERROR(ROUND(B38/B17/12,2)),"",ROUND(B38/B17/12,2))</f>
        <v>16.36</v>
      </c>
      <c r="D38" s="37">
        <f>IF(ISERROR(C38*B17*12),"",C38*B17*12)</f>
        <v>2706271.2</v>
      </c>
    </row>
    <row r="39" spans="1:6" ht="12.75" customHeight="1" x14ac:dyDescent="0.25">
      <c r="A39" s="38" t="s">
        <v>15</v>
      </c>
      <c r="B39" s="39">
        <f>IF(ISERROR(B$20*E30),"",B$20*E30)</f>
        <v>2252222.9604180707</v>
      </c>
      <c r="C39" s="40">
        <f>IF(ISERROR(ROUND(B39/B18,4)),"",ROUND(B39/B18,4))</f>
        <v>1.78E-2</v>
      </c>
      <c r="D39" s="37">
        <f>IF(ISERROR(C39*B18),"",C39*B18)</f>
        <v>2254549.9046</v>
      </c>
    </row>
    <row r="40" spans="1:6" ht="12.75" customHeight="1" thickBot="1" x14ac:dyDescent="0.3">
      <c r="A40" s="41" t="s">
        <v>16</v>
      </c>
      <c r="B40" s="42">
        <f>IF(ISERROR(B38+B39),"",B38+B39)</f>
        <v>4959005.9754000008</v>
      </c>
      <c r="C40" s="43" t="s">
        <v>17</v>
      </c>
      <c r="D40" s="44">
        <f>IF(ISERROR(D38+D39),"",D38+D39)</f>
        <v>4960821.1046000002</v>
      </c>
    </row>
    <row r="41" spans="1:6" ht="12.75" customHeight="1" thickBot="1" x14ac:dyDescent="0.25">
      <c r="A41" s="4"/>
    </row>
    <row r="42" spans="1:6" ht="27" customHeight="1" x14ac:dyDescent="0.2">
      <c r="A42" s="32"/>
      <c r="B42" s="16" t="s">
        <v>23</v>
      </c>
      <c r="C42" s="45" t="s">
        <v>24</v>
      </c>
      <c r="D42" s="46" t="s">
        <v>25</v>
      </c>
      <c r="E42" s="47" t="s">
        <v>26</v>
      </c>
      <c r="F42" s="4"/>
    </row>
    <row r="43" spans="1:6" ht="12.75" customHeight="1" x14ac:dyDescent="0.25">
      <c r="A43" s="6" t="s">
        <v>14</v>
      </c>
      <c r="B43" s="48">
        <f>IF(ISERROR(((1-E29)/B35)+E29),"",((1-E29)/B35)+E29)</f>
        <v>0.65937382840574166</v>
      </c>
      <c r="C43" s="49">
        <f>IF(ISERROR(B43*B$20),"",B43*B$20)</f>
        <v>3269838.7550864476</v>
      </c>
      <c r="D43" s="36">
        <f>IF(ISERROR(ROUND(C43/B17/12,2)),"",ROUND(C43/B17/12,2))</f>
        <v>19.77</v>
      </c>
      <c r="E43" s="37">
        <f>IF(ISERROR(D43*12*B17),"",D43*12*B17)</f>
        <v>3270353.4</v>
      </c>
      <c r="F43" s="4"/>
    </row>
    <row r="44" spans="1:6" ht="12.75" customHeight="1" x14ac:dyDescent="0.25">
      <c r="A44" s="38" t="s">
        <v>15</v>
      </c>
      <c r="B44" s="50">
        <f>IF(ISERROR(1-B43),"",1-B43)</f>
        <v>0.34062617159425834</v>
      </c>
      <c r="C44" s="51">
        <f>IF(ISERROR(B44*B$20),"",B44*B$20)</f>
        <v>1689167.2203135532</v>
      </c>
      <c r="D44" s="40">
        <f>IF(ISERROR(ROUND(C44/B18,4)),"",ROUND(C44/B18,4))</f>
        <v>1.3299999999999999E-2</v>
      </c>
      <c r="E44" s="52">
        <f>IF(ISERROR(D44*B18),"",D44*B18)</f>
        <v>1684579.4231</v>
      </c>
      <c r="F44" s="4"/>
    </row>
    <row r="45" spans="1:6" ht="12.75" customHeight="1" thickBot="1" x14ac:dyDescent="0.3">
      <c r="A45" s="41" t="s">
        <v>16</v>
      </c>
      <c r="B45" s="53" t="s">
        <v>17</v>
      </c>
      <c r="C45" s="27">
        <f>IF(ISERROR(SUM(C43:C44)),"",SUM(C43:C44))</f>
        <v>4959005.9754000008</v>
      </c>
      <c r="D45" s="43" t="s">
        <v>17</v>
      </c>
      <c r="E45" s="54">
        <f>IF(ISERROR(E43+E44),"",E43+E44)</f>
        <v>4954932.8230999997</v>
      </c>
    </row>
    <row r="46" spans="1:6" ht="12.75" customHeight="1" thickBot="1" x14ac:dyDescent="0.25">
      <c r="A46" s="4"/>
    </row>
    <row r="47" spans="1:6" ht="14.25" customHeight="1" x14ac:dyDescent="0.2">
      <c r="A47" s="251" t="s">
        <v>27</v>
      </c>
      <c r="B47" s="252"/>
    </row>
    <row r="48" spans="1:6" ht="12.75" customHeight="1" x14ac:dyDescent="0.25">
      <c r="A48" s="6" t="s">
        <v>28</v>
      </c>
      <c r="B48" s="37">
        <f>IF(ISERROR(D43-C38),"",D43-C38)</f>
        <v>3.41</v>
      </c>
    </row>
    <row r="49" spans="1:6" ht="18" customHeight="1" x14ac:dyDescent="0.25">
      <c r="A49" s="253" t="s">
        <v>29</v>
      </c>
      <c r="B49" s="52">
        <f>IF(ISERROR((D43*12*B17)+(D44*B18)-B20),"",(D43*12*B17)+(D44*B18)-B20)</f>
        <v>-4073.1523000011221</v>
      </c>
    </row>
    <row r="50" spans="1:6" ht="21.75" customHeight="1" thickBot="1" x14ac:dyDescent="0.3">
      <c r="A50" s="254"/>
      <c r="B50" s="55">
        <f>IF(ISERROR(B49/B20), "", B49/B20)</f>
        <v>-8.2136466868696918E-4</v>
      </c>
    </row>
    <row r="51" spans="1:6" ht="12.75" customHeight="1" x14ac:dyDescent="0.2">
      <c r="A51" s="4"/>
    </row>
    <row r="52" spans="1:6" ht="12.75" customHeight="1" x14ac:dyDescent="0.2">
      <c r="A52" s="73" t="s">
        <v>30</v>
      </c>
    </row>
    <row r="54" spans="1:6" ht="12.75" customHeight="1" x14ac:dyDescent="0.2">
      <c r="A54" s="246" t="s">
        <v>31</v>
      </c>
      <c r="B54" s="246"/>
      <c r="C54" s="246"/>
      <c r="D54" s="246"/>
      <c r="E54" s="246"/>
    </row>
    <row r="55" spans="1:6" x14ac:dyDescent="0.2">
      <c r="A55" s="246"/>
      <c r="B55" s="246"/>
      <c r="C55" s="246"/>
      <c r="D55" s="246"/>
      <c r="E55" s="246"/>
    </row>
    <row r="56" spans="1:6" x14ac:dyDescent="0.2">
      <c r="B56" s="56"/>
      <c r="C56" s="56"/>
      <c r="D56" s="56"/>
      <c r="E56" s="56"/>
      <c r="F56" s="56"/>
    </row>
    <row r="57" spans="1:6" ht="12.75" customHeight="1" x14ac:dyDescent="0.2">
      <c r="A57" s="247" t="s">
        <v>32</v>
      </c>
      <c r="B57" s="247"/>
      <c r="C57" s="247"/>
      <c r="D57" s="247"/>
      <c r="E57" s="247"/>
      <c r="F57" s="56"/>
    </row>
    <row r="58" spans="1:6" x14ac:dyDescent="0.2">
      <c r="A58" s="247"/>
      <c r="B58" s="247"/>
      <c r="C58" s="247"/>
      <c r="D58" s="247"/>
      <c r="E58" s="247"/>
      <c r="F58" s="59"/>
    </row>
    <row r="59" spans="1:6" x14ac:dyDescent="0.2">
      <c r="A59" s="247"/>
      <c r="B59" s="247"/>
      <c r="C59" s="247"/>
      <c r="D59" s="247"/>
      <c r="E59" s="247"/>
      <c r="F59" s="59"/>
    </row>
    <row r="60" spans="1:6" ht="12.75" customHeight="1" x14ac:dyDescent="0.2">
      <c r="A60" s="247" t="s">
        <v>33</v>
      </c>
      <c r="B60" s="247"/>
      <c r="C60" s="247"/>
      <c r="D60" s="247"/>
      <c r="E60" s="247"/>
      <c r="F60" s="58"/>
    </row>
    <row r="61" spans="1:6" x14ac:dyDescent="0.2">
      <c r="A61" s="247"/>
      <c r="B61" s="247"/>
      <c r="C61" s="247"/>
      <c r="D61" s="247"/>
      <c r="E61" s="247"/>
    </row>
  </sheetData>
  <mergeCells count="9">
    <mergeCell ref="A54:E55"/>
    <mergeCell ref="A57:E59"/>
    <mergeCell ref="A60:E61"/>
    <mergeCell ref="A9:F9"/>
    <mergeCell ref="A10:F10"/>
    <mergeCell ref="A16:B16"/>
    <mergeCell ref="A22:B22"/>
    <mergeCell ref="A47:B47"/>
    <mergeCell ref="A49:A50"/>
  </mergeCells>
  <dataValidations count="1">
    <dataValidation allowBlank="1" showInputMessage="1" showErrorMessage="1" promptTitle="Date Format" prompt="E.g:  &quot;August 1, 2011&quot;" sqref="F7"/>
  </dataValidations>
  <pageMargins left="0.7" right="0.7" top="0.75" bottom="0.75" header="0.3" footer="0.3"/>
  <pageSetup scale="69" orientation="portrait" r:id="rId1"/>
  <headerFooter>
    <oddHeader>&amp;RFiled: 2016-10-18
EB-2016-0082
Draft Rate Order
Attachment 3
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F61"/>
  <sheetViews>
    <sheetView showGridLines="0" tabSelected="1" view="pageLayout" topLeftCell="C1" zoomScaleNormal="100" workbookViewId="0">
      <selection activeCell="L1" sqref="L1"/>
    </sheetView>
  </sheetViews>
  <sheetFormatPr defaultColWidth="9.140625" defaultRowHeight="12.75" x14ac:dyDescent="0.2"/>
  <cols>
    <col min="1" max="1" width="32" style="72" customWidth="1"/>
    <col min="2" max="2" width="21.5703125" style="72" customWidth="1"/>
    <col min="3" max="4" width="21" style="72" customWidth="1"/>
    <col min="5" max="5" width="19.7109375" style="72" customWidth="1"/>
    <col min="6" max="6" width="15" style="72" customWidth="1"/>
    <col min="7" max="16384" width="9.140625" style="72"/>
  </cols>
  <sheetData>
    <row r="1" spans="1:6" x14ac:dyDescent="0.2">
      <c r="E1" s="2"/>
      <c r="F1" s="3"/>
    </row>
    <row r="2" spans="1:6" x14ac:dyDescent="0.2">
      <c r="E2" s="2"/>
      <c r="F2" s="3"/>
    </row>
    <row r="3" spans="1:6" x14ac:dyDescent="0.2">
      <c r="E3" s="2"/>
      <c r="F3" s="3"/>
    </row>
    <row r="4" spans="1:6" x14ac:dyDescent="0.2">
      <c r="E4" s="2"/>
      <c r="F4" s="3"/>
    </row>
    <row r="5" spans="1:6" x14ac:dyDescent="0.2">
      <c r="E5" s="2"/>
      <c r="F5" s="3"/>
    </row>
    <row r="6" spans="1:6" x14ac:dyDescent="0.2">
      <c r="E6" s="2"/>
      <c r="F6" s="3"/>
    </row>
    <row r="7" spans="1:6" x14ac:dyDescent="0.2">
      <c r="E7" s="178"/>
      <c r="F7" s="179"/>
    </row>
    <row r="9" spans="1:6" ht="18" x14ac:dyDescent="0.25">
      <c r="A9" s="248" t="s">
        <v>112</v>
      </c>
      <c r="B9" s="248"/>
      <c r="C9" s="248"/>
      <c r="D9" s="248"/>
      <c r="E9" s="248"/>
      <c r="F9" s="248"/>
    </row>
    <row r="10" spans="1:6" ht="18" x14ac:dyDescent="0.25">
      <c r="A10" s="248" t="s">
        <v>0</v>
      </c>
      <c r="B10" s="248"/>
      <c r="C10" s="248"/>
      <c r="D10" s="248"/>
      <c r="E10" s="248"/>
      <c r="F10" s="248"/>
    </row>
    <row r="12" spans="1:6" x14ac:dyDescent="0.2">
      <c r="A12" s="4"/>
    </row>
    <row r="14" spans="1:6" x14ac:dyDescent="0.2">
      <c r="A14" s="73" t="s">
        <v>1</v>
      </c>
      <c r="B14" s="73"/>
    </row>
    <row r="15" spans="1:6" ht="13.5" thickBot="1" x14ac:dyDescent="0.25"/>
    <row r="16" spans="1:6" ht="18" customHeight="1" x14ac:dyDescent="0.2">
      <c r="A16" s="249" t="s">
        <v>2</v>
      </c>
      <c r="B16" s="250"/>
      <c r="C16" s="4"/>
    </row>
    <row r="17" spans="1:5" x14ac:dyDescent="0.2">
      <c r="A17" s="6" t="s">
        <v>3</v>
      </c>
      <c r="B17" s="7">
        <v>13785</v>
      </c>
      <c r="E17" s="62"/>
    </row>
    <row r="18" spans="1:5" ht="13.5" thickBot="1" x14ac:dyDescent="0.25">
      <c r="A18" s="8" t="s">
        <v>4</v>
      </c>
      <c r="B18" s="9">
        <v>126660107</v>
      </c>
      <c r="E18" s="62"/>
    </row>
    <row r="19" spans="1:5" ht="13.5" thickBot="1" x14ac:dyDescent="0.25"/>
    <row r="20" spans="1:5" ht="27.75" thickBot="1" x14ac:dyDescent="0.25">
      <c r="A20" s="10" t="s">
        <v>5</v>
      </c>
      <c r="B20" s="11">
        <f>'App.2-PA_Res_Rate_Design_17'!B20</f>
        <v>4959005.9754000008</v>
      </c>
    </row>
    <row r="21" spans="1:5" ht="13.5" thickBot="1" x14ac:dyDescent="0.25"/>
    <row r="22" spans="1:5" x14ac:dyDescent="0.2">
      <c r="A22" s="249" t="s">
        <v>6</v>
      </c>
      <c r="B22" s="250"/>
    </row>
    <row r="23" spans="1:5" x14ac:dyDescent="0.2">
      <c r="A23" s="6" t="s">
        <v>7</v>
      </c>
      <c r="B23" s="12">
        <v>12.98</v>
      </c>
    </row>
    <row r="24" spans="1:5" ht="13.5" thickBot="1" x14ac:dyDescent="0.25">
      <c r="A24" s="8" t="s">
        <v>8</v>
      </c>
      <c r="B24" s="13">
        <v>2.2200000000000001E-2</v>
      </c>
    </row>
    <row r="25" spans="1:5" x14ac:dyDescent="0.2">
      <c r="B25" s="72" t="s">
        <v>34</v>
      </c>
    </row>
    <row r="26" spans="1:5" x14ac:dyDescent="0.2">
      <c r="A26" s="73" t="s">
        <v>9</v>
      </c>
    </row>
    <row r="27" spans="1:5" ht="13.5" thickBot="1" x14ac:dyDescent="0.25"/>
    <row r="28" spans="1:5" x14ac:dyDescent="0.2">
      <c r="A28" s="14"/>
      <c r="B28" s="15" t="s">
        <v>10</v>
      </c>
      <c r="C28" s="16" t="s">
        <v>11</v>
      </c>
      <c r="D28" s="17" t="s">
        <v>12</v>
      </c>
      <c r="E28" s="60" t="s">
        <v>13</v>
      </c>
    </row>
    <row r="29" spans="1:5" ht="15" x14ac:dyDescent="0.25">
      <c r="A29" s="6" t="s">
        <v>14</v>
      </c>
      <c r="B29" s="19">
        <f>'App.2-PA_Res_Rate_Design_17'!D43</f>
        <v>19.77</v>
      </c>
      <c r="C29" s="20">
        <f>IF(B17="","",B17)</f>
        <v>13785</v>
      </c>
      <c r="D29" s="21">
        <f>IF(ISERROR(B29*C29*12),"",B29*C29*12)</f>
        <v>3270353.4000000004</v>
      </c>
      <c r="E29" s="22">
        <f>IF(ISERROR(D29/D31),"",D29/D31)</f>
        <v>0.66001972514209362</v>
      </c>
    </row>
    <row r="30" spans="1:5" ht="15" x14ac:dyDescent="0.25">
      <c r="A30" s="6" t="s">
        <v>15</v>
      </c>
      <c r="B30" s="19">
        <f>'App.2-PA_Res_Rate_Design_17'!D44</f>
        <v>1.3299999999999999E-2</v>
      </c>
      <c r="C30" s="23">
        <f>IF(B18="","",B18)</f>
        <v>126660107</v>
      </c>
      <c r="D30" s="21">
        <f>IF(ISERROR(B30*C30),"",B30*C30)</f>
        <v>1684579.4231</v>
      </c>
      <c r="E30" s="22">
        <f>IF(ISERROR(D30/D31),"",D30/D31)</f>
        <v>0.33998027485790633</v>
      </c>
    </row>
    <row r="31" spans="1:5" ht="15.75" thickBot="1" x14ac:dyDescent="0.3">
      <c r="A31" s="24" t="s">
        <v>16</v>
      </c>
      <c r="B31" s="25" t="s">
        <v>17</v>
      </c>
      <c r="C31" s="26" t="s">
        <v>17</v>
      </c>
      <c r="D31" s="27">
        <f>IF(ISERROR(D29+D30),"",D29+D30)</f>
        <v>4954932.8231000006</v>
      </c>
      <c r="E31" s="28" t="s">
        <v>17</v>
      </c>
    </row>
    <row r="32" spans="1:5" x14ac:dyDescent="0.2">
      <c r="A32" s="4"/>
    </row>
    <row r="33" spans="1:6" ht="12.75" customHeight="1" x14ac:dyDescent="0.2">
      <c r="A33" s="29" t="s">
        <v>18</v>
      </c>
    </row>
    <row r="34" spans="1:6" ht="12.75" customHeight="1" thickBot="1" x14ac:dyDescent="0.25">
      <c r="A34" s="4"/>
    </row>
    <row r="35" spans="1:6" ht="33.75" customHeight="1" thickBot="1" x14ac:dyDescent="0.25">
      <c r="A35" s="30" t="s">
        <v>19</v>
      </c>
      <c r="B35" s="31">
        <f>'App.2-PA_Res_Rate_Design_17'!B35-1</f>
        <v>3</v>
      </c>
      <c r="C35" s="4"/>
    </row>
    <row r="36" spans="1:6" ht="12.75" customHeight="1" thickBot="1" x14ac:dyDescent="0.25">
      <c r="A36" s="4"/>
    </row>
    <row r="37" spans="1:6" ht="39" customHeight="1" x14ac:dyDescent="0.2">
      <c r="A37" s="32"/>
      <c r="B37" s="33" t="s">
        <v>20</v>
      </c>
      <c r="C37" s="34" t="s">
        <v>21</v>
      </c>
      <c r="D37" s="35" t="s">
        <v>22</v>
      </c>
    </row>
    <row r="38" spans="1:6" ht="12.75" customHeight="1" x14ac:dyDescent="0.25">
      <c r="A38" s="6" t="s">
        <v>14</v>
      </c>
      <c r="B38" s="21">
        <f>IF(ISERROR(B$20*E29),"",B$20*E29)</f>
        <v>3273041.7608615085</v>
      </c>
      <c r="C38" s="36">
        <f>IF(ISERROR(ROUND(B38/B17/12,2)),"",ROUND(B38/B17/12,2))</f>
        <v>19.79</v>
      </c>
      <c r="D38" s="37">
        <f>IF(ISERROR(C38*B17*12),"",C38*B17*12)</f>
        <v>3273661.8</v>
      </c>
    </row>
    <row r="39" spans="1:6" ht="12.75" customHeight="1" x14ac:dyDescent="0.25">
      <c r="A39" s="38" t="s">
        <v>15</v>
      </c>
      <c r="B39" s="39">
        <f>IF(ISERROR(B$20*E30),"",B$20*E30)</f>
        <v>1685964.214538492</v>
      </c>
      <c r="C39" s="40">
        <f>IF(ISERROR(ROUND(B39/B18,4)),"",ROUND(B39/B18,4))</f>
        <v>1.3299999999999999E-2</v>
      </c>
      <c r="D39" s="37">
        <f>IF(ISERROR(C39*B18),"",C39*B18)</f>
        <v>1684579.4231</v>
      </c>
    </row>
    <row r="40" spans="1:6" ht="12.75" customHeight="1" thickBot="1" x14ac:dyDescent="0.3">
      <c r="A40" s="41" t="s">
        <v>16</v>
      </c>
      <c r="B40" s="42">
        <f>IF(ISERROR(B38+B39),"",B38+B39)</f>
        <v>4959005.9754000008</v>
      </c>
      <c r="C40" s="43" t="s">
        <v>17</v>
      </c>
      <c r="D40" s="44">
        <f>IF(ISERROR(D38+D39),"",D38+D39)</f>
        <v>4958241.2231000001</v>
      </c>
    </row>
    <row r="41" spans="1:6" ht="12.75" customHeight="1" thickBot="1" x14ac:dyDescent="0.25">
      <c r="A41" s="4"/>
    </row>
    <row r="42" spans="1:6" ht="27" customHeight="1" x14ac:dyDescent="0.2">
      <c r="A42" s="32"/>
      <c r="B42" s="16" t="s">
        <v>23</v>
      </c>
      <c r="C42" s="45" t="s">
        <v>24</v>
      </c>
      <c r="D42" s="46" t="s">
        <v>25</v>
      </c>
      <c r="E42" s="47" t="s">
        <v>26</v>
      </c>
      <c r="F42" s="4"/>
    </row>
    <row r="43" spans="1:6" ht="12.75" customHeight="1" x14ac:dyDescent="0.25">
      <c r="A43" s="6" t="s">
        <v>14</v>
      </c>
      <c r="B43" s="48">
        <f>IF(ISERROR(((1-E29)/B35)+E29),"",((1-E29)/B35)+E29)</f>
        <v>0.77334648342806245</v>
      </c>
      <c r="C43" s="49">
        <f>IF(ISERROR(B43*B$20),"",B43*B$20)</f>
        <v>3835029.8323743395</v>
      </c>
      <c r="D43" s="36">
        <f>IF(ISERROR(ROUND(C43/B17/12,2)),"",ROUND(C43/B17/12,2))</f>
        <v>23.18</v>
      </c>
      <c r="E43" s="37">
        <f>IF(ISERROR(D43*12*B17),"",D43*12*B17)</f>
        <v>3834435.5999999996</v>
      </c>
      <c r="F43" s="4"/>
    </row>
    <row r="44" spans="1:6" ht="12.75" customHeight="1" x14ac:dyDescent="0.25">
      <c r="A44" s="38" t="s">
        <v>15</v>
      </c>
      <c r="B44" s="50">
        <f>IF(ISERROR(1-B43),"",1-B43)</f>
        <v>0.22665351657193755</v>
      </c>
      <c r="C44" s="51">
        <f>IF(ISERROR(B44*B$20),"",B44*B$20)</f>
        <v>1123976.1430256614</v>
      </c>
      <c r="D44" s="40">
        <f>IF(ISERROR(ROUND(C44/B18,4)),"",ROUND(C44/B18,4))</f>
        <v>8.8999999999999999E-3</v>
      </c>
      <c r="E44" s="52">
        <f>IF(ISERROR(D44*B18),"",D44*B18)</f>
        <v>1127274.9523</v>
      </c>
      <c r="F44" s="4"/>
    </row>
    <row r="45" spans="1:6" ht="12.75" customHeight="1" thickBot="1" x14ac:dyDescent="0.3">
      <c r="A45" s="41" t="s">
        <v>16</v>
      </c>
      <c r="B45" s="53" t="s">
        <v>17</v>
      </c>
      <c r="C45" s="27">
        <f>IF(ISERROR(SUM(C43:C44)),"",SUM(C43:C44))</f>
        <v>4959005.9754000008</v>
      </c>
      <c r="D45" s="43" t="s">
        <v>17</v>
      </c>
      <c r="E45" s="54">
        <f>IF(ISERROR(E43+E44),"",E43+E44)</f>
        <v>4961710.5522999996</v>
      </c>
    </row>
    <row r="46" spans="1:6" ht="12.75" customHeight="1" thickBot="1" x14ac:dyDescent="0.25">
      <c r="A46" s="4"/>
    </row>
    <row r="47" spans="1:6" ht="14.25" customHeight="1" x14ac:dyDescent="0.2">
      <c r="A47" s="251" t="s">
        <v>27</v>
      </c>
      <c r="B47" s="252"/>
    </row>
    <row r="48" spans="1:6" ht="12.75" customHeight="1" x14ac:dyDescent="0.25">
      <c r="A48" s="6" t="s">
        <v>28</v>
      </c>
      <c r="B48" s="37">
        <f>IF(ISERROR(D43-C38),"",D43-C38)</f>
        <v>3.3900000000000006</v>
      </c>
    </row>
    <row r="49" spans="1:6" ht="18" customHeight="1" x14ac:dyDescent="0.25">
      <c r="A49" s="253" t="s">
        <v>29</v>
      </c>
      <c r="B49" s="52">
        <f>IF(ISERROR((D43*12*B17)+(D44*B18)-B20),"",(D43*12*B17)+(D44*B18)-B20)</f>
        <v>2704.5768999988213</v>
      </c>
    </row>
    <row r="50" spans="1:6" ht="21.75" customHeight="1" thickBot="1" x14ac:dyDescent="0.3">
      <c r="A50" s="254"/>
      <c r="B50" s="55">
        <f>IF(ISERROR(B49/B20), "", B49/B20)</f>
        <v>5.4538690080539092E-4</v>
      </c>
    </row>
    <row r="51" spans="1:6" ht="12.75" customHeight="1" x14ac:dyDescent="0.2">
      <c r="A51" s="4"/>
    </row>
    <row r="52" spans="1:6" ht="12.75" customHeight="1" x14ac:dyDescent="0.2">
      <c r="A52" s="73" t="s">
        <v>30</v>
      </c>
    </row>
    <row r="54" spans="1:6" ht="12.75" customHeight="1" x14ac:dyDescent="0.2">
      <c r="A54" s="246" t="s">
        <v>31</v>
      </c>
      <c r="B54" s="246"/>
      <c r="C54" s="246"/>
      <c r="D54" s="246"/>
      <c r="E54" s="246"/>
    </row>
    <row r="55" spans="1:6" x14ac:dyDescent="0.2">
      <c r="A55" s="246"/>
      <c r="B55" s="246"/>
      <c r="C55" s="246"/>
      <c r="D55" s="246"/>
      <c r="E55" s="246"/>
    </row>
    <row r="56" spans="1:6" x14ac:dyDescent="0.2">
      <c r="B56" s="56"/>
      <c r="C56" s="56"/>
      <c r="D56" s="56"/>
      <c r="E56" s="56"/>
      <c r="F56" s="56"/>
    </row>
    <row r="57" spans="1:6" ht="12.75" customHeight="1" x14ac:dyDescent="0.2">
      <c r="A57" s="247" t="s">
        <v>32</v>
      </c>
      <c r="B57" s="247"/>
      <c r="C57" s="247"/>
      <c r="D57" s="247"/>
      <c r="E57" s="247"/>
      <c r="F57" s="56"/>
    </row>
    <row r="58" spans="1:6" x14ac:dyDescent="0.2">
      <c r="A58" s="247"/>
      <c r="B58" s="247"/>
      <c r="C58" s="247"/>
      <c r="D58" s="247"/>
      <c r="E58" s="247"/>
      <c r="F58" s="59"/>
    </row>
    <row r="59" spans="1:6" x14ac:dyDescent="0.2">
      <c r="A59" s="247"/>
      <c r="B59" s="247"/>
      <c r="C59" s="247"/>
      <c r="D59" s="247"/>
      <c r="E59" s="247"/>
      <c r="F59" s="59"/>
    </row>
    <row r="60" spans="1:6" ht="12.75" customHeight="1" x14ac:dyDescent="0.2">
      <c r="A60" s="247" t="s">
        <v>33</v>
      </c>
      <c r="B60" s="247"/>
      <c r="C60" s="247"/>
      <c r="D60" s="247"/>
      <c r="E60" s="247"/>
      <c r="F60" s="58"/>
    </row>
    <row r="61" spans="1:6" x14ac:dyDescent="0.2">
      <c r="A61" s="247"/>
      <c r="B61" s="247"/>
      <c r="C61" s="247"/>
      <c r="D61" s="247"/>
      <c r="E61" s="247"/>
    </row>
  </sheetData>
  <mergeCells count="9">
    <mergeCell ref="A54:E55"/>
    <mergeCell ref="A57:E59"/>
    <mergeCell ref="A60:E61"/>
    <mergeCell ref="A9:F9"/>
    <mergeCell ref="A10:F10"/>
    <mergeCell ref="A16:B16"/>
    <mergeCell ref="A22:B22"/>
    <mergeCell ref="A47:B47"/>
    <mergeCell ref="A49:A50"/>
  </mergeCells>
  <dataValidations count="1">
    <dataValidation allowBlank="1" showInputMessage="1" showErrorMessage="1" promptTitle="Date Format" prompt="E.g:  &quot;August 1, 2011&quot;" sqref="F7"/>
  </dataValidations>
  <pageMargins left="0.7" right="0.7" top="0.75" bottom="0.75" header="0.3" footer="0.3"/>
  <pageSetup scale="69" orientation="portrait" r:id="rId1"/>
  <headerFooter>
    <oddHeader>&amp;RFiled: 2016-10-18
EB-2016-0082
Draft Rate Order
Attachment 3
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F61"/>
  <sheetViews>
    <sheetView showGridLines="0" tabSelected="1" view="pageLayout" topLeftCell="C1" zoomScaleNormal="100" workbookViewId="0">
      <selection activeCell="L1" sqref="L1"/>
    </sheetView>
  </sheetViews>
  <sheetFormatPr defaultColWidth="9.140625" defaultRowHeight="12.75" x14ac:dyDescent="0.2"/>
  <cols>
    <col min="1" max="1" width="32" style="72" customWidth="1"/>
    <col min="2" max="2" width="21.5703125" style="72" customWidth="1"/>
    <col min="3" max="4" width="21" style="72" customWidth="1"/>
    <col min="5" max="5" width="19.7109375" style="72" customWidth="1"/>
    <col min="6" max="6" width="15" style="72" customWidth="1"/>
    <col min="7" max="16384" width="9.140625" style="72"/>
  </cols>
  <sheetData>
    <row r="1" spans="1:6" x14ac:dyDescent="0.2">
      <c r="E1" s="2"/>
      <c r="F1" s="3"/>
    </row>
    <row r="2" spans="1:6" x14ac:dyDescent="0.2">
      <c r="E2" s="2"/>
      <c r="F2" s="3"/>
    </row>
    <row r="3" spans="1:6" x14ac:dyDescent="0.2">
      <c r="E3" s="2"/>
      <c r="F3" s="3"/>
    </row>
    <row r="4" spans="1:6" x14ac:dyDescent="0.2">
      <c r="E4" s="2"/>
      <c r="F4" s="3"/>
    </row>
    <row r="5" spans="1:6" x14ac:dyDescent="0.2">
      <c r="E5" s="2"/>
      <c r="F5" s="3"/>
    </row>
    <row r="6" spans="1:6" x14ac:dyDescent="0.2">
      <c r="E6" s="2"/>
      <c r="F6" s="3"/>
    </row>
    <row r="7" spans="1:6" x14ac:dyDescent="0.2">
      <c r="E7" s="178"/>
      <c r="F7" s="179"/>
    </row>
    <row r="9" spans="1:6" ht="18" x14ac:dyDescent="0.25">
      <c r="A9" s="248" t="s">
        <v>113</v>
      </c>
      <c r="B9" s="248"/>
      <c r="C9" s="248"/>
      <c r="D9" s="248"/>
      <c r="E9" s="248"/>
      <c r="F9" s="248"/>
    </row>
    <row r="10" spans="1:6" ht="18" x14ac:dyDescent="0.25">
      <c r="A10" s="248" t="s">
        <v>0</v>
      </c>
      <c r="B10" s="248"/>
      <c r="C10" s="248"/>
      <c r="D10" s="248"/>
      <c r="E10" s="248"/>
      <c r="F10" s="248"/>
    </row>
    <row r="12" spans="1:6" x14ac:dyDescent="0.2">
      <c r="A12" s="4"/>
    </row>
    <row r="14" spans="1:6" x14ac:dyDescent="0.2">
      <c r="A14" s="73" t="s">
        <v>1</v>
      </c>
      <c r="B14" s="73"/>
    </row>
    <row r="15" spans="1:6" ht="13.5" thickBot="1" x14ac:dyDescent="0.25"/>
    <row r="16" spans="1:6" ht="18" customHeight="1" x14ac:dyDescent="0.2">
      <c r="A16" s="249" t="s">
        <v>2</v>
      </c>
      <c r="B16" s="250"/>
      <c r="C16" s="4"/>
    </row>
    <row r="17" spans="1:5" x14ac:dyDescent="0.2">
      <c r="A17" s="6" t="s">
        <v>3</v>
      </c>
      <c r="B17" s="7">
        <v>13785</v>
      </c>
      <c r="E17" s="62"/>
    </row>
    <row r="18" spans="1:5" ht="13.5" thickBot="1" x14ac:dyDescent="0.25">
      <c r="A18" s="8" t="s">
        <v>4</v>
      </c>
      <c r="B18" s="9">
        <v>126660107</v>
      </c>
      <c r="E18" s="62"/>
    </row>
    <row r="19" spans="1:5" ht="13.5" thickBot="1" x14ac:dyDescent="0.25"/>
    <row r="20" spans="1:5" ht="27.75" thickBot="1" x14ac:dyDescent="0.25">
      <c r="A20" s="10" t="s">
        <v>5</v>
      </c>
      <c r="B20" s="11">
        <f>'App.2-PA_Res_Rate_Design_18'!B20</f>
        <v>4959005.9754000008</v>
      </c>
    </row>
    <row r="21" spans="1:5" ht="13.5" thickBot="1" x14ac:dyDescent="0.25"/>
    <row r="22" spans="1:5" x14ac:dyDescent="0.2">
      <c r="A22" s="249" t="s">
        <v>6</v>
      </c>
      <c r="B22" s="250"/>
    </row>
    <row r="23" spans="1:5" x14ac:dyDescent="0.2">
      <c r="A23" s="6" t="s">
        <v>7</v>
      </c>
      <c r="B23" s="12">
        <v>12.98</v>
      </c>
    </row>
    <row r="24" spans="1:5" ht="13.5" thickBot="1" x14ac:dyDescent="0.25">
      <c r="A24" s="8" t="s">
        <v>8</v>
      </c>
      <c r="B24" s="13">
        <v>2.2200000000000001E-2</v>
      </c>
    </row>
    <row r="25" spans="1:5" x14ac:dyDescent="0.2">
      <c r="B25" s="72" t="s">
        <v>34</v>
      </c>
    </row>
    <row r="26" spans="1:5" x14ac:dyDescent="0.2">
      <c r="A26" s="73" t="s">
        <v>9</v>
      </c>
    </row>
    <row r="27" spans="1:5" ht="13.5" thickBot="1" x14ac:dyDescent="0.25"/>
    <row r="28" spans="1:5" x14ac:dyDescent="0.2">
      <c r="A28" s="14"/>
      <c r="B28" s="15" t="s">
        <v>10</v>
      </c>
      <c r="C28" s="16" t="s">
        <v>11</v>
      </c>
      <c r="D28" s="17" t="s">
        <v>12</v>
      </c>
      <c r="E28" s="60" t="s">
        <v>13</v>
      </c>
    </row>
    <row r="29" spans="1:5" ht="15" x14ac:dyDescent="0.25">
      <c r="A29" s="6" t="s">
        <v>14</v>
      </c>
      <c r="B29" s="19">
        <f>'App.2-PA_Res_Rate_Design_18'!D43</f>
        <v>23.18</v>
      </c>
      <c r="C29" s="20">
        <f>IF(B17="","",B17)</f>
        <v>13785</v>
      </c>
      <c r="D29" s="21">
        <f>IF(ISERROR(B29*C29*12),"",B29*C29*12)</f>
        <v>3834435.5999999996</v>
      </c>
      <c r="E29" s="22">
        <f>IF(ISERROR(D29/D31),"",D29/D31)</f>
        <v>0.77280517667894755</v>
      </c>
    </row>
    <row r="30" spans="1:5" ht="15" x14ac:dyDescent="0.25">
      <c r="A30" s="6" t="s">
        <v>15</v>
      </c>
      <c r="B30" s="19">
        <f>'App.2-PA_Res_Rate_Design_18'!D44</f>
        <v>8.8999999999999999E-3</v>
      </c>
      <c r="C30" s="23">
        <f>IF(B18="","",B18)</f>
        <v>126660107</v>
      </c>
      <c r="D30" s="21">
        <f>IF(ISERROR(B30*C30),"",B30*C30)</f>
        <v>1127274.9523</v>
      </c>
      <c r="E30" s="22">
        <f>IF(ISERROR(D30/D31),"",D30/D31)</f>
        <v>0.22719482332105245</v>
      </c>
    </row>
    <row r="31" spans="1:5" ht="15.75" thickBot="1" x14ac:dyDescent="0.3">
      <c r="A31" s="24" t="s">
        <v>16</v>
      </c>
      <c r="B31" s="25" t="s">
        <v>17</v>
      </c>
      <c r="C31" s="26" t="s">
        <v>17</v>
      </c>
      <c r="D31" s="27">
        <f>IF(ISERROR(D29+D30),"",D29+D30)</f>
        <v>4961710.5522999996</v>
      </c>
      <c r="E31" s="28" t="s">
        <v>17</v>
      </c>
    </row>
    <row r="32" spans="1:5" x14ac:dyDescent="0.2">
      <c r="A32" s="4"/>
    </row>
    <row r="33" spans="1:6" ht="12.75" customHeight="1" x14ac:dyDescent="0.2">
      <c r="A33" s="29" t="s">
        <v>18</v>
      </c>
    </row>
    <row r="34" spans="1:6" ht="12.75" customHeight="1" thickBot="1" x14ac:dyDescent="0.25">
      <c r="A34" s="4"/>
    </row>
    <row r="35" spans="1:6" ht="33.75" customHeight="1" thickBot="1" x14ac:dyDescent="0.25">
      <c r="A35" s="30" t="s">
        <v>19</v>
      </c>
      <c r="B35" s="31">
        <f>'App.2-PA_Res_Rate_Design_18'!B35-1</f>
        <v>2</v>
      </c>
      <c r="C35" s="4"/>
    </row>
    <row r="36" spans="1:6" ht="12.75" customHeight="1" thickBot="1" x14ac:dyDescent="0.25">
      <c r="A36" s="4"/>
    </row>
    <row r="37" spans="1:6" ht="39" customHeight="1" x14ac:dyDescent="0.2">
      <c r="A37" s="32"/>
      <c r="B37" s="33" t="s">
        <v>20</v>
      </c>
      <c r="C37" s="34" t="s">
        <v>21</v>
      </c>
      <c r="D37" s="35" t="s">
        <v>22</v>
      </c>
    </row>
    <row r="38" spans="1:6" ht="12.75" customHeight="1" x14ac:dyDescent="0.25">
      <c r="A38" s="6" t="s">
        <v>14</v>
      </c>
      <c r="B38" s="21">
        <f>IF(ISERROR(B$20*E29),"",B$20*E29)</f>
        <v>3832345.4889709544</v>
      </c>
      <c r="C38" s="36">
        <f>IF(ISERROR(ROUND(B38/B17/12,2)),"",ROUND(B38/B17/12,2))</f>
        <v>23.17</v>
      </c>
      <c r="D38" s="37">
        <f>IF(ISERROR(C38*B17*12),"",C38*B17*12)</f>
        <v>3832781.4000000004</v>
      </c>
    </row>
    <row r="39" spans="1:6" ht="12.75" customHeight="1" x14ac:dyDescent="0.25">
      <c r="A39" s="38" t="s">
        <v>15</v>
      </c>
      <c r="B39" s="39">
        <f>IF(ISERROR(B$20*E30),"",B$20*E30)</f>
        <v>1126660.4864290466</v>
      </c>
      <c r="C39" s="40">
        <f>IF(ISERROR(ROUND(B39/B18,4)),"",ROUND(B39/B18,4))</f>
        <v>8.8999999999999999E-3</v>
      </c>
      <c r="D39" s="37">
        <f>IF(ISERROR(C39*B18),"",C39*B18)</f>
        <v>1127274.9523</v>
      </c>
    </row>
    <row r="40" spans="1:6" ht="12.75" customHeight="1" thickBot="1" x14ac:dyDescent="0.3">
      <c r="A40" s="41" t="s">
        <v>16</v>
      </c>
      <c r="B40" s="42">
        <f>IF(ISERROR(B38+B39),"",B38+B39)</f>
        <v>4959005.9754000008</v>
      </c>
      <c r="C40" s="43" t="s">
        <v>17</v>
      </c>
      <c r="D40" s="44">
        <f>IF(ISERROR(D38+D39),"",D38+D39)</f>
        <v>4960056.3523000004</v>
      </c>
    </row>
    <row r="41" spans="1:6" ht="12.75" customHeight="1" thickBot="1" x14ac:dyDescent="0.25">
      <c r="A41" s="4"/>
    </row>
    <row r="42" spans="1:6" ht="27" customHeight="1" x14ac:dyDescent="0.2">
      <c r="A42" s="32"/>
      <c r="B42" s="16" t="s">
        <v>23</v>
      </c>
      <c r="C42" s="45" t="s">
        <v>24</v>
      </c>
      <c r="D42" s="46" t="s">
        <v>25</v>
      </c>
      <c r="E42" s="47" t="s">
        <v>26</v>
      </c>
      <c r="F42" s="4"/>
    </row>
    <row r="43" spans="1:6" ht="12.75" customHeight="1" x14ac:dyDescent="0.25">
      <c r="A43" s="6" t="s">
        <v>14</v>
      </c>
      <c r="B43" s="48">
        <f>IF(ISERROR(((1-E29)/B35)+E29),"",((1-E29)/B35)+E29)</f>
        <v>0.88640258833947372</v>
      </c>
      <c r="C43" s="49">
        <f>IF(ISERROR(B43*B$20),"",B43*B$20)</f>
        <v>4395675.7321854774</v>
      </c>
      <c r="D43" s="36">
        <f>IF(ISERROR(ROUND(C43/B17/12,2)),"",ROUND(C43/B17/12,2))</f>
        <v>26.57</v>
      </c>
      <c r="E43" s="37">
        <f>IF(ISERROR(D43*12*B17),"",D43*12*B17)</f>
        <v>4395209.4000000004</v>
      </c>
      <c r="F43" s="4"/>
    </row>
    <row r="44" spans="1:6" ht="12.75" customHeight="1" x14ac:dyDescent="0.25">
      <c r="A44" s="38" t="s">
        <v>15</v>
      </c>
      <c r="B44" s="50">
        <f>IF(ISERROR(1-B43),"",1-B43)</f>
        <v>0.11359741166052628</v>
      </c>
      <c r="C44" s="51">
        <f>IF(ISERROR(B44*B$20),"",B44*B$20)</f>
        <v>563330.24321452354</v>
      </c>
      <c r="D44" s="40">
        <f>IF(ISERROR(ROUND(C44/B18,4)),"",ROUND(C44/B18,4))</f>
        <v>4.4000000000000003E-3</v>
      </c>
      <c r="E44" s="52">
        <f>IF(ISERROR(D44*B18),"",D44*B18)</f>
        <v>557304.47080000001</v>
      </c>
      <c r="F44" s="4"/>
    </row>
    <row r="45" spans="1:6" ht="12.75" customHeight="1" thickBot="1" x14ac:dyDescent="0.3">
      <c r="A45" s="41" t="s">
        <v>16</v>
      </c>
      <c r="B45" s="53" t="s">
        <v>17</v>
      </c>
      <c r="C45" s="27">
        <f>IF(ISERROR(SUM(C43:C44)),"",SUM(C43:C44))</f>
        <v>4959005.9754000008</v>
      </c>
      <c r="D45" s="43" t="s">
        <v>17</v>
      </c>
      <c r="E45" s="54">
        <f>IF(ISERROR(E43+E44),"",E43+E44)</f>
        <v>4952513.8708000006</v>
      </c>
    </row>
    <row r="46" spans="1:6" ht="12.75" customHeight="1" thickBot="1" x14ac:dyDescent="0.25">
      <c r="A46" s="4"/>
    </row>
    <row r="47" spans="1:6" ht="14.25" customHeight="1" x14ac:dyDescent="0.2">
      <c r="A47" s="251" t="s">
        <v>27</v>
      </c>
      <c r="B47" s="252"/>
    </row>
    <row r="48" spans="1:6" ht="12.75" customHeight="1" x14ac:dyDescent="0.25">
      <c r="A48" s="6" t="s">
        <v>28</v>
      </c>
      <c r="B48" s="37">
        <f>IF(ISERROR(D43-C38),"",D43-C38)</f>
        <v>3.3999999999999986</v>
      </c>
    </row>
    <row r="49" spans="1:6" ht="18" customHeight="1" x14ac:dyDescent="0.25">
      <c r="A49" s="253" t="s">
        <v>29</v>
      </c>
      <c r="B49" s="52">
        <f>IF(ISERROR((D43*12*B17)+(D44*B18)-B20),"",(D43*12*B17)+(D44*B18)-B20)</f>
        <v>-6492.1046000001952</v>
      </c>
    </row>
    <row r="50" spans="1:6" ht="21.75" customHeight="1" thickBot="1" x14ac:dyDescent="0.3">
      <c r="A50" s="254"/>
      <c r="B50" s="55">
        <f>IF(ISERROR(B49/B20), "", B49/B20)</f>
        <v>-1.3091544217138258E-3</v>
      </c>
    </row>
    <row r="51" spans="1:6" ht="12.75" customHeight="1" x14ac:dyDescent="0.2">
      <c r="A51" s="4"/>
    </row>
    <row r="52" spans="1:6" ht="12.75" customHeight="1" x14ac:dyDescent="0.2">
      <c r="A52" s="73" t="s">
        <v>30</v>
      </c>
    </row>
    <row r="54" spans="1:6" ht="12.75" customHeight="1" x14ac:dyDescent="0.2">
      <c r="A54" s="246" t="s">
        <v>31</v>
      </c>
      <c r="B54" s="246"/>
      <c r="C54" s="246"/>
      <c r="D54" s="246"/>
      <c r="E54" s="246"/>
    </row>
    <row r="55" spans="1:6" x14ac:dyDescent="0.2">
      <c r="A55" s="246"/>
      <c r="B55" s="246"/>
      <c r="C55" s="246"/>
      <c r="D55" s="246"/>
      <c r="E55" s="246"/>
    </row>
    <row r="56" spans="1:6" x14ac:dyDescent="0.2">
      <c r="B56" s="56"/>
      <c r="C56" s="56"/>
      <c r="D56" s="56"/>
      <c r="E56" s="56"/>
      <c r="F56" s="56"/>
    </row>
    <row r="57" spans="1:6" ht="12.75" customHeight="1" x14ac:dyDescent="0.2">
      <c r="A57" s="247" t="s">
        <v>32</v>
      </c>
      <c r="B57" s="247"/>
      <c r="C57" s="247"/>
      <c r="D57" s="247"/>
      <c r="E57" s="247"/>
      <c r="F57" s="56"/>
    </row>
    <row r="58" spans="1:6" x14ac:dyDescent="0.2">
      <c r="A58" s="247"/>
      <c r="B58" s="247"/>
      <c r="C58" s="247"/>
      <c r="D58" s="247"/>
      <c r="E58" s="247"/>
      <c r="F58" s="59"/>
    </row>
    <row r="59" spans="1:6" x14ac:dyDescent="0.2">
      <c r="A59" s="247"/>
      <c r="B59" s="247"/>
      <c r="C59" s="247"/>
      <c r="D59" s="247"/>
      <c r="E59" s="247"/>
      <c r="F59" s="59"/>
    </row>
    <row r="60" spans="1:6" ht="12.75" customHeight="1" x14ac:dyDescent="0.2">
      <c r="A60" s="247" t="s">
        <v>33</v>
      </c>
      <c r="B60" s="247"/>
      <c r="C60" s="247"/>
      <c r="D60" s="247"/>
      <c r="E60" s="247"/>
      <c r="F60" s="58"/>
    </row>
    <row r="61" spans="1:6" x14ac:dyDescent="0.2">
      <c r="A61" s="247"/>
      <c r="B61" s="247"/>
      <c r="C61" s="247"/>
      <c r="D61" s="247"/>
      <c r="E61" s="247"/>
    </row>
  </sheetData>
  <mergeCells count="9">
    <mergeCell ref="A54:E55"/>
    <mergeCell ref="A57:E59"/>
    <mergeCell ref="A60:E61"/>
    <mergeCell ref="A9:F9"/>
    <mergeCell ref="A10:F10"/>
    <mergeCell ref="A16:B16"/>
    <mergeCell ref="A22:B22"/>
    <mergeCell ref="A47:B47"/>
    <mergeCell ref="A49:A50"/>
  </mergeCells>
  <dataValidations count="1">
    <dataValidation allowBlank="1" showInputMessage="1" showErrorMessage="1" promptTitle="Date Format" prompt="E.g:  &quot;August 1, 2011&quot;" sqref="F7"/>
  </dataValidations>
  <pageMargins left="0.7" right="0.7" top="0.75" bottom="0.75" header="0.3" footer="0.3"/>
  <pageSetup scale="69" orientation="portrait" r:id="rId1"/>
  <headerFooter>
    <oddHeader>&amp;RFiled: 2016-10-18
EB-2016-0082
Draft Rate Order
Attachment 3
Page &amp;P of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F61"/>
  <sheetViews>
    <sheetView showGridLines="0" tabSelected="1" view="pageLayout" topLeftCell="C1" zoomScaleNormal="100" workbookViewId="0">
      <selection activeCell="L1" sqref="L1"/>
    </sheetView>
  </sheetViews>
  <sheetFormatPr defaultColWidth="9.140625" defaultRowHeight="12.75" x14ac:dyDescent="0.2"/>
  <cols>
    <col min="1" max="1" width="32" style="72" customWidth="1"/>
    <col min="2" max="2" width="21.5703125" style="72" customWidth="1"/>
    <col min="3" max="4" width="21" style="72" customWidth="1"/>
    <col min="5" max="5" width="19.7109375" style="72" customWidth="1"/>
    <col min="6" max="6" width="15" style="72" customWidth="1"/>
    <col min="7" max="16384" width="9.140625" style="72"/>
  </cols>
  <sheetData>
    <row r="1" spans="1:6" x14ac:dyDescent="0.2">
      <c r="E1" s="2"/>
      <c r="F1" s="3"/>
    </row>
    <row r="2" spans="1:6" x14ac:dyDescent="0.2">
      <c r="E2" s="2"/>
      <c r="F2" s="3"/>
    </row>
    <row r="3" spans="1:6" x14ac:dyDescent="0.2">
      <c r="E3" s="2"/>
      <c r="F3" s="3"/>
    </row>
    <row r="4" spans="1:6" x14ac:dyDescent="0.2">
      <c r="E4" s="2"/>
      <c r="F4" s="3"/>
    </row>
    <row r="5" spans="1:6" x14ac:dyDescent="0.2">
      <c r="E5" s="2"/>
      <c r="F5" s="3"/>
    </row>
    <row r="6" spans="1:6" x14ac:dyDescent="0.2">
      <c r="E6" s="2"/>
      <c r="F6" s="3"/>
    </row>
    <row r="7" spans="1:6" x14ac:dyDescent="0.2">
      <c r="E7" s="178"/>
      <c r="F7" s="179"/>
    </row>
    <row r="9" spans="1:6" ht="18" x14ac:dyDescent="0.25">
      <c r="A9" s="248" t="s">
        <v>114</v>
      </c>
      <c r="B9" s="248"/>
      <c r="C9" s="248"/>
      <c r="D9" s="248"/>
      <c r="E9" s="248"/>
      <c r="F9" s="248"/>
    </row>
    <row r="10" spans="1:6" ht="18" x14ac:dyDescent="0.25">
      <c r="A10" s="248" t="s">
        <v>0</v>
      </c>
      <c r="B10" s="248"/>
      <c r="C10" s="248"/>
      <c r="D10" s="248"/>
      <c r="E10" s="248"/>
      <c r="F10" s="248"/>
    </row>
    <row r="12" spans="1:6" x14ac:dyDescent="0.2">
      <c r="A12" s="4"/>
    </row>
    <row r="14" spans="1:6" x14ac:dyDescent="0.2">
      <c r="A14" s="73" t="s">
        <v>1</v>
      </c>
      <c r="B14" s="73"/>
    </row>
    <row r="15" spans="1:6" ht="13.5" thickBot="1" x14ac:dyDescent="0.25"/>
    <row r="16" spans="1:6" ht="18" customHeight="1" x14ac:dyDescent="0.2">
      <c r="A16" s="249" t="s">
        <v>2</v>
      </c>
      <c r="B16" s="250"/>
      <c r="C16" s="4"/>
    </row>
    <row r="17" spans="1:5" x14ac:dyDescent="0.2">
      <c r="A17" s="6" t="s">
        <v>3</v>
      </c>
      <c r="B17" s="7">
        <v>13785</v>
      </c>
      <c r="E17" s="62"/>
    </row>
    <row r="18" spans="1:5" ht="13.5" thickBot="1" x14ac:dyDescent="0.25">
      <c r="A18" s="8" t="s">
        <v>4</v>
      </c>
      <c r="B18" s="9">
        <v>126660107</v>
      </c>
      <c r="E18" s="62"/>
    </row>
    <row r="19" spans="1:5" ht="13.5" thickBot="1" x14ac:dyDescent="0.25"/>
    <row r="20" spans="1:5" ht="27.75" thickBot="1" x14ac:dyDescent="0.25">
      <c r="A20" s="10" t="s">
        <v>5</v>
      </c>
      <c r="B20" s="11">
        <f>'App.2-PA_Res_Rate_Design_19'!B20</f>
        <v>4959005.9754000008</v>
      </c>
    </row>
    <row r="21" spans="1:5" ht="13.5" thickBot="1" x14ac:dyDescent="0.25"/>
    <row r="22" spans="1:5" x14ac:dyDescent="0.2">
      <c r="A22" s="249" t="s">
        <v>6</v>
      </c>
      <c r="B22" s="250"/>
    </row>
    <row r="23" spans="1:5" x14ac:dyDescent="0.2">
      <c r="A23" s="6" t="s">
        <v>7</v>
      </c>
      <c r="B23" s="12">
        <v>12.98</v>
      </c>
    </row>
    <row r="24" spans="1:5" ht="13.5" thickBot="1" x14ac:dyDescent="0.25">
      <c r="A24" s="8" t="s">
        <v>8</v>
      </c>
      <c r="B24" s="13">
        <v>2.2200000000000001E-2</v>
      </c>
    </row>
    <row r="25" spans="1:5" x14ac:dyDescent="0.2">
      <c r="B25" s="72" t="s">
        <v>34</v>
      </c>
    </row>
    <row r="26" spans="1:5" x14ac:dyDescent="0.2">
      <c r="A26" s="73" t="s">
        <v>9</v>
      </c>
    </row>
    <row r="27" spans="1:5" ht="13.5" thickBot="1" x14ac:dyDescent="0.25"/>
    <row r="28" spans="1:5" x14ac:dyDescent="0.2">
      <c r="A28" s="14"/>
      <c r="B28" s="15" t="s">
        <v>10</v>
      </c>
      <c r="C28" s="16" t="s">
        <v>11</v>
      </c>
      <c r="D28" s="17" t="s">
        <v>12</v>
      </c>
      <c r="E28" s="60" t="s">
        <v>13</v>
      </c>
    </row>
    <row r="29" spans="1:5" ht="15" x14ac:dyDescent="0.25">
      <c r="A29" s="6" t="s">
        <v>14</v>
      </c>
      <c r="B29" s="19">
        <f>'App.2-PA_Res_Rate_Design_19'!D43</f>
        <v>26.57</v>
      </c>
      <c r="C29" s="20">
        <f>IF(B17="","",B17)</f>
        <v>13785</v>
      </c>
      <c r="D29" s="21">
        <f>IF(ISERROR(B29*C29*12),"",B29*C29*12)</f>
        <v>4395209.4000000004</v>
      </c>
      <c r="E29" s="22">
        <f>IF(ISERROR(D29/D31),"",D29/D31)</f>
        <v>0.8874703866886946</v>
      </c>
    </row>
    <row r="30" spans="1:5" ht="15" x14ac:dyDescent="0.25">
      <c r="A30" s="6" t="s">
        <v>15</v>
      </c>
      <c r="B30" s="19">
        <f>'App.2-PA_Res_Rate_Design_19'!D44</f>
        <v>4.4000000000000003E-3</v>
      </c>
      <c r="C30" s="23">
        <f>IF(B18="","",B18)</f>
        <v>126660107</v>
      </c>
      <c r="D30" s="21">
        <f>IF(ISERROR(B30*C30),"",B30*C30)</f>
        <v>557304.47080000001</v>
      </c>
      <c r="E30" s="22">
        <f>IF(ISERROR(D30/D31),"",D30/D31)</f>
        <v>0.11252961331130533</v>
      </c>
    </row>
    <row r="31" spans="1:5" ht="15.75" thickBot="1" x14ac:dyDescent="0.3">
      <c r="A31" s="24" t="s">
        <v>16</v>
      </c>
      <c r="B31" s="25" t="s">
        <v>17</v>
      </c>
      <c r="C31" s="26" t="s">
        <v>17</v>
      </c>
      <c r="D31" s="27">
        <f>IF(ISERROR(D29+D30),"",D29+D30)</f>
        <v>4952513.8708000006</v>
      </c>
      <c r="E31" s="28" t="s">
        <v>17</v>
      </c>
    </row>
    <row r="32" spans="1:5" x14ac:dyDescent="0.2">
      <c r="A32" s="4"/>
    </row>
    <row r="33" spans="1:6" ht="12.75" customHeight="1" x14ac:dyDescent="0.2">
      <c r="A33" s="29" t="s">
        <v>18</v>
      </c>
    </row>
    <row r="34" spans="1:6" ht="12.75" customHeight="1" thickBot="1" x14ac:dyDescent="0.25">
      <c r="A34" s="4"/>
    </row>
    <row r="35" spans="1:6" ht="33.75" customHeight="1" thickBot="1" x14ac:dyDescent="0.25">
      <c r="A35" s="30" t="s">
        <v>19</v>
      </c>
      <c r="B35" s="31">
        <f>'App.2-PA_Res_Rate_Design_19'!B35-1</f>
        <v>1</v>
      </c>
      <c r="C35" s="4"/>
    </row>
    <row r="36" spans="1:6" ht="12.75" customHeight="1" thickBot="1" x14ac:dyDescent="0.25">
      <c r="A36" s="4"/>
    </row>
    <row r="37" spans="1:6" ht="39" customHeight="1" x14ac:dyDescent="0.2">
      <c r="A37" s="32"/>
      <c r="B37" s="33" t="s">
        <v>20</v>
      </c>
      <c r="C37" s="34" t="s">
        <v>21</v>
      </c>
      <c r="D37" s="35" t="s">
        <v>22</v>
      </c>
    </row>
    <row r="38" spans="1:6" ht="12.75" customHeight="1" x14ac:dyDescent="0.25">
      <c r="A38" s="6" t="s">
        <v>14</v>
      </c>
      <c r="B38" s="21">
        <f>IF(ISERROR(B$20*E29),"",B$20*E29)</f>
        <v>4400970.9505797857</v>
      </c>
      <c r="C38" s="36">
        <f>IF(ISERROR(ROUND(B38/B17/12,2)),"",ROUND(B38/B17/12,2))</f>
        <v>26.6</v>
      </c>
      <c r="D38" s="37">
        <f>IF(ISERROR(C38*B17*12),"",C38*B17*12)</f>
        <v>4400172</v>
      </c>
    </row>
    <row r="39" spans="1:6" ht="12.75" customHeight="1" x14ac:dyDescent="0.25">
      <c r="A39" s="38" t="s">
        <v>15</v>
      </c>
      <c r="B39" s="39">
        <f>IF(ISERROR(B$20*E30),"",B$20*E30)</f>
        <v>558035.0248202146</v>
      </c>
      <c r="C39" s="40">
        <f>IF(ISERROR(ROUND(B39/B18,4)),"",ROUND(B39/B18,4))</f>
        <v>4.4000000000000003E-3</v>
      </c>
      <c r="D39" s="37">
        <f>IF(ISERROR(C39*B18),"",C39*B18)</f>
        <v>557304.47080000001</v>
      </c>
    </row>
    <row r="40" spans="1:6" ht="12.75" customHeight="1" thickBot="1" x14ac:dyDescent="0.3">
      <c r="A40" s="41" t="s">
        <v>16</v>
      </c>
      <c r="B40" s="42">
        <f>IF(ISERROR(B38+B39),"",B38+B39)</f>
        <v>4959005.9754000008</v>
      </c>
      <c r="C40" s="43" t="s">
        <v>17</v>
      </c>
      <c r="D40" s="44">
        <f>IF(ISERROR(D38+D39),"",D38+D39)</f>
        <v>4957476.4708000002</v>
      </c>
    </row>
    <row r="41" spans="1:6" ht="12.75" customHeight="1" thickBot="1" x14ac:dyDescent="0.25">
      <c r="A41" s="4"/>
    </row>
    <row r="42" spans="1:6" ht="27" customHeight="1" x14ac:dyDescent="0.2">
      <c r="A42" s="32"/>
      <c r="B42" s="16" t="s">
        <v>23</v>
      </c>
      <c r="C42" s="45" t="s">
        <v>24</v>
      </c>
      <c r="D42" s="46" t="s">
        <v>25</v>
      </c>
      <c r="E42" s="47" t="s">
        <v>26</v>
      </c>
      <c r="F42" s="4"/>
    </row>
    <row r="43" spans="1:6" ht="12.75" customHeight="1" x14ac:dyDescent="0.25">
      <c r="A43" s="6" t="s">
        <v>14</v>
      </c>
      <c r="B43" s="48">
        <f>IF(ISERROR(((1-E29)/B35)+E29),"",((1-E29)/B35)+E29)</f>
        <v>1</v>
      </c>
      <c r="C43" s="49">
        <f>IF(ISERROR(B43*B$20),"",B43*B$20)</f>
        <v>4959005.9754000008</v>
      </c>
      <c r="D43" s="36">
        <f>IF(ISERROR(ROUND(C43/B17/12,2)),"",ROUND(C43/B17/12,2))</f>
        <v>29.98</v>
      </c>
      <c r="E43" s="37">
        <f>IF(ISERROR(D43*12*B17),"",D43*12*B17)</f>
        <v>4959291.5999999996</v>
      </c>
      <c r="F43" s="4"/>
    </row>
    <row r="44" spans="1:6" ht="12.75" customHeight="1" x14ac:dyDescent="0.25">
      <c r="A44" s="38" t="s">
        <v>15</v>
      </c>
      <c r="B44" s="50">
        <f>IF(ISERROR(1-B43),"",1-B43)</f>
        <v>0</v>
      </c>
      <c r="C44" s="51">
        <f>IF(ISERROR(B44*B$20),"",B44*B$20)</f>
        <v>0</v>
      </c>
      <c r="D44" s="40">
        <f>IF(ISERROR(ROUND(C44/B18,4)),"",ROUND(C44/B18,4))</f>
        <v>0</v>
      </c>
      <c r="E44" s="52">
        <f>IF(ISERROR(D44*B18),"",D44*B18)</f>
        <v>0</v>
      </c>
      <c r="F44" s="4"/>
    </row>
    <row r="45" spans="1:6" ht="12.75" customHeight="1" thickBot="1" x14ac:dyDescent="0.3">
      <c r="A45" s="41" t="s">
        <v>16</v>
      </c>
      <c r="B45" s="53" t="s">
        <v>17</v>
      </c>
      <c r="C45" s="27">
        <f>IF(ISERROR(SUM(C43:C44)),"",SUM(C43:C44))</f>
        <v>4959005.9754000008</v>
      </c>
      <c r="D45" s="43" t="s">
        <v>17</v>
      </c>
      <c r="E45" s="54">
        <f>IF(ISERROR(E43+E44),"",E43+E44)</f>
        <v>4959291.5999999996</v>
      </c>
    </row>
    <row r="46" spans="1:6" ht="12.75" customHeight="1" thickBot="1" x14ac:dyDescent="0.25">
      <c r="A46" s="4"/>
    </row>
    <row r="47" spans="1:6" ht="14.25" customHeight="1" x14ac:dyDescent="0.2">
      <c r="A47" s="251" t="s">
        <v>27</v>
      </c>
      <c r="B47" s="252"/>
    </row>
    <row r="48" spans="1:6" ht="12.75" customHeight="1" x14ac:dyDescent="0.25">
      <c r="A48" s="6" t="s">
        <v>28</v>
      </c>
      <c r="B48" s="37">
        <f>IF(ISERROR(D43-C38),"",D43-C38)</f>
        <v>3.379999999999999</v>
      </c>
    </row>
    <row r="49" spans="1:6" ht="18" customHeight="1" x14ac:dyDescent="0.25">
      <c r="A49" s="253" t="s">
        <v>29</v>
      </c>
      <c r="B49" s="52">
        <f>IF(ISERROR((D43*12*B17)+(D44*B18)-B20),"",(D43*12*B17)+(D44*B18)-B20)</f>
        <v>285.62459999881685</v>
      </c>
    </row>
    <row r="50" spans="1:6" ht="21.75" customHeight="1" thickBot="1" x14ac:dyDescent="0.3">
      <c r="A50" s="254"/>
      <c r="B50" s="55">
        <f>IF(ISERROR(B49/B20), "", B49/B20)</f>
        <v>5.7597147778346435E-5</v>
      </c>
    </row>
    <row r="51" spans="1:6" ht="12.75" customHeight="1" x14ac:dyDescent="0.2">
      <c r="A51" s="4"/>
    </row>
    <row r="52" spans="1:6" ht="12.75" customHeight="1" x14ac:dyDescent="0.2">
      <c r="A52" s="73" t="s">
        <v>30</v>
      </c>
    </row>
    <row r="54" spans="1:6" ht="12.75" customHeight="1" x14ac:dyDescent="0.2">
      <c r="A54" s="246" t="s">
        <v>31</v>
      </c>
      <c r="B54" s="246"/>
      <c r="C54" s="246"/>
      <c r="D54" s="246"/>
      <c r="E54" s="246"/>
    </row>
    <row r="55" spans="1:6" x14ac:dyDescent="0.2">
      <c r="A55" s="246"/>
      <c r="B55" s="246"/>
      <c r="C55" s="246"/>
      <c r="D55" s="246"/>
      <c r="E55" s="246"/>
    </row>
    <row r="56" spans="1:6" x14ac:dyDescent="0.2">
      <c r="B56" s="56"/>
      <c r="C56" s="56"/>
      <c r="D56" s="56"/>
      <c r="E56" s="56"/>
      <c r="F56" s="56"/>
    </row>
    <row r="57" spans="1:6" ht="12.75" customHeight="1" x14ac:dyDescent="0.2">
      <c r="A57" s="247" t="s">
        <v>32</v>
      </c>
      <c r="B57" s="247"/>
      <c r="C57" s="247"/>
      <c r="D57" s="247"/>
      <c r="E57" s="247"/>
      <c r="F57" s="56"/>
    </row>
    <row r="58" spans="1:6" x14ac:dyDescent="0.2">
      <c r="A58" s="247"/>
      <c r="B58" s="247"/>
      <c r="C58" s="247"/>
      <c r="D58" s="247"/>
      <c r="E58" s="247"/>
      <c r="F58" s="59"/>
    </row>
    <row r="59" spans="1:6" x14ac:dyDescent="0.2">
      <c r="A59" s="247"/>
      <c r="B59" s="247"/>
      <c r="C59" s="247"/>
      <c r="D59" s="247"/>
      <c r="E59" s="247"/>
      <c r="F59" s="59"/>
    </row>
    <row r="60" spans="1:6" ht="12.75" customHeight="1" x14ac:dyDescent="0.2">
      <c r="A60" s="247" t="s">
        <v>33</v>
      </c>
      <c r="B60" s="247"/>
      <c r="C60" s="247"/>
      <c r="D60" s="247"/>
      <c r="E60" s="247"/>
      <c r="F60" s="58"/>
    </row>
    <row r="61" spans="1:6" x14ac:dyDescent="0.2">
      <c r="A61" s="247"/>
      <c r="B61" s="247"/>
      <c r="C61" s="247"/>
      <c r="D61" s="247"/>
      <c r="E61" s="247"/>
    </row>
  </sheetData>
  <mergeCells count="9">
    <mergeCell ref="A54:E55"/>
    <mergeCell ref="A57:E59"/>
    <mergeCell ref="A60:E61"/>
    <mergeCell ref="A9:F9"/>
    <mergeCell ref="A10:F10"/>
    <mergeCell ref="A16:B16"/>
    <mergeCell ref="A22:B22"/>
    <mergeCell ref="A47:B47"/>
    <mergeCell ref="A49:A50"/>
  </mergeCells>
  <dataValidations disablePrompts="1" count="1">
    <dataValidation allowBlank="1" showInputMessage="1" showErrorMessage="1" promptTitle="Date Format" prompt="E.g:  &quot;August 1, 2011&quot;" sqref="F7"/>
  </dataValidations>
  <pageMargins left="0.7" right="0.7" top="0.75" bottom="0.75" header="0.3" footer="0.3"/>
  <pageSetup scale="69" orientation="portrait" r:id="rId1"/>
  <headerFooter>
    <oddHeader>&amp;RFiled: 2016-10-18
EB-2016-0082
Draft Rate Order
Attachment 3
Page &amp;P of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112"/>
  <sheetViews>
    <sheetView showGridLines="0" tabSelected="1" view="pageLayout" topLeftCell="B1" zoomScaleNormal="90" workbookViewId="0">
      <selection activeCell="L1" sqref="L1"/>
    </sheetView>
  </sheetViews>
  <sheetFormatPr defaultColWidth="9.140625" defaultRowHeight="15" x14ac:dyDescent="0.25"/>
  <cols>
    <col min="1" max="1" width="73.85546875" style="232" bestFit="1" customWidth="1"/>
    <col min="2" max="2" width="8.85546875" style="232" bestFit="1" customWidth="1"/>
    <col min="3" max="3" width="10.5703125" style="232" bestFit="1" customWidth="1"/>
    <col min="4" max="4" width="8.42578125" style="232" bestFit="1" customWidth="1"/>
    <col min="5" max="5" width="11.5703125" style="186" bestFit="1" customWidth="1"/>
    <col min="6" max="6" width="8.85546875" style="186" customWidth="1"/>
    <col min="7" max="7" width="10.5703125" style="186" bestFit="1" customWidth="1"/>
    <col min="8" max="8" width="8.42578125" style="186" bestFit="1" customWidth="1"/>
    <col min="9" max="9" width="11.5703125" style="186" bestFit="1" customWidth="1"/>
    <col min="10" max="10" width="8.85546875" style="186" customWidth="1"/>
    <col min="11" max="11" width="8.85546875" style="186" bestFit="1" customWidth="1"/>
    <col min="12" max="12" width="11" style="186" customWidth="1"/>
    <col min="13" max="16384" width="9.140625" style="186"/>
  </cols>
  <sheetData>
    <row r="1" spans="1:12" s="183" customFormat="1" x14ac:dyDescent="0.25">
      <c r="E1" s="184"/>
      <c r="L1" s="185"/>
    </row>
    <row r="2" spans="1:12" s="183" customFormat="1" x14ac:dyDescent="0.25">
      <c r="E2" s="184"/>
      <c r="L2" s="185"/>
    </row>
    <row r="3" spans="1:12" s="183" customFormat="1" x14ac:dyDescent="0.25">
      <c r="E3" s="184"/>
      <c r="L3" s="185"/>
    </row>
    <row r="4" spans="1:12" s="183" customFormat="1" x14ac:dyDescent="0.25">
      <c r="E4" s="184"/>
      <c r="L4" s="185"/>
    </row>
    <row r="5" spans="1:12" s="183" customFormat="1" x14ac:dyDescent="0.25">
      <c r="E5" s="184"/>
      <c r="L5" s="242"/>
    </row>
    <row r="6" spans="1:12" s="183" customFormat="1" ht="14.25" x14ac:dyDescent="0.2"/>
    <row r="7" spans="1:12" x14ac:dyDescent="0.25">
      <c r="A7" s="229" t="s">
        <v>97</v>
      </c>
      <c r="B7" s="230"/>
      <c r="C7" s="231"/>
    </row>
    <row r="8" spans="1:12" hidden="1" x14ac:dyDescent="0.25">
      <c r="A8" s="233"/>
      <c r="B8" s="234"/>
      <c r="C8" s="235"/>
    </row>
    <row r="9" spans="1:12" x14ac:dyDescent="0.25">
      <c r="A9" s="233" t="s">
        <v>66</v>
      </c>
      <c r="B9" s="234"/>
      <c r="C9" s="236">
        <v>285</v>
      </c>
    </row>
    <row r="10" spans="1:12" x14ac:dyDescent="0.25">
      <c r="A10" s="237" t="s">
        <v>65</v>
      </c>
      <c r="B10" s="238"/>
      <c r="C10" s="239">
        <v>1.0430999999999999</v>
      </c>
    </row>
    <row r="12" spans="1:12" x14ac:dyDescent="0.25">
      <c r="A12" s="187"/>
      <c r="B12" s="188"/>
      <c r="C12" s="255" t="s">
        <v>37</v>
      </c>
      <c r="D12" s="256"/>
      <c r="E12" s="257"/>
      <c r="F12" s="187"/>
      <c r="G12" s="255" t="s">
        <v>59</v>
      </c>
      <c r="H12" s="256"/>
      <c r="I12" s="257"/>
      <c r="J12" s="187"/>
      <c r="K12" s="255" t="s">
        <v>39</v>
      </c>
      <c r="L12" s="257"/>
    </row>
    <row r="13" spans="1:12" ht="30" x14ac:dyDescent="0.25">
      <c r="A13" s="187"/>
      <c r="B13" s="189"/>
      <c r="C13" s="190" t="s">
        <v>108</v>
      </c>
      <c r="D13" s="190" t="s">
        <v>35</v>
      </c>
      <c r="E13" s="191" t="s">
        <v>109</v>
      </c>
      <c r="F13" s="219"/>
      <c r="G13" s="190" t="s">
        <v>108</v>
      </c>
      <c r="H13" s="190" t="s">
        <v>35</v>
      </c>
      <c r="I13" s="191" t="s">
        <v>109</v>
      </c>
      <c r="J13" s="219"/>
      <c r="K13" s="220" t="s">
        <v>109</v>
      </c>
      <c r="L13" s="221" t="s">
        <v>41</v>
      </c>
    </row>
    <row r="14" spans="1:12" x14ac:dyDescent="0.25">
      <c r="A14" s="194" t="s">
        <v>36</v>
      </c>
      <c r="B14" s="195" t="s">
        <v>61</v>
      </c>
      <c r="C14" s="67">
        <v>12.98</v>
      </c>
      <c r="D14" s="109">
        <v>1</v>
      </c>
      <c r="E14" s="67">
        <f>C14*D14</f>
        <v>12.98</v>
      </c>
      <c r="F14" s="75"/>
      <c r="G14" s="67">
        <f>'App.2-PA_Res_Rate_Design_16'!D43</f>
        <v>16.38</v>
      </c>
      <c r="H14" s="109">
        <v>1</v>
      </c>
      <c r="I14" s="67">
        <f>G14*H14</f>
        <v>16.38</v>
      </c>
      <c r="J14" s="75"/>
      <c r="K14" s="67">
        <f>I14-E14</f>
        <v>3.3999999999999986</v>
      </c>
      <c r="L14" s="96">
        <f t="shared" ref="L14:L36" si="0">IF(I14-E14=0, " 0.00%", I14/E14-1)</f>
        <v>0.2619414483821263</v>
      </c>
    </row>
    <row r="15" spans="1:12" x14ac:dyDescent="0.25">
      <c r="A15" s="196" t="s">
        <v>60</v>
      </c>
      <c r="B15" s="197" t="s">
        <v>61</v>
      </c>
      <c r="C15" s="67">
        <v>-0.13</v>
      </c>
      <c r="D15" s="109">
        <v>1</v>
      </c>
      <c r="E15" s="67">
        <f t="shared" ref="E15:E32" si="1">C15*D15</f>
        <v>-0.13</v>
      </c>
      <c r="F15" s="75"/>
      <c r="G15" s="67">
        <f>-G14*0.01</f>
        <v>-0.1638</v>
      </c>
      <c r="H15" s="109">
        <v>1</v>
      </c>
      <c r="I15" s="67">
        <f t="shared" ref="I15:I19" si="2">G15*H15</f>
        <v>-0.1638</v>
      </c>
      <c r="J15" s="86"/>
      <c r="K15" s="67">
        <f t="shared" ref="K15:K19" si="3">I15-E15</f>
        <v>-3.3799999999999997E-2</v>
      </c>
      <c r="L15" s="96">
        <f t="shared" si="0"/>
        <v>0.26</v>
      </c>
    </row>
    <row r="16" spans="1:12" x14ac:dyDescent="0.25">
      <c r="A16" s="196" t="s">
        <v>63</v>
      </c>
      <c r="B16" s="197" t="s">
        <v>61</v>
      </c>
      <c r="C16" s="67">
        <v>0.64</v>
      </c>
      <c r="D16" s="109">
        <v>1</v>
      </c>
      <c r="E16" s="67">
        <f t="shared" si="1"/>
        <v>0.64</v>
      </c>
      <c r="F16" s="75"/>
      <c r="G16" s="67">
        <v>0.64</v>
      </c>
      <c r="H16" s="109">
        <v>1</v>
      </c>
      <c r="I16" s="67">
        <f t="shared" si="2"/>
        <v>0.64</v>
      </c>
      <c r="J16" s="86"/>
      <c r="K16" s="67">
        <f t="shared" si="3"/>
        <v>0</v>
      </c>
      <c r="L16" s="96" t="str">
        <f t="shared" si="0"/>
        <v xml:space="preserve"> 0.00%</v>
      </c>
    </row>
    <row r="17" spans="1:12" x14ac:dyDescent="0.25">
      <c r="A17" s="196" t="s">
        <v>42</v>
      </c>
      <c r="B17" s="197" t="s">
        <v>62</v>
      </c>
      <c r="C17" s="70">
        <v>2.2200000000000001E-2</v>
      </c>
      <c r="D17" s="76">
        <f>$C$9</f>
        <v>285</v>
      </c>
      <c r="E17" s="67">
        <f t="shared" si="1"/>
        <v>6.327</v>
      </c>
      <c r="F17" s="75"/>
      <c r="G17" s="70">
        <f>'App.2-PA_Res_Rate_Design_16'!D44</f>
        <v>1.78E-2</v>
      </c>
      <c r="H17" s="76">
        <f>$C$9</f>
        <v>285</v>
      </c>
      <c r="I17" s="67">
        <f t="shared" si="2"/>
        <v>5.0730000000000004</v>
      </c>
      <c r="J17" s="86"/>
      <c r="K17" s="67">
        <f t="shared" si="3"/>
        <v>-1.2539999999999996</v>
      </c>
      <c r="L17" s="96">
        <f t="shared" si="0"/>
        <v>-0.19819819819819817</v>
      </c>
    </row>
    <row r="18" spans="1:12" x14ac:dyDescent="0.25">
      <c r="A18" s="196" t="s">
        <v>60</v>
      </c>
      <c r="B18" s="197" t="s">
        <v>62</v>
      </c>
      <c r="C18" s="70">
        <v>-2.0000000000000001E-4</v>
      </c>
      <c r="D18" s="76">
        <f t="shared" ref="D18:D19" si="4">$C$9</f>
        <v>285</v>
      </c>
      <c r="E18" s="67">
        <f t="shared" si="1"/>
        <v>-5.7000000000000002E-2</v>
      </c>
      <c r="F18" s="75"/>
      <c r="G18" s="70">
        <f>ROUND(-G17*0.01,4)</f>
        <v>-2.0000000000000001E-4</v>
      </c>
      <c r="H18" s="76">
        <f t="shared" ref="H18:H19" si="5">$C$9</f>
        <v>285</v>
      </c>
      <c r="I18" s="67">
        <f t="shared" si="2"/>
        <v>-5.7000000000000002E-2</v>
      </c>
      <c r="J18" s="86"/>
      <c r="K18" s="67">
        <f t="shared" si="3"/>
        <v>0</v>
      </c>
      <c r="L18" s="96" t="str">
        <f t="shared" si="0"/>
        <v xml:space="preserve"> 0.00%</v>
      </c>
    </row>
    <row r="19" spans="1:12" x14ac:dyDescent="0.25">
      <c r="A19" s="198" t="s">
        <v>64</v>
      </c>
      <c r="B19" s="197" t="s">
        <v>62</v>
      </c>
      <c r="C19" s="70">
        <v>8.0000000000000004E-4</v>
      </c>
      <c r="D19" s="76">
        <f t="shared" si="4"/>
        <v>285</v>
      </c>
      <c r="E19" s="67">
        <f t="shared" si="1"/>
        <v>0.22800000000000001</v>
      </c>
      <c r="F19" s="75"/>
      <c r="G19" s="70">
        <v>8.0000000000000004E-4</v>
      </c>
      <c r="H19" s="76">
        <f t="shared" si="5"/>
        <v>285</v>
      </c>
      <c r="I19" s="67">
        <f t="shared" si="2"/>
        <v>0.22800000000000001</v>
      </c>
      <c r="J19" s="86"/>
      <c r="K19" s="67">
        <f t="shared" si="3"/>
        <v>0</v>
      </c>
      <c r="L19" s="96" t="str">
        <f t="shared" si="0"/>
        <v xml:space="preserve"> 0.00%</v>
      </c>
    </row>
    <row r="20" spans="1:12" x14ac:dyDescent="0.25">
      <c r="A20" s="199" t="s">
        <v>43</v>
      </c>
      <c r="B20" s="200"/>
      <c r="C20" s="64"/>
      <c r="D20" s="80"/>
      <c r="E20" s="63">
        <f>SUM(E14:E19)</f>
        <v>19.988000000000003</v>
      </c>
      <c r="F20" s="77"/>
      <c r="G20" s="64"/>
      <c r="H20" s="80"/>
      <c r="I20" s="63">
        <f>SUM(I14:I19)</f>
        <v>22.100200000000005</v>
      </c>
      <c r="J20" s="65"/>
      <c r="K20" s="141">
        <f t="shared" ref="K20:K23" si="6">I20-E20</f>
        <v>2.1122000000000014</v>
      </c>
      <c r="L20" s="97">
        <f t="shared" si="0"/>
        <v>0.10567340404242542</v>
      </c>
    </row>
    <row r="21" spans="1:12" ht="15.75" customHeight="1" x14ac:dyDescent="0.25">
      <c r="A21" s="201" t="s">
        <v>44</v>
      </c>
      <c r="B21" s="197" t="s">
        <v>62</v>
      </c>
      <c r="C21" s="87">
        <f>C31*0.64+C32*0.18+C33*0.18</f>
        <v>0.10214000000000001</v>
      </c>
      <c r="D21" s="78">
        <f>($C$9*$C$10)-$C$9</f>
        <v>12.283500000000004</v>
      </c>
      <c r="E21" s="89">
        <f t="shared" si="1"/>
        <v>1.2546366900000006</v>
      </c>
      <c r="F21" s="77"/>
      <c r="G21" s="87">
        <f>G31*0.64+G32*0.18+G33*0.18</f>
        <v>0.10214000000000001</v>
      </c>
      <c r="H21" s="78">
        <f>($C$9*$C$10)-$C$9</f>
        <v>12.283500000000004</v>
      </c>
      <c r="I21" s="89">
        <f t="shared" ref="I21" si="7">G21*H21</f>
        <v>1.2546366900000006</v>
      </c>
      <c r="J21" s="65"/>
      <c r="K21" s="67">
        <f t="shared" si="6"/>
        <v>0</v>
      </c>
      <c r="L21" s="96" t="str">
        <f t="shared" si="0"/>
        <v xml:space="preserve"> 0.00%</v>
      </c>
    </row>
    <row r="22" spans="1:12" ht="15" hidden="1" customHeight="1" x14ac:dyDescent="0.25">
      <c r="A22" s="201" t="s">
        <v>45</v>
      </c>
      <c r="B22" s="197" t="s">
        <v>62</v>
      </c>
      <c r="C22" s="108">
        <v>0</v>
      </c>
      <c r="D22" s="78">
        <v>0</v>
      </c>
      <c r="E22" s="89">
        <v>0</v>
      </c>
      <c r="F22" s="77"/>
      <c r="G22" s="108">
        <v>0</v>
      </c>
      <c r="H22" s="78">
        <v>0</v>
      </c>
      <c r="I22" s="89">
        <v>0</v>
      </c>
      <c r="J22" s="65"/>
      <c r="K22" s="67">
        <f t="shared" si="6"/>
        <v>0</v>
      </c>
      <c r="L22" s="96" t="str">
        <f t="shared" si="0"/>
        <v xml:space="preserve"> 0.00%</v>
      </c>
    </row>
    <row r="23" spans="1:12" x14ac:dyDescent="0.25">
      <c r="A23" s="196" t="s">
        <v>46</v>
      </c>
      <c r="B23" s="197" t="s">
        <v>61</v>
      </c>
      <c r="C23" s="107">
        <v>0.79</v>
      </c>
      <c r="D23" s="78">
        <v>1</v>
      </c>
      <c r="E23" s="89">
        <f t="shared" si="1"/>
        <v>0.79</v>
      </c>
      <c r="F23" s="77"/>
      <c r="G23" s="107">
        <v>0.79</v>
      </c>
      <c r="H23" s="78">
        <v>1</v>
      </c>
      <c r="I23" s="89">
        <f t="shared" ref="I23" si="8">G23*H23</f>
        <v>0.79</v>
      </c>
      <c r="J23" s="65"/>
      <c r="K23" s="67">
        <f t="shared" si="6"/>
        <v>0</v>
      </c>
      <c r="L23" s="96" t="str">
        <f t="shared" si="0"/>
        <v xml:space="preserve"> 0.00%</v>
      </c>
    </row>
    <row r="24" spans="1:12" x14ac:dyDescent="0.25">
      <c r="A24" s="202" t="s">
        <v>47</v>
      </c>
      <c r="B24" s="203"/>
      <c r="C24" s="80"/>
      <c r="D24" s="80"/>
      <c r="E24" s="90">
        <f>SUM(E20:E23)</f>
        <v>22.032636690000004</v>
      </c>
      <c r="F24" s="77"/>
      <c r="G24" s="80"/>
      <c r="H24" s="80"/>
      <c r="I24" s="90">
        <f>SUM(I20:I23)</f>
        <v>24.144836690000005</v>
      </c>
      <c r="J24" s="65"/>
      <c r="K24" s="141">
        <f t="shared" ref="K24:K26" si="9">I24-E24</f>
        <v>2.1122000000000014</v>
      </c>
      <c r="L24" s="97">
        <f t="shared" si="0"/>
        <v>9.5866873752730175E-2</v>
      </c>
    </row>
    <row r="25" spans="1:12" x14ac:dyDescent="0.25">
      <c r="A25" s="204" t="s">
        <v>48</v>
      </c>
      <c r="B25" s="197" t="s">
        <v>62</v>
      </c>
      <c r="C25" s="87">
        <v>7.4999999999999997E-3</v>
      </c>
      <c r="D25" s="81">
        <f>$C$9*$C$10</f>
        <v>297.2835</v>
      </c>
      <c r="E25" s="89">
        <f t="shared" si="1"/>
        <v>2.2296262499999999</v>
      </c>
      <c r="F25" s="77"/>
      <c r="G25" s="87">
        <v>7.4999999999999997E-3</v>
      </c>
      <c r="H25" s="81">
        <f>$C$9*$C$10</f>
        <v>297.2835</v>
      </c>
      <c r="I25" s="89">
        <f t="shared" ref="I25:I26" si="10">G25*H25</f>
        <v>2.2296262499999999</v>
      </c>
      <c r="J25" s="65"/>
      <c r="K25" s="95">
        <f t="shared" si="9"/>
        <v>0</v>
      </c>
      <c r="L25" s="96" t="str">
        <f t="shared" si="0"/>
        <v xml:space="preserve"> 0.00%</v>
      </c>
    </row>
    <row r="26" spans="1:12" x14ac:dyDescent="0.25">
      <c r="A26" s="205" t="s">
        <v>49</v>
      </c>
      <c r="B26" s="197" t="s">
        <v>62</v>
      </c>
      <c r="C26" s="87">
        <v>5.4000000000000003E-3</v>
      </c>
      <c r="D26" s="81">
        <f>$C$9*$C$10</f>
        <v>297.2835</v>
      </c>
      <c r="E26" s="89">
        <f t="shared" si="1"/>
        <v>1.6053309</v>
      </c>
      <c r="F26" s="77"/>
      <c r="G26" s="87">
        <v>5.4000000000000003E-3</v>
      </c>
      <c r="H26" s="81">
        <f>$C$9*$C$10</f>
        <v>297.2835</v>
      </c>
      <c r="I26" s="89">
        <f t="shared" si="10"/>
        <v>1.6053309</v>
      </c>
      <c r="J26" s="65"/>
      <c r="K26" s="95">
        <f t="shared" si="9"/>
        <v>0</v>
      </c>
      <c r="L26" s="96" t="str">
        <f t="shared" si="0"/>
        <v xml:space="preserve"> 0.00%</v>
      </c>
    </row>
    <row r="27" spans="1:12" x14ac:dyDescent="0.25">
      <c r="A27" s="202" t="s">
        <v>50</v>
      </c>
      <c r="B27" s="200"/>
      <c r="C27" s="80"/>
      <c r="D27" s="80"/>
      <c r="E27" s="90">
        <f>SUM(E24:E26)</f>
        <v>25.867593840000001</v>
      </c>
      <c r="F27" s="82"/>
      <c r="G27" s="80"/>
      <c r="H27" s="80"/>
      <c r="I27" s="90">
        <f>SUM(I24:I26)</f>
        <v>27.979793840000003</v>
      </c>
      <c r="J27" s="66"/>
      <c r="K27" s="141">
        <f t="shared" ref="K27:K33" si="11">I27-E27</f>
        <v>2.1122000000000014</v>
      </c>
      <c r="L27" s="97">
        <f>IF(I27-E27=0, " 0.00%", I27/E27-1)</f>
        <v>8.165428965154975E-2</v>
      </c>
    </row>
    <row r="28" spans="1:12" x14ac:dyDescent="0.25">
      <c r="A28" s="206" t="s">
        <v>51</v>
      </c>
      <c r="B28" s="197" t="s">
        <v>62</v>
      </c>
      <c r="C28" s="88">
        <v>4.4000000000000003E-3</v>
      </c>
      <c r="D28" s="81">
        <f>$C$9*$C$10</f>
        <v>297.2835</v>
      </c>
      <c r="E28" s="67">
        <f t="shared" si="1"/>
        <v>1.3080474000000002</v>
      </c>
      <c r="F28" s="79"/>
      <c r="G28" s="88">
        <v>4.4000000000000003E-3</v>
      </c>
      <c r="H28" s="81">
        <f>$C$9*$C$10</f>
        <v>297.2835</v>
      </c>
      <c r="I28" s="67">
        <f t="shared" ref="I28:I32" si="12">G28*H28</f>
        <v>1.3080474000000002</v>
      </c>
      <c r="J28" s="65"/>
      <c r="K28" s="95">
        <f t="shared" si="11"/>
        <v>0</v>
      </c>
      <c r="L28" s="96" t="str">
        <f t="shared" si="0"/>
        <v xml:space="preserve"> 0.00%</v>
      </c>
    </row>
    <row r="29" spans="1:12" x14ac:dyDescent="0.25">
      <c r="A29" s="206" t="s">
        <v>52</v>
      </c>
      <c r="B29" s="197" t="s">
        <v>62</v>
      </c>
      <c r="C29" s="88">
        <v>1.2999999999999999E-3</v>
      </c>
      <c r="D29" s="81">
        <f>$C$9*$C$10</f>
        <v>297.2835</v>
      </c>
      <c r="E29" s="67">
        <f t="shared" si="1"/>
        <v>0.38646854999999997</v>
      </c>
      <c r="F29" s="79"/>
      <c r="G29" s="88">
        <v>1.2999999999999999E-3</v>
      </c>
      <c r="H29" s="81">
        <f>$C$9*$C$10</f>
        <v>297.2835</v>
      </c>
      <c r="I29" s="67">
        <f t="shared" si="12"/>
        <v>0.38646854999999997</v>
      </c>
      <c r="J29" s="65"/>
      <c r="K29" s="95">
        <f t="shared" si="11"/>
        <v>0</v>
      </c>
      <c r="L29" s="96" t="str">
        <f t="shared" si="0"/>
        <v xml:space="preserve"> 0.00%</v>
      </c>
    </row>
    <row r="30" spans="1:12" x14ac:dyDescent="0.25">
      <c r="A30" s="196" t="s">
        <v>53</v>
      </c>
      <c r="B30" s="197" t="s">
        <v>61</v>
      </c>
      <c r="C30" s="69">
        <v>0.25</v>
      </c>
      <c r="D30" s="81">
        <v>1</v>
      </c>
      <c r="E30" s="67">
        <f t="shared" si="1"/>
        <v>0.25</v>
      </c>
      <c r="F30" s="79"/>
      <c r="G30" s="69">
        <v>0.25</v>
      </c>
      <c r="H30" s="81">
        <v>1</v>
      </c>
      <c r="I30" s="67">
        <f t="shared" si="12"/>
        <v>0.25</v>
      </c>
      <c r="J30" s="79"/>
      <c r="K30" s="95">
        <f t="shared" si="11"/>
        <v>0</v>
      </c>
      <c r="L30" s="96" t="str">
        <f t="shared" si="0"/>
        <v xml:space="preserve"> 0.00%</v>
      </c>
    </row>
    <row r="31" spans="1:12" x14ac:dyDescent="0.25">
      <c r="A31" s="196" t="s">
        <v>54</v>
      </c>
      <c r="B31" s="197" t="s">
        <v>62</v>
      </c>
      <c r="C31" s="83">
        <v>0.08</v>
      </c>
      <c r="D31" s="81">
        <f>$C$9*0.64</f>
        <v>182.4</v>
      </c>
      <c r="E31" s="67">
        <f t="shared" si="1"/>
        <v>14.592000000000001</v>
      </c>
      <c r="F31" s="79"/>
      <c r="G31" s="83">
        <v>0.08</v>
      </c>
      <c r="H31" s="81">
        <f>$C$9*0.64</f>
        <v>182.4</v>
      </c>
      <c r="I31" s="67">
        <f t="shared" si="12"/>
        <v>14.592000000000001</v>
      </c>
      <c r="J31" s="79"/>
      <c r="K31" s="95">
        <f t="shared" si="11"/>
        <v>0</v>
      </c>
      <c r="L31" s="96" t="str">
        <f t="shared" si="0"/>
        <v xml:space="preserve"> 0.00%</v>
      </c>
    </row>
    <row r="32" spans="1:12" x14ac:dyDescent="0.25">
      <c r="A32" s="196" t="s">
        <v>55</v>
      </c>
      <c r="B32" s="197" t="s">
        <v>62</v>
      </c>
      <c r="C32" s="83">
        <v>0.122</v>
      </c>
      <c r="D32" s="81">
        <f>$C$9*0.18</f>
        <v>51.3</v>
      </c>
      <c r="E32" s="67">
        <f t="shared" si="1"/>
        <v>6.2585999999999995</v>
      </c>
      <c r="F32" s="79"/>
      <c r="G32" s="83">
        <v>0.122</v>
      </c>
      <c r="H32" s="81">
        <f>$C$9*0.18</f>
        <v>51.3</v>
      </c>
      <c r="I32" s="67">
        <f t="shared" si="12"/>
        <v>6.2585999999999995</v>
      </c>
      <c r="J32" s="79"/>
      <c r="K32" s="95">
        <f t="shared" si="11"/>
        <v>0</v>
      </c>
      <c r="L32" s="96" t="str">
        <f t="shared" si="0"/>
        <v xml:space="preserve"> 0.00%</v>
      </c>
    </row>
    <row r="33" spans="1:12" ht="15.75" thickBot="1" x14ac:dyDescent="0.3">
      <c r="A33" s="207" t="s">
        <v>56</v>
      </c>
      <c r="B33" s="208" t="s">
        <v>62</v>
      </c>
      <c r="C33" s="83">
        <v>0.161</v>
      </c>
      <c r="D33" s="81">
        <f>$C$9*0.18</f>
        <v>51.3</v>
      </c>
      <c r="E33" s="67">
        <f>C33*D33</f>
        <v>8.2592999999999996</v>
      </c>
      <c r="F33" s="79"/>
      <c r="G33" s="83">
        <v>0.161</v>
      </c>
      <c r="H33" s="81">
        <f>$C$9*0.18</f>
        <v>51.3</v>
      </c>
      <c r="I33" s="67">
        <f>G33*H33</f>
        <v>8.2592999999999996</v>
      </c>
      <c r="J33" s="79"/>
      <c r="K33" s="95">
        <f t="shared" si="11"/>
        <v>0</v>
      </c>
      <c r="L33" s="96" t="str">
        <f t="shared" si="0"/>
        <v xml:space="preserve"> 0.00%</v>
      </c>
    </row>
    <row r="34" spans="1:12" ht="9" customHeight="1" thickBot="1" x14ac:dyDescent="0.3">
      <c r="A34" s="209"/>
      <c r="B34" s="210"/>
      <c r="C34" s="137"/>
      <c r="D34" s="84"/>
      <c r="E34" s="91"/>
      <c r="F34" s="84"/>
      <c r="G34" s="137"/>
      <c r="H34" s="84"/>
      <c r="I34" s="137"/>
      <c r="J34" s="84"/>
      <c r="K34" s="138"/>
      <c r="L34" s="98"/>
    </row>
    <row r="35" spans="1:12" x14ac:dyDescent="0.25">
      <c r="A35" s="211" t="s">
        <v>57</v>
      </c>
      <c r="B35" s="222"/>
      <c r="C35" s="102"/>
      <c r="D35" s="103"/>
      <c r="E35" s="92">
        <f>SUM(E27:E33)</f>
        <v>56.922009790000004</v>
      </c>
      <c r="F35" s="104"/>
      <c r="G35" s="105"/>
      <c r="H35" s="105"/>
      <c r="I35" s="136">
        <f>SUM(I27:I33)</f>
        <v>59.034209790000006</v>
      </c>
      <c r="J35" s="85"/>
      <c r="K35" s="140">
        <f t="shared" ref="K35:K39" si="13">I35-E35</f>
        <v>2.1122000000000014</v>
      </c>
      <c r="L35" s="68">
        <f>IF(I35-E35=0, " 0.00%", I35/E35-1)</f>
        <v>3.7106911856985558E-2</v>
      </c>
    </row>
    <row r="36" spans="1:12" x14ac:dyDescent="0.25">
      <c r="A36" s="213" t="s">
        <v>58</v>
      </c>
      <c r="B36" s="222"/>
      <c r="C36" s="102">
        <v>0.13</v>
      </c>
      <c r="D36" s="106"/>
      <c r="E36" s="93">
        <f>E35*C36</f>
        <v>7.3998612727000008</v>
      </c>
      <c r="F36" s="74"/>
      <c r="G36" s="102">
        <v>0.13</v>
      </c>
      <c r="H36" s="74"/>
      <c r="I36" s="100">
        <f>I35*G36</f>
        <v>7.674447272700001</v>
      </c>
      <c r="J36" s="86"/>
      <c r="K36" s="67">
        <f t="shared" si="13"/>
        <v>0.27458600000000022</v>
      </c>
      <c r="L36" s="96">
        <f t="shared" si="0"/>
        <v>3.7106911856985558E-2</v>
      </c>
    </row>
    <row r="37" spans="1:12" ht="15" hidden="1" customHeight="1" x14ac:dyDescent="0.25">
      <c r="A37" s="215" t="s">
        <v>117</v>
      </c>
      <c r="B37" s="222"/>
      <c r="C37" s="74"/>
      <c r="D37" s="106"/>
      <c r="E37" s="93">
        <f>E35+E36</f>
        <v>64.321871062700012</v>
      </c>
      <c r="F37" s="74"/>
      <c r="G37" s="74"/>
      <c r="H37" s="74"/>
      <c r="I37" s="100">
        <f>I35+I36</f>
        <v>66.708657062700013</v>
      </c>
      <c r="J37" s="86"/>
      <c r="K37" s="67">
        <f t="shared" si="13"/>
        <v>2.3867860000000007</v>
      </c>
      <c r="L37" s="96">
        <f t="shared" ref="L37" si="14">I37/E37-1</f>
        <v>3.7106911856985558E-2</v>
      </c>
    </row>
    <row r="38" spans="1:12" ht="15" hidden="1" customHeight="1" x14ac:dyDescent="0.25">
      <c r="A38" s="216"/>
      <c r="B38" s="222"/>
      <c r="C38" s="74"/>
      <c r="D38" s="106"/>
      <c r="E38" s="94">
        <v>0</v>
      </c>
      <c r="F38" s="74"/>
      <c r="G38" s="74"/>
      <c r="H38" s="74"/>
      <c r="I38" s="101">
        <v>0</v>
      </c>
      <c r="J38" s="86"/>
      <c r="K38" s="67">
        <f t="shared" si="13"/>
        <v>0</v>
      </c>
      <c r="L38" s="101">
        <v>0</v>
      </c>
    </row>
    <row r="39" spans="1:12" ht="15.75" thickBot="1" x14ac:dyDescent="0.3">
      <c r="A39" s="217" t="s">
        <v>96</v>
      </c>
      <c r="B39" s="218"/>
      <c r="C39" s="142"/>
      <c r="D39" s="143"/>
      <c r="E39" s="144">
        <f>E37+E38</f>
        <v>64.321871062700012</v>
      </c>
      <c r="F39" s="145"/>
      <c r="G39" s="145"/>
      <c r="H39" s="145"/>
      <c r="I39" s="149">
        <f>I37+I38</f>
        <v>66.708657062700013</v>
      </c>
      <c r="J39" s="146"/>
      <c r="K39" s="147">
        <f t="shared" si="13"/>
        <v>2.3867860000000007</v>
      </c>
      <c r="L39" s="148">
        <f t="shared" ref="L39" si="15">IF(I39-E39=0, " 0.00%", I39/E39-1)</f>
        <v>3.7106911856985558E-2</v>
      </c>
    </row>
    <row r="40" spans="1:12" ht="9" customHeight="1" thickBot="1" x14ac:dyDescent="0.3">
      <c r="A40" s="209"/>
      <c r="B40" s="210"/>
      <c r="C40" s="137"/>
      <c r="D40" s="84"/>
      <c r="E40" s="91"/>
      <c r="F40" s="84"/>
      <c r="G40" s="137"/>
      <c r="H40" s="84"/>
      <c r="I40" s="137"/>
      <c r="J40" s="84"/>
      <c r="K40" s="138"/>
      <c r="L40" s="98"/>
    </row>
    <row r="43" spans="1:12" x14ac:dyDescent="0.25">
      <c r="A43" s="229" t="s">
        <v>97</v>
      </c>
      <c r="B43" s="230"/>
      <c r="C43" s="231"/>
    </row>
    <row r="44" spans="1:12" hidden="1" x14ac:dyDescent="0.25">
      <c r="A44" s="233"/>
      <c r="B44" s="234"/>
      <c r="C44" s="235"/>
    </row>
    <row r="45" spans="1:12" x14ac:dyDescent="0.25">
      <c r="A45" s="233" t="s">
        <v>66</v>
      </c>
      <c r="B45" s="234"/>
      <c r="C45" s="236">
        <v>800</v>
      </c>
    </row>
    <row r="46" spans="1:12" x14ac:dyDescent="0.25">
      <c r="A46" s="237" t="s">
        <v>65</v>
      </c>
      <c r="B46" s="238"/>
      <c r="C46" s="239">
        <v>1.0430999999999999</v>
      </c>
    </row>
    <row r="48" spans="1:12" x14ac:dyDescent="0.25">
      <c r="A48" s="187"/>
      <c r="B48" s="188"/>
      <c r="C48" s="258" t="s">
        <v>37</v>
      </c>
      <c r="D48" s="259"/>
      <c r="E48" s="260"/>
      <c r="F48" s="187"/>
      <c r="G48" s="258" t="s">
        <v>59</v>
      </c>
      <c r="H48" s="259"/>
      <c r="I48" s="260"/>
      <c r="J48" s="187"/>
      <c r="K48" s="258" t="s">
        <v>39</v>
      </c>
      <c r="L48" s="260"/>
    </row>
    <row r="49" spans="1:12" ht="30" x14ac:dyDescent="0.25">
      <c r="A49" s="187"/>
      <c r="B49" s="189"/>
      <c r="C49" s="190" t="s">
        <v>108</v>
      </c>
      <c r="D49" s="190" t="s">
        <v>35</v>
      </c>
      <c r="E49" s="191" t="s">
        <v>109</v>
      </c>
      <c r="F49" s="187"/>
      <c r="G49" s="190" t="s">
        <v>108</v>
      </c>
      <c r="H49" s="190" t="s">
        <v>35</v>
      </c>
      <c r="I49" s="191" t="s">
        <v>109</v>
      </c>
      <c r="J49" s="187"/>
      <c r="K49" s="192" t="s">
        <v>40</v>
      </c>
      <c r="L49" s="193" t="s">
        <v>41</v>
      </c>
    </row>
    <row r="50" spans="1:12" x14ac:dyDescent="0.25">
      <c r="A50" s="194" t="s">
        <v>36</v>
      </c>
      <c r="B50" s="195" t="s">
        <v>61</v>
      </c>
      <c r="C50" s="67">
        <v>12.98</v>
      </c>
      <c r="D50" s="109">
        <v>1</v>
      </c>
      <c r="E50" s="67">
        <f>C50*D50</f>
        <v>12.98</v>
      </c>
      <c r="F50" s="75"/>
      <c r="G50" s="67">
        <f>G14</f>
        <v>16.38</v>
      </c>
      <c r="H50" s="109">
        <v>1</v>
      </c>
      <c r="I50" s="67">
        <f>G50*H50</f>
        <v>16.38</v>
      </c>
      <c r="J50" s="75"/>
      <c r="K50" s="67">
        <f>I50-E50</f>
        <v>3.3999999999999986</v>
      </c>
      <c r="L50" s="96">
        <f t="shared" ref="L50:L72" si="16">IF(I50-E50=0, " 0.00%", I50/E50-1)</f>
        <v>0.2619414483821263</v>
      </c>
    </row>
    <row r="51" spans="1:12" x14ac:dyDescent="0.25">
      <c r="A51" s="196" t="s">
        <v>60</v>
      </c>
      <c r="B51" s="197" t="s">
        <v>61</v>
      </c>
      <c r="C51" s="67">
        <v>-0.13</v>
      </c>
      <c r="D51" s="109">
        <v>1</v>
      </c>
      <c r="E51" s="67">
        <f t="shared" ref="E51:E55" si="17">C51*D51</f>
        <v>-0.13</v>
      </c>
      <c r="F51" s="75"/>
      <c r="G51" s="67">
        <f t="shared" ref="G51:G69" si="18">G15</f>
        <v>-0.1638</v>
      </c>
      <c r="H51" s="109">
        <v>1</v>
      </c>
      <c r="I51" s="67">
        <f t="shared" ref="I51:I55" si="19">G51*H51</f>
        <v>-0.1638</v>
      </c>
      <c r="J51" s="86"/>
      <c r="K51" s="67">
        <f t="shared" ref="K51:K69" si="20">I51-E51</f>
        <v>-3.3799999999999997E-2</v>
      </c>
      <c r="L51" s="96">
        <f t="shared" si="16"/>
        <v>0.26</v>
      </c>
    </row>
    <row r="52" spans="1:12" x14ac:dyDescent="0.25">
      <c r="A52" s="196" t="s">
        <v>63</v>
      </c>
      <c r="B52" s="197" t="s">
        <v>61</v>
      </c>
      <c r="C52" s="67">
        <v>0.64</v>
      </c>
      <c r="D52" s="109">
        <v>1</v>
      </c>
      <c r="E52" s="67">
        <f t="shared" si="17"/>
        <v>0.64</v>
      </c>
      <c r="F52" s="75"/>
      <c r="G52" s="67">
        <f t="shared" si="18"/>
        <v>0.64</v>
      </c>
      <c r="H52" s="109">
        <v>1</v>
      </c>
      <c r="I52" s="67">
        <f t="shared" si="19"/>
        <v>0.64</v>
      </c>
      <c r="J52" s="86"/>
      <c r="K52" s="67">
        <f t="shared" si="20"/>
        <v>0</v>
      </c>
      <c r="L52" s="96" t="str">
        <f t="shared" si="16"/>
        <v xml:space="preserve"> 0.00%</v>
      </c>
    </row>
    <row r="53" spans="1:12" x14ac:dyDescent="0.25">
      <c r="A53" s="196" t="s">
        <v>42</v>
      </c>
      <c r="B53" s="197" t="s">
        <v>62</v>
      </c>
      <c r="C53" s="70">
        <f>C17</f>
        <v>2.2200000000000001E-2</v>
      </c>
      <c r="D53" s="76">
        <f>$C$45</f>
        <v>800</v>
      </c>
      <c r="E53" s="67">
        <f t="shared" si="17"/>
        <v>17.760000000000002</v>
      </c>
      <c r="F53" s="75"/>
      <c r="G53" s="70">
        <f>G17</f>
        <v>1.78E-2</v>
      </c>
      <c r="H53" s="76">
        <f>$C$45</f>
        <v>800</v>
      </c>
      <c r="I53" s="67">
        <f t="shared" si="19"/>
        <v>14.24</v>
      </c>
      <c r="J53" s="86"/>
      <c r="K53" s="67">
        <f t="shared" si="20"/>
        <v>-3.5200000000000014</v>
      </c>
      <c r="L53" s="96">
        <f t="shared" si="16"/>
        <v>-0.19819819819819828</v>
      </c>
    </row>
    <row r="54" spans="1:12" x14ac:dyDescent="0.25">
      <c r="A54" s="196" t="s">
        <v>60</v>
      </c>
      <c r="B54" s="197" t="s">
        <v>62</v>
      </c>
      <c r="C54" s="70">
        <f>C18</f>
        <v>-2.0000000000000001E-4</v>
      </c>
      <c r="D54" s="76">
        <f t="shared" ref="D54:D55" si="21">$C$45</f>
        <v>800</v>
      </c>
      <c r="E54" s="67">
        <f t="shared" si="17"/>
        <v>-0.16</v>
      </c>
      <c r="F54" s="75"/>
      <c r="G54" s="70">
        <f>G18</f>
        <v>-2.0000000000000001E-4</v>
      </c>
      <c r="H54" s="76">
        <f t="shared" ref="H54:H55" si="22">$C$45</f>
        <v>800</v>
      </c>
      <c r="I54" s="67">
        <f t="shared" si="19"/>
        <v>-0.16</v>
      </c>
      <c r="J54" s="86"/>
      <c r="K54" s="67">
        <f t="shared" si="20"/>
        <v>0</v>
      </c>
      <c r="L54" s="96" t="str">
        <f t="shared" si="16"/>
        <v xml:space="preserve"> 0.00%</v>
      </c>
    </row>
    <row r="55" spans="1:12" x14ac:dyDescent="0.25">
      <c r="A55" s="198" t="s">
        <v>64</v>
      </c>
      <c r="B55" s="197" t="s">
        <v>62</v>
      </c>
      <c r="C55" s="70">
        <v>8.0000000000000004E-4</v>
      </c>
      <c r="D55" s="76">
        <f t="shared" si="21"/>
        <v>800</v>
      </c>
      <c r="E55" s="67">
        <f t="shared" si="17"/>
        <v>0.64</v>
      </c>
      <c r="F55" s="75"/>
      <c r="G55" s="70">
        <f t="shared" si="18"/>
        <v>8.0000000000000004E-4</v>
      </c>
      <c r="H55" s="76">
        <f t="shared" si="22"/>
        <v>800</v>
      </c>
      <c r="I55" s="67">
        <f t="shared" si="19"/>
        <v>0.64</v>
      </c>
      <c r="J55" s="86"/>
      <c r="K55" s="67">
        <f t="shared" si="20"/>
        <v>0</v>
      </c>
      <c r="L55" s="96" t="str">
        <f t="shared" si="16"/>
        <v xml:space="preserve"> 0.00%</v>
      </c>
    </row>
    <row r="56" spans="1:12" x14ac:dyDescent="0.25">
      <c r="A56" s="199" t="s">
        <v>43</v>
      </c>
      <c r="B56" s="200"/>
      <c r="C56" s="64"/>
      <c r="D56" s="80"/>
      <c r="E56" s="63">
        <f>SUM(E50:E55)</f>
        <v>31.73</v>
      </c>
      <c r="F56" s="77"/>
      <c r="G56" s="64">
        <f t="shared" si="18"/>
        <v>0</v>
      </c>
      <c r="H56" s="80"/>
      <c r="I56" s="63">
        <f>SUM(I50:I55)</f>
        <v>31.576200000000004</v>
      </c>
      <c r="J56" s="65"/>
      <c r="K56" s="141">
        <f t="shared" si="20"/>
        <v>-0.15379999999999683</v>
      </c>
      <c r="L56" s="97">
        <f t="shared" si="16"/>
        <v>-4.8471478096437925E-3</v>
      </c>
    </row>
    <row r="57" spans="1:12" x14ac:dyDescent="0.25">
      <c r="A57" s="201" t="s">
        <v>44</v>
      </c>
      <c r="B57" s="197" t="s">
        <v>62</v>
      </c>
      <c r="C57" s="87">
        <f>C67*0.64+C68*0.18+C69*0.18</f>
        <v>0.10214000000000001</v>
      </c>
      <c r="D57" s="78">
        <f>($C$45*$C$46)-$C$45</f>
        <v>34.479999999999905</v>
      </c>
      <c r="E57" s="89">
        <f t="shared" ref="E57" si="23">C57*D57</f>
        <v>3.5217871999999906</v>
      </c>
      <c r="F57" s="77"/>
      <c r="G57" s="87">
        <f t="shared" si="18"/>
        <v>0.10214000000000001</v>
      </c>
      <c r="H57" s="78">
        <f>($C$45*$C$46)-$C$45</f>
        <v>34.479999999999905</v>
      </c>
      <c r="I57" s="89">
        <f t="shared" ref="I57" si="24">G57*H57</f>
        <v>3.5217871999999906</v>
      </c>
      <c r="J57" s="65"/>
      <c r="K57" s="67">
        <f t="shared" si="20"/>
        <v>0</v>
      </c>
      <c r="L57" s="96" t="str">
        <f t="shared" si="16"/>
        <v xml:space="preserve"> 0.00%</v>
      </c>
    </row>
    <row r="58" spans="1:12" hidden="1" x14ac:dyDescent="0.25">
      <c r="A58" s="201" t="s">
        <v>45</v>
      </c>
      <c r="B58" s="197" t="s">
        <v>62</v>
      </c>
      <c r="C58" s="108">
        <v>0</v>
      </c>
      <c r="D58" s="78">
        <v>0</v>
      </c>
      <c r="E58" s="89">
        <v>0</v>
      </c>
      <c r="F58" s="77"/>
      <c r="G58" s="108">
        <f t="shared" si="18"/>
        <v>0</v>
      </c>
      <c r="H58" s="78">
        <v>0</v>
      </c>
      <c r="I58" s="89">
        <v>0</v>
      </c>
      <c r="J58" s="65"/>
      <c r="K58" s="67">
        <f t="shared" si="20"/>
        <v>0</v>
      </c>
      <c r="L58" s="96" t="str">
        <f t="shared" si="16"/>
        <v xml:space="preserve"> 0.00%</v>
      </c>
    </row>
    <row r="59" spans="1:12" x14ac:dyDescent="0.25">
      <c r="A59" s="196" t="s">
        <v>46</v>
      </c>
      <c r="B59" s="197" t="s">
        <v>61</v>
      </c>
      <c r="C59" s="107">
        <v>0.79</v>
      </c>
      <c r="D59" s="78">
        <v>1</v>
      </c>
      <c r="E59" s="89">
        <f t="shared" ref="E59" si="25">C59*D59</f>
        <v>0.79</v>
      </c>
      <c r="F59" s="77"/>
      <c r="G59" s="107">
        <f t="shared" si="18"/>
        <v>0.79</v>
      </c>
      <c r="H59" s="78">
        <v>1</v>
      </c>
      <c r="I59" s="89">
        <f t="shared" ref="I59" si="26">G59*H59</f>
        <v>0.79</v>
      </c>
      <c r="J59" s="65"/>
      <c r="K59" s="67">
        <f t="shared" si="20"/>
        <v>0</v>
      </c>
      <c r="L59" s="96" t="str">
        <f t="shared" si="16"/>
        <v xml:space="preserve"> 0.00%</v>
      </c>
    </row>
    <row r="60" spans="1:12" x14ac:dyDescent="0.25">
      <c r="A60" s="202" t="s">
        <v>47</v>
      </c>
      <c r="B60" s="203"/>
      <c r="C60" s="80"/>
      <c r="D60" s="80"/>
      <c r="E60" s="90">
        <f>SUM(E56:E59)</f>
        <v>36.041787199999987</v>
      </c>
      <c r="F60" s="77"/>
      <c r="G60" s="80">
        <f t="shared" si="18"/>
        <v>0</v>
      </c>
      <c r="H60" s="80"/>
      <c r="I60" s="90">
        <f>SUM(I56:I59)</f>
        <v>35.887987199999991</v>
      </c>
      <c r="J60" s="65"/>
      <c r="K60" s="141">
        <f t="shared" si="20"/>
        <v>-0.15379999999999683</v>
      </c>
      <c r="L60" s="97">
        <f t="shared" si="16"/>
        <v>-4.2672689660627761E-3</v>
      </c>
    </row>
    <row r="61" spans="1:12" x14ac:dyDescent="0.25">
      <c r="A61" s="204" t="s">
        <v>48</v>
      </c>
      <c r="B61" s="197" t="s">
        <v>62</v>
      </c>
      <c r="C61" s="87">
        <v>7.4999999999999997E-3</v>
      </c>
      <c r="D61" s="81">
        <f>$C$45*$C$46</f>
        <v>834.4799999999999</v>
      </c>
      <c r="E61" s="89">
        <f t="shared" ref="E61:E62" si="27">C61*D61</f>
        <v>6.2585999999999986</v>
      </c>
      <c r="F61" s="77"/>
      <c r="G61" s="87">
        <f t="shared" si="18"/>
        <v>7.4999999999999997E-3</v>
      </c>
      <c r="H61" s="81">
        <f>$C$45*$C$46</f>
        <v>834.4799999999999</v>
      </c>
      <c r="I61" s="89">
        <f t="shared" ref="I61:I62" si="28">G61*H61</f>
        <v>6.2585999999999986</v>
      </c>
      <c r="J61" s="65"/>
      <c r="K61" s="95">
        <f t="shared" si="20"/>
        <v>0</v>
      </c>
      <c r="L61" s="96" t="str">
        <f t="shared" si="16"/>
        <v xml:space="preserve"> 0.00%</v>
      </c>
    </row>
    <row r="62" spans="1:12" x14ac:dyDescent="0.25">
      <c r="A62" s="205" t="s">
        <v>49</v>
      </c>
      <c r="B62" s="197" t="s">
        <v>62</v>
      </c>
      <c r="C62" s="87">
        <v>5.4000000000000003E-3</v>
      </c>
      <c r="D62" s="81">
        <f>$C$45*$C$46</f>
        <v>834.4799999999999</v>
      </c>
      <c r="E62" s="89">
        <f t="shared" si="27"/>
        <v>4.5061919999999995</v>
      </c>
      <c r="F62" s="77"/>
      <c r="G62" s="87">
        <f t="shared" si="18"/>
        <v>5.4000000000000003E-3</v>
      </c>
      <c r="H62" s="81">
        <f>$C$45*$C$46</f>
        <v>834.4799999999999</v>
      </c>
      <c r="I62" s="89">
        <f t="shared" si="28"/>
        <v>4.5061919999999995</v>
      </c>
      <c r="J62" s="65"/>
      <c r="K62" s="95">
        <f t="shared" si="20"/>
        <v>0</v>
      </c>
      <c r="L62" s="96" t="str">
        <f t="shared" si="16"/>
        <v xml:space="preserve"> 0.00%</v>
      </c>
    </row>
    <row r="63" spans="1:12" x14ac:dyDescent="0.25">
      <c r="A63" s="202" t="s">
        <v>50</v>
      </c>
      <c r="B63" s="200"/>
      <c r="C63" s="80"/>
      <c r="D63" s="80"/>
      <c r="E63" s="90">
        <f>SUM(E60:E62)</f>
        <v>46.806579199999987</v>
      </c>
      <c r="F63" s="82"/>
      <c r="G63" s="80">
        <f t="shared" si="18"/>
        <v>0</v>
      </c>
      <c r="H63" s="80"/>
      <c r="I63" s="90">
        <f>SUM(I60:I62)</f>
        <v>46.652779199999991</v>
      </c>
      <c r="J63" s="66"/>
      <c r="K63" s="141">
        <f t="shared" si="20"/>
        <v>-0.15379999999999683</v>
      </c>
      <c r="L63" s="97">
        <f t="shared" si="16"/>
        <v>-3.2858628557926872E-3</v>
      </c>
    </row>
    <row r="64" spans="1:12" x14ac:dyDescent="0.25">
      <c r="A64" s="206" t="s">
        <v>51</v>
      </c>
      <c r="B64" s="197" t="s">
        <v>62</v>
      </c>
      <c r="C64" s="88">
        <v>4.4000000000000003E-3</v>
      </c>
      <c r="D64" s="81">
        <f t="shared" ref="D64:D65" si="29">$C$45*$C$46</f>
        <v>834.4799999999999</v>
      </c>
      <c r="E64" s="67">
        <f t="shared" ref="E64:E68" si="30">C64*D64</f>
        <v>3.6717119999999999</v>
      </c>
      <c r="F64" s="79"/>
      <c r="G64" s="88">
        <f t="shared" si="18"/>
        <v>4.4000000000000003E-3</v>
      </c>
      <c r="H64" s="81">
        <f t="shared" ref="H64:H65" si="31">$C$45*$C$46</f>
        <v>834.4799999999999</v>
      </c>
      <c r="I64" s="67">
        <f t="shared" ref="I64:I68" si="32">G64*H64</f>
        <v>3.6717119999999999</v>
      </c>
      <c r="J64" s="65"/>
      <c r="K64" s="95">
        <f t="shared" si="20"/>
        <v>0</v>
      </c>
      <c r="L64" s="96" t="str">
        <f t="shared" si="16"/>
        <v xml:space="preserve"> 0.00%</v>
      </c>
    </row>
    <row r="65" spans="1:12" x14ac:dyDescent="0.25">
      <c r="A65" s="206" t="s">
        <v>52</v>
      </c>
      <c r="B65" s="197" t="s">
        <v>62</v>
      </c>
      <c r="C65" s="88">
        <v>1.2999999999999999E-3</v>
      </c>
      <c r="D65" s="81">
        <f t="shared" si="29"/>
        <v>834.4799999999999</v>
      </c>
      <c r="E65" s="67">
        <f t="shared" si="30"/>
        <v>1.0848239999999998</v>
      </c>
      <c r="F65" s="79"/>
      <c r="G65" s="88">
        <f t="shared" si="18"/>
        <v>1.2999999999999999E-3</v>
      </c>
      <c r="H65" s="81">
        <f t="shared" si="31"/>
        <v>834.4799999999999</v>
      </c>
      <c r="I65" s="67">
        <f t="shared" si="32"/>
        <v>1.0848239999999998</v>
      </c>
      <c r="J65" s="65"/>
      <c r="K65" s="95">
        <f t="shared" si="20"/>
        <v>0</v>
      </c>
      <c r="L65" s="96" t="str">
        <f t="shared" si="16"/>
        <v xml:space="preserve"> 0.00%</v>
      </c>
    </row>
    <row r="66" spans="1:12" x14ac:dyDescent="0.25">
      <c r="A66" s="196" t="s">
        <v>53</v>
      </c>
      <c r="B66" s="197" t="s">
        <v>61</v>
      </c>
      <c r="C66" s="69">
        <v>0.25</v>
      </c>
      <c r="D66" s="81">
        <v>1</v>
      </c>
      <c r="E66" s="67">
        <f t="shared" si="30"/>
        <v>0.25</v>
      </c>
      <c r="F66" s="79"/>
      <c r="G66" s="69">
        <f t="shared" si="18"/>
        <v>0.25</v>
      </c>
      <c r="H66" s="81">
        <v>1</v>
      </c>
      <c r="I66" s="67">
        <f t="shared" si="32"/>
        <v>0.25</v>
      </c>
      <c r="J66" s="79"/>
      <c r="K66" s="95">
        <f t="shared" si="20"/>
        <v>0</v>
      </c>
      <c r="L66" s="96" t="str">
        <f t="shared" si="16"/>
        <v xml:space="preserve"> 0.00%</v>
      </c>
    </row>
    <row r="67" spans="1:12" x14ac:dyDescent="0.25">
      <c r="A67" s="196" t="s">
        <v>54</v>
      </c>
      <c r="B67" s="197" t="s">
        <v>62</v>
      </c>
      <c r="C67" s="83">
        <v>0.08</v>
      </c>
      <c r="D67" s="81">
        <f>$C$45*0.64</f>
        <v>512</v>
      </c>
      <c r="E67" s="67">
        <f t="shared" si="30"/>
        <v>40.96</v>
      </c>
      <c r="F67" s="79"/>
      <c r="G67" s="83">
        <f t="shared" si="18"/>
        <v>0.08</v>
      </c>
      <c r="H67" s="81">
        <f>$C$45*0.64</f>
        <v>512</v>
      </c>
      <c r="I67" s="67">
        <f t="shared" si="32"/>
        <v>40.96</v>
      </c>
      <c r="J67" s="79"/>
      <c r="K67" s="95">
        <f t="shared" si="20"/>
        <v>0</v>
      </c>
      <c r="L67" s="96" t="str">
        <f t="shared" si="16"/>
        <v xml:space="preserve"> 0.00%</v>
      </c>
    </row>
    <row r="68" spans="1:12" x14ac:dyDescent="0.25">
      <c r="A68" s="196" t="s">
        <v>55</v>
      </c>
      <c r="B68" s="197" t="s">
        <v>62</v>
      </c>
      <c r="C68" s="83">
        <v>0.122</v>
      </c>
      <c r="D68" s="81">
        <f>$C$45*0.18</f>
        <v>144</v>
      </c>
      <c r="E68" s="67">
        <f t="shared" si="30"/>
        <v>17.567999999999998</v>
      </c>
      <c r="F68" s="79"/>
      <c r="G68" s="83">
        <f t="shared" si="18"/>
        <v>0.122</v>
      </c>
      <c r="H68" s="81">
        <f>$C$45*0.18</f>
        <v>144</v>
      </c>
      <c r="I68" s="67">
        <f t="shared" si="32"/>
        <v>17.567999999999998</v>
      </c>
      <c r="J68" s="79"/>
      <c r="K68" s="95">
        <f t="shared" si="20"/>
        <v>0</v>
      </c>
      <c r="L68" s="96" t="str">
        <f t="shared" si="16"/>
        <v xml:space="preserve"> 0.00%</v>
      </c>
    </row>
    <row r="69" spans="1:12" ht="15.75" thickBot="1" x14ac:dyDescent="0.3">
      <c r="A69" s="207" t="s">
        <v>56</v>
      </c>
      <c r="B69" s="208" t="s">
        <v>62</v>
      </c>
      <c r="C69" s="83">
        <v>0.161</v>
      </c>
      <c r="D69" s="81">
        <f>$C$45*0.18</f>
        <v>144</v>
      </c>
      <c r="E69" s="67">
        <f>C69*D69</f>
        <v>23.184000000000001</v>
      </c>
      <c r="F69" s="79"/>
      <c r="G69" s="83">
        <f t="shared" si="18"/>
        <v>0.161</v>
      </c>
      <c r="H69" s="81">
        <f>$C$45*0.18</f>
        <v>144</v>
      </c>
      <c r="I69" s="67">
        <f>G69*H69</f>
        <v>23.184000000000001</v>
      </c>
      <c r="J69" s="79"/>
      <c r="K69" s="95">
        <f t="shared" si="20"/>
        <v>0</v>
      </c>
      <c r="L69" s="96" t="str">
        <f t="shared" si="16"/>
        <v xml:space="preserve"> 0.00%</v>
      </c>
    </row>
    <row r="70" spans="1:12" ht="9" customHeight="1" thickBot="1" x14ac:dyDescent="0.3">
      <c r="A70" s="209"/>
      <c r="B70" s="210"/>
      <c r="C70" s="137"/>
      <c r="D70" s="84"/>
      <c r="E70" s="91"/>
      <c r="F70" s="84"/>
      <c r="G70" s="137"/>
      <c r="H70" s="84"/>
      <c r="I70" s="137"/>
      <c r="J70" s="84"/>
      <c r="K70" s="138"/>
      <c r="L70" s="98"/>
    </row>
    <row r="71" spans="1:12" x14ac:dyDescent="0.25">
      <c r="A71" s="211" t="s">
        <v>57</v>
      </c>
      <c r="B71" s="222"/>
      <c r="C71" s="102"/>
      <c r="D71" s="103"/>
      <c r="E71" s="92">
        <f>SUM(E63:E69)</f>
        <v>133.52511519999999</v>
      </c>
      <c r="F71" s="104"/>
      <c r="G71" s="105"/>
      <c r="H71" s="103"/>
      <c r="I71" s="136">
        <f>SUM(I63:I69)</f>
        <v>133.3713152</v>
      </c>
      <c r="J71" s="85"/>
      <c r="K71" s="140">
        <f t="shared" ref="K71:K75" si="33">I71-E71</f>
        <v>-0.15379999999998972</v>
      </c>
      <c r="L71" s="68">
        <f t="shared" si="16"/>
        <v>-1.1518432301640402E-3</v>
      </c>
    </row>
    <row r="72" spans="1:12" x14ac:dyDescent="0.25">
      <c r="A72" s="213" t="s">
        <v>58</v>
      </c>
      <c r="B72" s="222"/>
      <c r="C72" s="102">
        <v>0.13</v>
      </c>
      <c r="D72" s="106"/>
      <c r="E72" s="93">
        <f>E71*C72</f>
        <v>17.358264975999997</v>
      </c>
      <c r="F72" s="74"/>
      <c r="G72" s="102">
        <v>0.13</v>
      </c>
      <c r="H72" s="106"/>
      <c r="I72" s="100">
        <f>I71*G72</f>
        <v>17.338270976</v>
      </c>
      <c r="J72" s="86"/>
      <c r="K72" s="67">
        <f t="shared" si="33"/>
        <v>-1.9993999999996959E-2</v>
      </c>
      <c r="L72" s="96">
        <f t="shared" si="16"/>
        <v>-1.1518432301639292E-3</v>
      </c>
    </row>
    <row r="73" spans="1:12" hidden="1" x14ac:dyDescent="0.25">
      <c r="A73" s="215" t="s">
        <v>117</v>
      </c>
      <c r="B73" s="222"/>
      <c r="C73" s="74"/>
      <c r="D73" s="106"/>
      <c r="E73" s="93">
        <f>E71+E72</f>
        <v>150.88338017599997</v>
      </c>
      <c r="F73" s="74"/>
      <c r="G73" s="74"/>
      <c r="H73" s="106"/>
      <c r="I73" s="100">
        <f>I71+I72</f>
        <v>150.70958617599999</v>
      </c>
      <c r="J73" s="86"/>
      <c r="K73" s="67">
        <f t="shared" si="33"/>
        <v>-0.17379399999998668</v>
      </c>
      <c r="L73" s="96">
        <f t="shared" ref="L73" si="34">I73/E73-1</f>
        <v>-1.1518432301640402E-3</v>
      </c>
    </row>
    <row r="74" spans="1:12" hidden="1" x14ac:dyDescent="0.25">
      <c r="A74" s="216"/>
      <c r="B74" s="222"/>
      <c r="C74" s="74"/>
      <c r="D74" s="106"/>
      <c r="E74" s="94">
        <v>0</v>
      </c>
      <c r="F74" s="74"/>
      <c r="G74" s="74"/>
      <c r="H74" s="106"/>
      <c r="I74" s="101">
        <v>0</v>
      </c>
      <c r="J74" s="86"/>
      <c r="K74" s="67">
        <f t="shared" si="33"/>
        <v>0</v>
      </c>
      <c r="L74" s="101">
        <v>0</v>
      </c>
    </row>
    <row r="75" spans="1:12" ht="15.75" thickBot="1" x14ac:dyDescent="0.3">
      <c r="A75" s="217" t="s">
        <v>96</v>
      </c>
      <c r="B75" s="218"/>
      <c r="C75" s="142"/>
      <c r="D75" s="143"/>
      <c r="E75" s="144">
        <f>E73+E74</f>
        <v>150.88338017599997</v>
      </c>
      <c r="F75" s="145"/>
      <c r="G75" s="145"/>
      <c r="H75" s="145"/>
      <c r="I75" s="149">
        <f>I73+I74</f>
        <v>150.70958617599999</v>
      </c>
      <c r="J75" s="146"/>
      <c r="K75" s="147">
        <f t="shared" si="33"/>
        <v>-0.17379399999998668</v>
      </c>
      <c r="L75" s="148">
        <f t="shared" ref="L75" si="35">IF(I75-E75=0, " 0.00%", I75/E75-1)</f>
        <v>-1.1518432301640402E-3</v>
      </c>
    </row>
    <row r="76" spans="1:12" ht="9" customHeight="1" thickBot="1" x14ac:dyDescent="0.3">
      <c r="A76" s="209"/>
      <c r="B76" s="210"/>
      <c r="C76" s="137"/>
      <c r="D76" s="84"/>
      <c r="E76" s="91"/>
      <c r="F76" s="84"/>
      <c r="G76" s="137"/>
      <c r="H76" s="84"/>
      <c r="I76" s="137"/>
      <c r="J76" s="84"/>
      <c r="K76" s="138"/>
      <c r="L76" s="98"/>
    </row>
    <row r="78" spans="1:12" ht="14.25" customHeight="1" x14ac:dyDescent="0.25"/>
    <row r="79" spans="1:12" x14ac:dyDescent="0.25">
      <c r="A79" s="229" t="s">
        <v>97</v>
      </c>
      <c r="B79" s="230"/>
      <c r="C79" s="231"/>
    </row>
    <row r="80" spans="1:12" hidden="1" x14ac:dyDescent="0.25">
      <c r="A80" s="233"/>
      <c r="B80" s="234"/>
      <c r="C80" s="235"/>
    </row>
    <row r="81" spans="1:12" x14ac:dyDescent="0.25">
      <c r="A81" s="233" t="s">
        <v>66</v>
      </c>
      <c r="B81" s="234"/>
      <c r="C81" s="236">
        <v>1500</v>
      </c>
    </row>
    <row r="82" spans="1:12" x14ac:dyDescent="0.25">
      <c r="A82" s="237" t="s">
        <v>65</v>
      </c>
      <c r="B82" s="238"/>
      <c r="C82" s="239">
        <v>1.0430999999999999</v>
      </c>
    </row>
    <row r="84" spans="1:12" x14ac:dyDescent="0.25">
      <c r="A84" s="187"/>
      <c r="B84" s="188"/>
      <c r="C84" s="258" t="s">
        <v>37</v>
      </c>
      <c r="D84" s="259"/>
      <c r="E84" s="260"/>
      <c r="F84" s="187"/>
      <c r="G84" s="258" t="s">
        <v>59</v>
      </c>
      <c r="H84" s="259"/>
      <c r="I84" s="260"/>
      <c r="J84" s="187"/>
      <c r="K84" s="258" t="s">
        <v>39</v>
      </c>
      <c r="L84" s="260"/>
    </row>
    <row r="85" spans="1:12" ht="30" x14ac:dyDescent="0.25">
      <c r="A85" s="187"/>
      <c r="B85" s="189"/>
      <c r="C85" s="190" t="s">
        <v>108</v>
      </c>
      <c r="D85" s="190" t="s">
        <v>35</v>
      </c>
      <c r="E85" s="191" t="s">
        <v>109</v>
      </c>
      <c r="F85" s="187"/>
      <c r="G85" s="190" t="s">
        <v>108</v>
      </c>
      <c r="H85" s="190" t="s">
        <v>35</v>
      </c>
      <c r="I85" s="191" t="s">
        <v>109</v>
      </c>
      <c r="J85" s="187"/>
      <c r="K85" s="192" t="s">
        <v>40</v>
      </c>
      <c r="L85" s="193" t="s">
        <v>41</v>
      </c>
    </row>
    <row r="86" spans="1:12" x14ac:dyDescent="0.25">
      <c r="A86" s="194" t="s">
        <v>36</v>
      </c>
      <c r="B86" s="195" t="s">
        <v>61</v>
      </c>
      <c r="C86" s="67">
        <v>12.98</v>
      </c>
      <c r="D86" s="109">
        <v>1</v>
      </c>
      <c r="E86" s="67">
        <f>C86*D86</f>
        <v>12.98</v>
      </c>
      <c r="F86" s="75"/>
      <c r="G86" s="67">
        <f>G50</f>
        <v>16.38</v>
      </c>
      <c r="H86" s="109">
        <v>1</v>
      </c>
      <c r="I86" s="67">
        <f>G86*H86</f>
        <v>16.38</v>
      </c>
      <c r="J86" s="75"/>
      <c r="K86" s="67">
        <f>I86-E86</f>
        <v>3.3999999999999986</v>
      </c>
      <c r="L86" s="96">
        <f t="shared" ref="L86:L108" si="36">IF(I86-E86=0, " 0.00%", I86/E86-1)</f>
        <v>0.2619414483821263</v>
      </c>
    </row>
    <row r="87" spans="1:12" x14ac:dyDescent="0.25">
      <c r="A87" s="196" t="s">
        <v>60</v>
      </c>
      <c r="B87" s="197" t="s">
        <v>61</v>
      </c>
      <c r="C87" s="67">
        <v>-0.13</v>
      </c>
      <c r="D87" s="109">
        <v>1</v>
      </c>
      <c r="E87" s="67">
        <f t="shared" ref="E87:E91" si="37">C87*D87</f>
        <v>-0.13</v>
      </c>
      <c r="F87" s="75"/>
      <c r="G87" s="67">
        <f t="shared" ref="G87:G105" si="38">G51</f>
        <v>-0.1638</v>
      </c>
      <c r="H87" s="109">
        <v>1</v>
      </c>
      <c r="I87" s="67">
        <f t="shared" ref="I87:I91" si="39">G87*H87</f>
        <v>-0.1638</v>
      </c>
      <c r="J87" s="86"/>
      <c r="K87" s="67">
        <f t="shared" ref="K87:K105" si="40">I87-E87</f>
        <v>-3.3799999999999997E-2</v>
      </c>
      <c r="L87" s="96">
        <f t="shared" si="36"/>
        <v>0.26</v>
      </c>
    </row>
    <row r="88" spans="1:12" x14ac:dyDescent="0.25">
      <c r="A88" s="196" t="s">
        <v>63</v>
      </c>
      <c r="B88" s="197" t="s">
        <v>61</v>
      </c>
      <c r="C88" s="67">
        <v>0.64</v>
      </c>
      <c r="D88" s="109">
        <v>1</v>
      </c>
      <c r="E88" s="67">
        <f t="shared" si="37"/>
        <v>0.64</v>
      </c>
      <c r="F88" s="75"/>
      <c r="G88" s="67">
        <f t="shared" si="38"/>
        <v>0.64</v>
      </c>
      <c r="H88" s="109">
        <v>1</v>
      </c>
      <c r="I88" s="67">
        <f t="shared" si="39"/>
        <v>0.64</v>
      </c>
      <c r="J88" s="86"/>
      <c r="K88" s="67">
        <f t="shared" si="40"/>
        <v>0</v>
      </c>
      <c r="L88" s="96" t="str">
        <f t="shared" si="36"/>
        <v xml:space="preserve"> 0.00%</v>
      </c>
    </row>
    <row r="89" spans="1:12" x14ac:dyDescent="0.25">
      <c r="A89" s="196" t="s">
        <v>42</v>
      </c>
      <c r="B89" s="197" t="s">
        <v>62</v>
      </c>
      <c r="C89" s="70">
        <f>C53</f>
        <v>2.2200000000000001E-2</v>
      </c>
      <c r="D89" s="76">
        <f>$C$81</f>
        <v>1500</v>
      </c>
      <c r="E89" s="67">
        <f t="shared" si="37"/>
        <v>33.300000000000004</v>
      </c>
      <c r="F89" s="75"/>
      <c r="G89" s="70">
        <f>G53</f>
        <v>1.78E-2</v>
      </c>
      <c r="H89" s="76">
        <f>$C$81</f>
        <v>1500</v>
      </c>
      <c r="I89" s="67">
        <f t="shared" si="39"/>
        <v>26.7</v>
      </c>
      <c r="J89" s="86"/>
      <c r="K89" s="67">
        <f t="shared" si="40"/>
        <v>-6.600000000000005</v>
      </c>
      <c r="L89" s="96">
        <f t="shared" si="36"/>
        <v>-0.19819819819819828</v>
      </c>
    </row>
    <row r="90" spans="1:12" x14ac:dyDescent="0.25">
      <c r="A90" s="196" t="s">
        <v>60</v>
      </c>
      <c r="B90" s="197" t="s">
        <v>62</v>
      </c>
      <c r="C90" s="70">
        <f>C54</f>
        <v>-2.0000000000000001E-4</v>
      </c>
      <c r="D90" s="76">
        <f>$C$81</f>
        <v>1500</v>
      </c>
      <c r="E90" s="67">
        <f t="shared" si="37"/>
        <v>-0.3</v>
      </c>
      <c r="F90" s="75"/>
      <c r="G90" s="70">
        <f>G54</f>
        <v>-2.0000000000000001E-4</v>
      </c>
      <c r="H90" s="76">
        <f>$C$81</f>
        <v>1500</v>
      </c>
      <c r="I90" s="67">
        <f t="shared" si="39"/>
        <v>-0.3</v>
      </c>
      <c r="J90" s="86"/>
      <c r="K90" s="67">
        <f t="shared" si="40"/>
        <v>0</v>
      </c>
      <c r="L90" s="96" t="str">
        <f t="shared" si="36"/>
        <v xml:space="preserve"> 0.00%</v>
      </c>
    </row>
    <row r="91" spans="1:12" x14ac:dyDescent="0.25">
      <c r="A91" s="198" t="s">
        <v>64</v>
      </c>
      <c r="B91" s="197" t="s">
        <v>62</v>
      </c>
      <c r="C91" s="70">
        <v>8.0000000000000004E-4</v>
      </c>
      <c r="D91" s="76">
        <f>$C$81</f>
        <v>1500</v>
      </c>
      <c r="E91" s="67">
        <f t="shared" si="37"/>
        <v>1.2</v>
      </c>
      <c r="F91" s="75"/>
      <c r="G91" s="70">
        <f t="shared" si="38"/>
        <v>8.0000000000000004E-4</v>
      </c>
      <c r="H91" s="76">
        <f>$C$81</f>
        <v>1500</v>
      </c>
      <c r="I91" s="67">
        <f t="shared" si="39"/>
        <v>1.2</v>
      </c>
      <c r="J91" s="86"/>
      <c r="K91" s="67">
        <f t="shared" si="40"/>
        <v>0</v>
      </c>
      <c r="L91" s="96" t="str">
        <f t="shared" si="36"/>
        <v xml:space="preserve"> 0.00%</v>
      </c>
    </row>
    <row r="92" spans="1:12" x14ac:dyDescent="0.25">
      <c r="A92" s="199" t="s">
        <v>43</v>
      </c>
      <c r="B92" s="200"/>
      <c r="C92" s="64"/>
      <c r="D92" s="80"/>
      <c r="E92" s="63">
        <f>SUM(E86:E91)</f>
        <v>47.690000000000012</v>
      </c>
      <c r="F92" s="77"/>
      <c r="G92" s="64"/>
      <c r="H92" s="80"/>
      <c r="I92" s="63">
        <f>SUM(I86:I91)</f>
        <v>44.45620000000001</v>
      </c>
      <c r="J92" s="65"/>
      <c r="K92" s="141">
        <f t="shared" si="40"/>
        <v>-3.2338000000000022</v>
      </c>
      <c r="L92" s="97">
        <f t="shared" si="36"/>
        <v>-6.7808764940239019E-2</v>
      </c>
    </row>
    <row r="93" spans="1:12" x14ac:dyDescent="0.25">
      <c r="A93" s="201" t="s">
        <v>44</v>
      </c>
      <c r="B93" s="197" t="s">
        <v>62</v>
      </c>
      <c r="C93" s="87">
        <f>C103*0.64+C104*0.18+C105*0.18</f>
        <v>0.10214000000000001</v>
      </c>
      <c r="D93" s="78">
        <f>($C$81*$C$46)-$C$81</f>
        <v>64.649999999999864</v>
      </c>
      <c r="E93" s="89">
        <f t="shared" ref="E93" si="41">C93*D93</f>
        <v>6.6033509999999866</v>
      </c>
      <c r="F93" s="77"/>
      <c r="G93" s="87">
        <f t="shared" si="38"/>
        <v>0.10214000000000001</v>
      </c>
      <c r="H93" s="78">
        <f>($C$81*$C$46)-$C$81</f>
        <v>64.649999999999864</v>
      </c>
      <c r="I93" s="89">
        <f t="shared" ref="I93" si="42">G93*H93</f>
        <v>6.6033509999999866</v>
      </c>
      <c r="J93" s="65"/>
      <c r="K93" s="67">
        <f t="shared" si="40"/>
        <v>0</v>
      </c>
      <c r="L93" s="96" t="str">
        <f t="shared" si="36"/>
        <v xml:space="preserve"> 0.00%</v>
      </c>
    </row>
    <row r="94" spans="1:12" hidden="1" x14ac:dyDescent="0.25">
      <c r="A94" s="201" t="s">
        <v>45</v>
      </c>
      <c r="B94" s="197" t="s">
        <v>62</v>
      </c>
      <c r="C94" s="108">
        <v>0</v>
      </c>
      <c r="D94" s="78">
        <v>0</v>
      </c>
      <c r="E94" s="89">
        <v>0</v>
      </c>
      <c r="F94" s="77"/>
      <c r="G94" s="108">
        <f t="shared" si="38"/>
        <v>0</v>
      </c>
      <c r="H94" s="78">
        <v>0</v>
      </c>
      <c r="I94" s="89">
        <v>0</v>
      </c>
      <c r="J94" s="65"/>
      <c r="K94" s="67">
        <f t="shared" si="40"/>
        <v>0</v>
      </c>
      <c r="L94" s="96" t="str">
        <f t="shared" si="36"/>
        <v xml:space="preserve"> 0.00%</v>
      </c>
    </row>
    <row r="95" spans="1:12" x14ac:dyDescent="0.25">
      <c r="A95" s="196" t="s">
        <v>46</v>
      </c>
      <c r="B95" s="197" t="s">
        <v>61</v>
      </c>
      <c r="C95" s="107">
        <v>0.79</v>
      </c>
      <c r="D95" s="78">
        <v>1</v>
      </c>
      <c r="E95" s="89">
        <f t="shared" ref="E95" si="43">C95*D95</f>
        <v>0.79</v>
      </c>
      <c r="F95" s="77"/>
      <c r="G95" s="107">
        <f t="shared" si="38"/>
        <v>0.79</v>
      </c>
      <c r="H95" s="78">
        <v>1</v>
      </c>
      <c r="I95" s="89">
        <f t="shared" ref="I95" si="44">G95*H95</f>
        <v>0.79</v>
      </c>
      <c r="J95" s="65"/>
      <c r="K95" s="67">
        <f t="shared" si="40"/>
        <v>0</v>
      </c>
      <c r="L95" s="96" t="str">
        <f t="shared" si="36"/>
        <v xml:space="preserve"> 0.00%</v>
      </c>
    </row>
    <row r="96" spans="1:12" x14ac:dyDescent="0.25">
      <c r="A96" s="202" t="s">
        <v>47</v>
      </c>
      <c r="B96" s="203"/>
      <c r="C96" s="80"/>
      <c r="D96" s="80"/>
      <c r="E96" s="90">
        <f>SUM(E92:E95)</f>
        <v>55.083351</v>
      </c>
      <c r="F96" s="77"/>
      <c r="G96" s="80"/>
      <c r="H96" s="80"/>
      <c r="I96" s="90">
        <f>SUM(I92:I95)</f>
        <v>51.849550999999998</v>
      </c>
      <c r="J96" s="65"/>
      <c r="K96" s="141">
        <f t="shared" si="40"/>
        <v>-3.2338000000000022</v>
      </c>
      <c r="L96" s="97">
        <f t="shared" si="36"/>
        <v>-5.870739418159221E-2</v>
      </c>
    </row>
    <row r="97" spans="1:12" x14ac:dyDescent="0.25">
      <c r="A97" s="204" t="s">
        <v>48</v>
      </c>
      <c r="B97" s="197" t="s">
        <v>62</v>
      </c>
      <c r="C97" s="87">
        <v>7.4999999999999997E-3</v>
      </c>
      <c r="D97" s="81">
        <f>$C$81*$C$46</f>
        <v>1564.6499999999999</v>
      </c>
      <c r="E97" s="89">
        <f t="shared" ref="E97:E98" si="45">C97*D97</f>
        <v>11.734874999999999</v>
      </c>
      <c r="F97" s="77"/>
      <c r="G97" s="87">
        <f t="shared" si="38"/>
        <v>7.4999999999999997E-3</v>
      </c>
      <c r="H97" s="81">
        <f>$C$81*$C$46</f>
        <v>1564.6499999999999</v>
      </c>
      <c r="I97" s="89">
        <f t="shared" ref="I97:I98" si="46">G97*H97</f>
        <v>11.734874999999999</v>
      </c>
      <c r="J97" s="65"/>
      <c r="K97" s="95">
        <f t="shared" si="40"/>
        <v>0</v>
      </c>
      <c r="L97" s="96" t="str">
        <f t="shared" si="36"/>
        <v xml:space="preserve"> 0.00%</v>
      </c>
    </row>
    <row r="98" spans="1:12" x14ac:dyDescent="0.25">
      <c r="A98" s="205" t="s">
        <v>49</v>
      </c>
      <c r="B98" s="197" t="s">
        <v>62</v>
      </c>
      <c r="C98" s="87">
        <v>5.4000000000000003E-3</v>
      </c>
      <c r="D98" s="81">
        <f>$C$81*$C$46</f>
        <v>1564.6499999999999</v>
      </c>
      <c r="E98" s="89">
        <f t="shared" si="45"/>
        <v>8.4491099999999992</v>
      </c>
      <c r="F98" s="77"/>
      <c r="G98" s="87">
        <f t="shared" si="38"/>
        <v>5.4000000000000003E-3</v>
      </c>
      <c r="H98" s="81">
        <f>$C$81*$C$46</f>
        <v>1564.6499999999999</v>
      </c>
      <c r="I98" s="89">
        <f t="shared" si="46"/>
        <v>8.4491099999999992</v>
      </c>
      <c r="J98" s="65"/>
      <c r="K98" s="95">
        <f t="shared" si="40"/>
        <v>0</v>
      </c>
      <c r="L98" s="96" t="str">
        <f t="shared" si="36"/>
        <v xml:space="preserve"> 0.00%</v>
      </c>
    </row>
    <row r="99" spans="1:12" x14ac:dyDescent="0.25">
      <c r="A99" s="202" t="s">
        <v>50</v>
      </c>
      <c r="B99" s="200"/>
      <c r="C99" s="80"/>
      <c r="D99" s="80"/>
      <c r="E99" s="90">
        <f>SUM(E96:E98)</f>
        <v>75.267336</v>
      </c>
      <c r="F99" s="82"/>
      <c r="G99" s="80"/>
      <c r="H99" s="80"/>
      <c r="I99" s="90">
        <f>SUM(I96:I98)</f>
        <v>72.033535999999998</v>
      </c>
      <c r="J99" s="66"/>
      <c r="K99" s="141">
        <f t="shared" si="40"/>
        <v>-3.2338000000000022</v>
      </c>
      <c r="L99" s="97">
        <f t="shared" si="36"/>
        <v>-4.296418834326754E-2</v>
      </c>
    </row>
    <row r="100" spans="1:12" x14ac:dyDescent="0.25">
      <c r="A100" s="206" t="s">
        <v>51</v>
      </c>
      <c r="B100" s="197" t="s">
        <v>62</v>
      </c>
      <c r="C100" s="88">
        <v>4.4000000000000003E-3</v>
      </c>
      <c r="D100" s="81">
        <f>$C$81*$C$46</f>
        <v>1564.6499999999999</v>
      </c>
      <c r="E100" s="67">
        <f t="shared" ref="E100:E104" si="47">C100*D100</f>
        <v>6.8844599999999998</v>
      </c>
      <c r="F100" s="79"/>
      <c r="G100" s="88">
        <f t="shared" si="38"/>
        <v>4.4000000000000003E-3</v>
      </c>
      <c r="H100" s="81">
        <f>$C$81*$C$46</f>
        <v>1564.6499999999999</v>
      </c>
      <c r="I100" s="67">
        <f t="shared" ref="I100:I104" si="48">G100*H100</f>
        <v>6.8844599999999998</v>
      </c>
      <c r="J100" s="65"/>
      <c r="K100" s="95">
        <f t="shared" si="40"/>
        <v>0</v>
      </c>
      <c r="L100" s="96" t="str">
        <f t="shared" si="36"/>
        <v xml:space="preserve"> 0.00%</v>
      </c>
    </row>
    <row r="101" spans="1:12" x14ac:dyDescent="0.25">
      <c r="A101" s="206" t="s">
        <v>52</v>
      </c>
      <c r="B101" s="197" t="s">
        <v>62</v>
      </c>
      <c r="C101" s="88">
        <v>1.2999999999999999E-3</v>
      </c>
      <c r="D101" s="81">
        <f>$C$81*$C$46</f>
        <v>1564.6499999999999</v>
      </c>
      <c r="E101" s="67">
        <f t="shared" si="47"/>
        <v>2.0340449999999999</v>
      </c>
      <c r="F101" s="79"/>
      <c r="G101" s="88">
        <f t="shared" si="38"/>
        <v>1.2999999999999999E-3</v>
      </c>
      <c r="H101" s="81">
        <f>$C$81*$C$46</f>
        <v>1564.6499999999999</v>
      </c>
      <c r="I101" s="67">
        <f t="shared" si="48"/>
        <v>2.0340449999999999</v>
      </c>
      <c r="J101" s="65"/>
      <c r="K101" s="95">
        <f t="shared" si="40"/>
        <v>0</v>
      </c>
      <c r="L101" s="96" t="str">
        <f t="shared" si="36"/>
        <v xml:space="preserve"> 0.00%</v>
      </c>
    </row>
    <row r="102" spans="1:12" x14ac:dyDescent="0.25">
      <c r="A102" s="196" t="s">
        <v>53</v>
      </c>
      <c r="B102" s="197" t="s">
        <v>61</v>
      </c>
      <c r="C102" s="69">
        <v>0.25</v>
      </c>
      <c r="D102" s="81">
        <v>1</v>
      </c>
      <c r="E102" s="67">
        <f t="shared" si="47"/>
        <v>0.25</v>
      </c>
      <c r="F102" s="79"/>
      <c r="G102" s="69">
        <f t="shared" si="38"/>
        <v>0.25</v>
      </c>
      <c r="H102" s="81">
        <v>1</v>
      </c>
      <c r="I102" s="67">
        <f t="shared" si="48"/>
        <v>0.25</v>
      </c>
      <c r="J102" s="79"/>
      <c r="K102" s="95">
        <f t="shared" si="40"/>
        <v>0</v>
      </c>
      <c r="L102" s="96" t="str">
        <f t="shared" si="36"/>
        <v xml:space="preserve"> 0.00%</v>
      </c>
    </row>
    <row r="103" spans="1:12" x14ac:dyDescent="0.25">
      <c r="A103" s="196" t="s">
        <v>54</v>
      </c>
      <c r="B103" s="197" t="s">
        <v>62</v>
      </c>
      <c r="C103" s="83">
        <v>0.08</v>
      </c>
      <c r="D103" s="81">
        <f>$C$81*0.64</f>
        <v>960</v>
      </c>
      <c r="E103" s="67">
        <f t="shared" si="47"/>
        <v>76.8</v>
      </c>
      <c r="F103" s="79"/>
      <c r="G103" s="83">
        <f t="shared" si="38"/>
        <v>0.08</v>
      </c>
      <c r="H103" s="81">
        <f>$C$81*0.64</f>
        <v>960</v>
      </c>
      <c r="I103" s="67">
        <f t="shared" si="48"/>
        <v>76.8</v>
      </c>
      <c r="J103" s="79"/>
      <c r="K103" s="95">
        <f t="shared" si="40"/>
        <v>0</v>
      </c>
      <c r="L103" s="96" t="str">
        <f t="shared" si="36"/>
        <v xml:space="preserve"> 0.00%</v>
      </c>
    </row>
    <row r="104" spans="1:12" x14ac:dyDescent="0.25">
      <c r="A104" s="196" t="s">
        <v>55</v>
      </c>
      <c r="B104" s="197" t="s">
        <v>62</v>
      </c>
      <c r="C104" s="83">
        <v>0.122</v>
      </c>
      <c r="D104" s="81">
        <f>$C$81*0.18</f>
        <v>270</v>
      </c>
      <c r="E104" s="67">
        <f t="shared" si="47"/>
        <v>32.94</v>
      </c>
      <c r="F104" s="79"/>
      <c r="G104" s="83">
        <f t="shared" si="38"/>
        <v>0.122</v>
      </c>
      <c r="H104" s="81">
        <f>$C$81*0.18</f>
        <v>270</v>
      </c>
      <c r="I104" s="67">
        <f t="shared" si="48"/>
        <v>32.94</v>
      </c>
      <c r="J104" s="79"/>
      <c r="K104" s="95">
        <f t="shared" si="40"/>
        <v>0</v>
      </c>
      <c r="L104" s="96" t="str">
        <f t="shared" si="36"/>
        <v xml:space="preserve"> 0.00%</v>
      </c>
    </row>
    <row r="105" spans="1:12" ht="15.75" thickBot="1" x14ac:dyDescent="0.3">
      <c r="A105" s="207" t="s">
        <v>56</v>
      </c>
      <c r="B105" s="208" t="s">
        <v>62</v>
      </c>
      <c r="C105" s="83">
        <v>0.161</v>
      </c>
      <c r="D105" s="81">
        <f>$C$81*0.18</f>
        <v>270</v>
      </c>
      <c r="E105" s="67">
        <f>C105*D105</f>
        <v>43.47</v>
      </c>
      <c r="F105" s="79"/>
      <c r="G105" s="83">
        <f t="shared" si="38"/>
        <v>0.161</v>
      </c>
      <c r="H105" s="81">
        <f>$C$81*0.18</f>
        <v>270</v>
      </c>
      <c r="I105" s="67">
        <f>G105*H105</f>
        <v>43.47</v>
      </c>
      <c r="J105" s="79"/>
      <c r="K105" s="95">
        <f t="shared" si="40"/>
        <v>0</v>
      </c>
      <c r="L105" s="96" t="str">
        <f t="shared" si="36"/>
        <v xml:space="preserve"> 0.00%</v>
      </c>
    </row>
    <row r="106" spans="1:12" ht="9" customHeight="1" thickBot="1" x14ac:dyDescent="0.3">
      <c r="A106" s="209"/>
      <c r="B106" s="210"/>
      <c r="C106" s="137"/>
      <c r="D106" s="84"/>
      <c r="E106" s="91"/>
      <c r="F106" s="84"/>
      <c r="G106" s="137"/>
      <c r="H106" s="84"/>
      <c r="I106" s="137"/>
      <c r="J106" s="84"/>
      <c r="K106" s="138"/>
      <c r="L106" s="98"/>
    </row>
    <row r="107" spans="1:12" x14ac:dyDescent="0.25">
      <c r="A107" s="223" t="s">
        <v>57</v>
      </c>
      <c r="B107" s="224"/>
      <c r="C107" s="130"/>
      <c r="D107" s="131"/>
      <c r="E107" s="132">
        <f>SUM(E99:E105)</f>
        <v>237.64584099999999</v>
      </c>
      <c r="F107" s="133"/>
      <c r="G107" s="134"/>
      <c r="H107" s="131"/>
      <c r="I107" s="139">
        <f>SUM(I99:I105)</f>
        <v>234.41204100000002</v>
      </c>
      <c r="J107" s="135"/>
      <c r="K107" s="140">
        <f t="shared" ref="K107:K111" si="49">I107-E107</f>
        <v>-3.2337999999999738</v>
      </c>
      <c r="L107" s="68">
        <f t="shared" si="36"/>
        <v>-1.3607643989864582E-2</v>
      </c>
    </row>
    <row r="108" spans="1:12" x14ac:dyDescent="0.25">
      <c r="A108" s="225" t="s">
        <v>58</v>
      </c>
      <c r="B108" s="226"/>
      <c r="C108" s="102">
        <v>0.13</v>
      </c>
      <c r="D108" s="106"/>
      <c r="E108" s="93">
        <f>E107*C108</f>
        <v>30.893959330000001</v>
      </c>
      <c r="F108" s="74"/>
      <c r="G108" s="102">
        <v>0.13</v>
      </c>
      <c r="H108" s="106"/>
      <c r="I108" s="100">
        <f>I107*G108</f>
        <v>30.473565330000003</v>
      </c>
      <c r="J108" s="86"/>
      <c r="K108" s="67">
        <f t="shared" si="49"/>
        <v>-0.42039399999999816</v>
      </c>
      <c r="L108" s="96">
        <f t="shared" si="36"/>
        <v>-1.3607643989864693E-2</v>
      </c>
    </row>
    <row r="109" spans="1:12" hidden="1" x14ac:dyDescent="0.25">
      <c r="A109" s="227" t="s">
        <v>117</v>
      </c>
      <c r="B109" s="226"/>
      <c r="C109" s="74"/>
      <c r="D109" s="106"/>
      <c r="E109" s="93">
        <f>E107+E108</f>
        <v>268.53980032999999</v>
      </c>
      <c r="F109" s="74"/>
      <c r="G109" s="74"/>
      <c r="H109" s="106"/>
      <c r="I109" s="100">
        <f>I107+I108</f>
        <v>264.88560633000003</v>
      </c>
      <c r="J109" s="86"/>
      <c r="K109" s="67">
        <f t="shared" si="49"/>
        <v>-3.6541939999999613</v>
      </c>
      <c r="L109" s="96">
        <f t="shared" ref="L109" si="50">I109/E109-1</f>
        <v>-1.3607643989864582E-2</v>
      </c>
    </row>
    <row r="110" spans="1:12" ht="14.25" hidden="1" customHeight="1" x14ac:dyDescent="0.25">
      <c r="A110" s="228"/>
      <c r="B110" s="226"/>
      <c r="C110" s="74"/>
      <c r="D110" s="106"/>
      <c r="E110" s="94">
        <v>0</v>
      </c>
      <c r="F110" s="74"/>
      <c r="G110" s="74"/>
      <c r="H110" s="106"/>
      <c r="I110" s="101">
        <v>0</v>
      </c>
      <c r="J110" s="86"/>
      <c r="K110" s="67">
        <f t="shared" si="49"/>
        <v>0</v>
      </c>
      <c r="L110" s="101">
        <v>0</v>
      </c>
    </row>
    <row r="111" spans="1:12" ht="15.75" thickBot="1" x14ac:dyDescent="0.3">
      <c r="A111" s="217" t="s">
        <v>96</v>
      </c>
      <c r="B111" s="218"/>
      <c r="C111" s="142"/>
      <c r="D111" s="143"/>
      <c r="E111" s="144">
        <f>E109+E110</f>
        <v>268.53980032999999</v>
      </c>
      <c r="F111" s="145"/>
      <c r="G111" s="145"/>
      <c r="H111" s="145"/>
      <c r="I111" s="149">
        <f>I109+I110</f>
        <v>264.88560633000003</v>
      </c>
      <c r="J111" s="146"/>
      <c r="K111" s="147">
        <f t="shared" si="49"/>
        <v>-3.6541939999999613</v>
      </c>
      <c r="L111" s="148">
        <f t="shared" ref="L111" si="51">IF(I111-E111=0, " 0.00%", I111/E111-1)</f>
        <v>-1.3607643989864582E-2</v>
      </c>
    </row>
    <row r="112" spans="1:12" ht="9" customHeight="1" thickBot="1" x14ac:dyDescent="0.3">
      <c r="A112" s="209"/>
      <c r="B112" s="210"/>
      <c r="C112" s="137"/>
      <c r="D112" s="84"/>
      <c r="E112" s="91"/>
      <c r="F112" s="84"/>
      <c r="G112" s="137"/>
      <c r="H112" s="84"/>
      <c r="I112" s="137"/>
      <c r="J112" s="84"/>
      <c r="K112" s="138"/>
      <c r="L112" s="98"/>
    </row>
  </sheetData>
  <mergeCells count="9">
    <mergeCell ref="C12:E12"/>
    <mergeCell ref="G12:I12"/>
    <mergeCell ref="K12:L12"/>
    <mergeCell ref="C84:E84"/>
    <mergeCell ref="G84:I84"/>
    <mergeCell ref="K84:L84"/>
    <mergeCell ref="C48:E48"/>
    <mergeCell ref="G48:I48"/>
    <mergeCell ref="K48:L48"/>
  </mergeCells>
  <pageMargins left="0.7" right="0.7" top="0.75" bottom="0.75" header="0.3" footer="0.3"/>
  <pageSetup scale="47" orientation="portrait" r:id="rId1"/>
  <headerFooter>
    <oddHeader>&amp;RFiled: 2016-10-18
EB-2016-0082
Draft Rate Order
Attachment 3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112"/>
  <sheetViews>
    <sheetView showGridLines="0" tabSelected="1" view="pageLayout" topLeftCell="B1" zoomScaleNormal="90" workbookViewId="0">
      <selection activeCell="L1" sqref="L1"/>
    </sheetView>
  </sheetViews>
  <sheetFormatPr defaultColWidth="9.140625" defaultRowHeight="15" x14ac:dyDescent="0.25"/>
  <cols>
    <col min="1" max="1" width="64.85546875" style="232" bestFit="1" customWidth="1"/>
    <col min="2" max="2" width="9.140625" style="232"/>
    <col min="3" max="3" width="11.7109375" style="232" bestFit="1" customWidth="1"/>
    <col min="4" max="4" width="9.140625" style="186"/>
    <col min="5" max="5" width="11.5703125" style="186" bestFit="1" customWidth="1"/>
    <col min="6" max="6" width="9.140625" style="186"/>
    <col min="7" max="7" width="11.7109375" style="186" bestFit="1" customWidth="1"/>
    <col min="8" max="8" width="9.140625" style="186"/>
    <col min="9" max="9" width="11.5703125" style="186" bestFit="1" customWidth="1"/>
    <col min="10" max="10" width="9.140625" style="186"/>
    <col min="11" max="11" width="9.5703125" style="186" bestFit="1" customWidth="1"/>
    <col min="12" max="12" width="12.140625" style="186" bestFit="1" customWidth="1"/>
    <col min="13" max="16384" width="9.140625" style="186"/>
  </cols>
  <sheetData>
    <row r="1" spans="1:12" s="183" customFormat="1" x14ac:dyDescent="0.25">
      <c r="E1" s="184"/>
      <c r="L1" s="185"/>
    </row>
    <row r="2" spans="1:12" s="183" customFormat="1" x14ac:dyDescent="0.25">
      <c r="E2" s="184"/>
      <c r="L2" s="185"/>
    </row>
    <row r="3" spans="1:12" s="183" customFormat="1" x14ac:dyDescent="0.25">
      <c r="E3" s="184"/>
      <c r="L3" s="185"/>
    </row>
    <row r="4" spans="1:12" s="183" customFormat="1" x14ac:dyDescent="0.25">
      <c r="E4" s="184"/>
      <c r="L4" s="185"/>
    </row>
    <row r="5" spans="1:12" s="183" customFormat="1" x14ac:dyDescent="0.25">
      <c r="E5" s="184"/>
      <c r="L5" s="242"/>
    </row>
    <row r="6" spans="1:12" s="183" customFormat="1" ht="14.25" x14ac:dyDescent="0.2"/>
    <row r="7" spans="1:12" x14ac:dyDescent="0.25">
      <c r="A7" s="229" t="s">
        <v>97</v>
      </c>
      <c r="B7" s="230"/>
      <c r="C7" s="231"/>
    </row>
    <row r="8" spans="1:12" ht="15" hidden="1" customHeight="1" x14ac:dyDescent="0.25">
      <c r="A8" s="233"/>
      <c r="B8" s="234"/>
      <c r="C8" s="235"/>
    </row>
    <row r="9" spans="1:12" x14ac:dyDescent="0.25">
      <c r="A9" s="233" t="s">
        <v>66</v>
      </c>
      <c r="B9" s="234"/>
      <c r="C9" s="240">
        <f>'2016 Bill Impact'!C9</f>
        <v>285</v>
      </c>
    </row>
    <row r="10" spans="1:12" x14ac:dyDescent="0.25">
      <c r="A10" s="237" t="s">
        <v>65</v>
      </c>
      <c r="B10" s="238"/>
      <c r="C10" s="241">
        <f>'2016 Bill Impact'!C10</f>
        <v>1.0430999999999999</v>
      </c>
    </row>
    <row r="12" spans="1:12" x14ac:dyDescent="0.25">
      <c r="A12" s="187"/>
      <c r="B12" s="188"/>
      <c r="C12" s="258" t="s">
        <v>59</v>
      </c>
      <c r="D12" s="259"/>
      <c r="E12" s="260"/>
      <c r="F12" s="187"/>
      <c r="G12" s="258" t="s">
        <v>67</v>
      </c>
      <c r="H12" s="259"/>
      <c r="I12" s="260"/>
      <c r="J12" s="187"/>
      <c r="K12" s="258" t="s">
        <v>39</v>
      </c>
      <c r="L12" s="260"/>
    </row>
    <row r="13" spans="1:12" ht="15" customHeight="1" x14ac:dyDescent="0.25">
      <c r="A13" s="187"/>
      <c r="B13" s="189"/>
      <c r="C13" s="190" t="s">
        <v>108</v>
      </c>
      <c r="D13" s="190" t="s">
        <v>35</v>
      </c>
      <c r="E13" s="191" t="s">
        <v>109</v>
      </c>
      <c r="F13" s="187"/>
      <c r="G13" s="190" t="s">
        <v>108</v>
      </c>
      <c r="H13" s="190" t="s">
        <v>35</v>
      </c>
      <c r="I13" s="191" t="s">
        <v>109</v>
      </c>
      <c r="J13" s="187"/>
      <c r="K13" s="192" t="s">
        <v>40</v>
      </c>
      <c r="L13" s="193" t="s">
        <v>41</v>
      </c>
    </row>
    <row r="14" spans="1:12" x14ac:dyDescent="0.25">
      <c r="A14" s="194" t="s">
        <v>36</v>
      </c>
      <c r="B14" s="195" t="s">
        <v>61</v>
      </c>
      <c r="C14" s="67">
        <f>'2016 Bill Impact'!G14</f>
        <v>16.38</v>
      </c>
      <c r="D14" s="109">
        <v>1</v>
      </c>
      <c r="E14" s="67">
        <f>C14*D14</f>
        <v>16.38</v>
      </c>
      <c r="F14" s="75"/>
      <c r="G14" s="67">
        <f>'App.2-PA_Res_Rate_Design_17'!D43</f>
        <v>19.77</v>
      </c>
      <c r="H14" s="109">
        <v>1</v>
      </c>
      <c r="I14" s="67">
        <f>G14*H14</f>
        <v>19.77</v>
      </c>
      <c r="J14" s="75"/>
      <c r="K14" s="67">
        <f>I14-E14</f>
        <v>3.3900000000000006</v>
      </c>
      <c r="L14" s="96">
        <f t="shared" ref="L14:L36" si="0">IF(I14-E14=0, " 0.00%", I14/E14-1)</f>
        <v>0.20695970695970711</v>
      </c>
    </row>
    <row r="15" spans="1:12" x14ac:dyDescent="0.25">
      <c r="A15" s="196" t="s">
        <v>60</v>
      </c>
      <c r="B15" s="197" t="s">
        <v>61</v>
      </c>
      <c r="C15" s="67">
        <f>'2016 Bill Impact'!G15</f>
        <v>-0.1638</v>
      </c>
      <c r="D15" s="109">
        <v>1</v>
      </c>
      <c r="E15" s="67">
        <f t="shared" ref="E15:E32" si="1">C15*D15</f>
        <v>-0.1638</v>
      </c>
      <c r="F15" s="75"/>
      <c r="G15" s="67">
        <f>-G14*0.01</f>
        <v>-0.19769999999999999</v>
      </c>
      <c r="H15" s="109">
        <v>1</v>
      </c>
      <c r="I15" s="67">
        <f t="shared" ref="I15:I19" si="2">G15*H15</f>
        <v>-0.19769999999999999</v>
      </c>
      <c r="J15" s="86"/>
      <c r="K15" s="67">
        <f t="shared" ref="K15:K33" si="3">I15-E15</f>
        <v>-3.3899999999999986E-2</v>
      </c>
      <c r="L15" s="96">
        <f t="shared" si="0"/>
        <v>0.20695970695970689</v>
      </c>
    </row>
    <row r="16" spans="1:12" x14ac:dyDescent="0.25">
      <c r="A16" s="196" t="s">
        <v>63</v>
      </c>
      <c r="B16" s="197" t="s">
        <v>61</v>
      </c>
      <c r="C16" s="67">
        <f>'2016 Bill Impact'!G16</f>
        <v>0.64</v>
      </c>
      <c r="D16" s="109">
        <v>1</v>
      </c>
      <c r="E16" s="67">
        <f t="shared" si="1"/>
        <v>0.64</v>
      </c>
      <c r="F16" s="75"/>
      <c r="G16" s="67">
        <v>0.64</v>
      </c>
      <c r="H16" s="109">
        <v>1</v>
      </c>
      <c r="I16" s="67">
        <f t="shared" si="2"/>
        <v>0.64</v>
      </c>
      <c r="J16" s="86"/>
      <c r="K16" s="67">
        <f t="shared" si="3"/>
        <v>0</v>
      </c>
      <c r="L16" s="96" t="str">
        <f t="shared" si="0"/>
        <v xml:space="preserve"> 0.00%</v>
      </c>
    </row>
    <row r="17" spans="1:12" x14ac:dyDescent="0.25">
      <c r="A17" s="196" t="s">
        <v>42</v>
      </c>
      <c r="B17" s="197" t="s">
        <v>62</v>
      </c>
      <c r="C17" s="70">
        <f>'2016 Bill Impact'!G17</f>
        <v>1.78E-2</v>
      </c>
      <c r="D17" s="76">
        <f>$C$9</f>
        <v>285</v>
      </c>
      <c r="E17" s="67">
        <f t="shared" si="1"/>
        <v>5.0730000000000004</v>
      </c>
      <c r="F17" s="75"/>
      <c r="G17" s="70">
        <f>'App.2-PA_Res_Rate_Design_17'!D44</f>
        <v>1.3299999999999999E-2</v>
      </c>
      <c r="H17" s="76">
        <f>$C$9</f>
        <v>285</v>
      </c>
      <c r="I17" s="67">
        <f t="shared" si="2"/>
        <v>3.7904999999999998</v>
      </c>
      <c r="J17" s="86"/>
      <c r="K17" s="67">
        <f t="shared" si="3"/>
        <v>-1.2825000000000006</v>
      </c>
      <c r="L17" s="96">
        <f t="shared" si="0"/>
        <v>-0.25280898876404501</v>
      </c>
    </row>
    <row r="18" spans="1:12" x14ac:dyDescent="0.25">
      <c r="A18" s="196" t="s">
        <v>60</v>
      </c>
      <c r="B18" s="197" t="s">
        <v>62</v>
      </c>
      <c r="C18" s="70">
        <f>'2016 Bill Impact'!G18</f>
        <v>-2.0000000000000001E-4</v>
      </c>
      <c r="D18" s="76">
        <f t="shared" ref="D18:D19" si="4">$C$9</f>
        <v>285</v>
      </c>
      <c r="E18" s="67">
        <f t="shared" si="1"/>
        <v>-5.7000000000000002E-2</v>
      </c>
      <c r="F18" s="75"/>
      <c r="G18" s="70">
        <f>ROUND(-G17*0.01,4)</f>
        <v>-1E-4</v>
      </c>
      <c r="H18" s="76">
        <f t="shared" ref="H18:H19" si="5">$C$9</f>
        <v>285</v>
      </c>
      <c r="I18" s="67">
        <f t="shared" si="2"/>
        <v>-2.8500000000000001E-2</v>
      </c>
      <c r="J18" s="86"/>
      <c r="K18" s="67">
        <f t="shared" si="3"/>
        <v>2.8500000000000001E-2</v>
      </c>
      <c r="L18" s="96">
        <f t="shared" si="0"/>
        <v>-0.5</v>
      </c>
    </row>
    <row r="19" spans="1:12" x14ac:dyDescent="0.25">
      <c r="A19" s="198" t="s">
        <v>64</v>
      </c>
      <c r="B19" s="197" t="s">
        <v>62</v>
      </c>
      <c r="C19" s="70">
        <f>'2016 Bill Impact'!G19</f>
        <v>8.0000000000000004E-4</v>
      </c>
      <c r="D19" s="76">
        <f t="shared" si="4"/>
        <v>285</v>
      </c>
      <c r="E19" s="67">
        <f t="shared" si="1"/>
        <v>0.22800000000000001</v>
      </c>
      <c r="F19" s="75"/>
      <c r="G19" s="70">
        <v>8.0000000000000004E-4</v>
      </c>
      <c r="H19" s="76">
        <f t="shared" si="5"/>
        <v>285</v>
      </c>
      <c r="I19" s="67">
        <f t="shared" si="2"/>
        <v>0.22800000000000001</v>
      </c>
      <c r="J19" s="86"/>
      <c r="K19" s="67">
        <f t="shared" si="3"/>
        <v>0</v>
      </c>
      <c r="L19" s="96" t="str">
        <f t="shared" si="0"/>
        <v xml:space="preserve"> 0.00%</v>
      </c>
    </row>
    <row r="20" spans="1:12" x14ac:dyDescent="0.25">
      <c r="A20" s="199" t="s">
        <v>43</v>
      </c>
      <c r="B20" s="200"/>
      <c r="C20" s="64"/>
      <c r="D20" s="80"/>
      <c r="E20" s="63">
        <f>SUM(E14:E19)</f>
        <v>22.100200000000005</v>
      </c>
      <c r="F20" s="77"/>
      <c r="G20" s="64"/>
      <c r="H20" s="80"/>
      <c r="I20" s="63">
        <f>SUM(I14:I19)</f>
        <v>24.202300000000001</v>
      </c>
      <c r="J20" s="65"/>
      <c r="K20" s="141">
        <f t="shared" si="3"/>
        <v>2.1020999999999965</v>
      </c>
      <c r="L20" s="97">
        <f t="shared" si="0"/>
        <v>9.5116786273427234E-2</v>
      </c>
    </row>
    <row r="21" spans="1:12" ht="15.75" customHeight="1" x14ac:dyDescent="0.25">
      <c r="A21" s="201" t="s">
        <v>44</v>
      </c>
      <c r="B21" s="197" t="s">
        <v>62</v>
      </c>
      <c r="C21" s="87">
        <f>'2016 Bill Impact'!G21</f>
        <v>0.10214000000000001</v>
      </c>
      <c r="D21" s="78">
        <f>($C$9*$C$10)-$C$9</f>
        <v>12.283500000000004</v>
      </c>
      <c r="E21" s="89">
        <f t="shared" si="1"/>
        <v>1.2546366900000006</v>
      </c>
      <c r="F21" s="77"/>
      <c r="G21" s="87">
        <f>G31*0.64+G32*0.18+G33*0.18</f>
        <v>0.10214000000000001</v>
      </c>
      <c r="H21" s="78">
        <f>($C$9*$C$10)-$C$9</f>
        <v>12.283500000000004</v>
      </c>
      <c r="I21" s="89">
        <f t="shared" ref="I21" si="6">G21*H21</f>
        <v>1.2546366900000006</v>
      </c>
      <c r="J21" s="65"/>
      <c r="K21" s="67">
        <f t="shared" si="3"/>
        <v>0</v>
      </c>
      <c r="L21" s="96" t="str">
        <f t="shared" si="0"/>
        <v xml:space="preserve"> 0.00%</v>
      </c>
    </row>
    <row r="22" spans="1:12" ht="15" hidden="1" customHeight="1" x14ac:dyDescent="0.25">
      <c r="A22" s="201" t="s">
        <v>45</v>
      </c>
      <c r="B22" s="197" t="s">
        <v>62</v>
      </c>
      <c r="C22" s="108">
        <f>'2016 Bill Impact'!G22</f>
        <v>0</v>
      </c>
      <c r="D22" s="78">
        <v>0</v>
      </c>
      <c r="E22" s="89">
        <v>0</v>
      </c>
      <c r="F22" s="77"/>
      <c r="G22" s="108">
        <v>0</v>
      </c>
      <c r="H22" s="78">
        <v>0</v>
      </c>
      <c r="I22" s="89">
        <v>0</v>
      </c>
      <c r="J22" s="65"/>
      <c r="K22" s="67">
        <f t="shared" si="3"/>
        <v>0</v>
      </c>
      <c r="L22" s="96" t="str">
        <f t="shared" si="0"/>
        <v xml:space="preserve"> 0.00%</v>
      </c>
    </row>
    <row r="23" spans="1:12" x14ac:dyDescent="0.25">
      <c r="A23" s="196" t="s">
        <v>46</v>
      </c>
      <c r="B23" s="197" t="s">
        <v>61</v>
      </c>
      <c r="C23" s="107">
        <f>'2016 Bill Impact'!G23</f>
        <v>0.79</v>
      </c>
      <c r="D23" s="78">
        <v>1</v>
      </c>
      <c r="E23" s="89">
        <f t="shared" si="1"/>
        <v>0.79</v>
      </c>
      <c r="F23" s="77"/>
      <c r="G23" s="107">
        <v>0.79</v>
      </c>
      <c r="H23" s="78">
        <v>1</v>
      </c>
      <c r="I23" s="89">
        <f t="shared" ref="I23" si="7">G23*H23</f>
        <v>0.79</v>
      </c>
      <c r="J23" s="65"/>
      <c r="K23" s="67">
        <f t="shared" si="3"/>
        <v>0</v>
      </c>
      <c r="L23" s="96" t="str">
        <f t="shared" si="0"/>
        <v xml:space="preserve"> 0.00%</v>
      </c>
    </row>
    <row r="24" spans="1:12" x14ac:dyDescent="0.25">
      <c r="A24" s="202" t="s">
        <v>47</v>
      </c>
      <c r="B24" s="203"/>
      <c r="C24" s="80"/>
      <c r="D24" s="80"/>
      <c r="E24" s="90">
        <f>SUM(E20:E23)</f>
        <v>24.144836690000005</v>
      </c>
      <c r="F24" s="77"/>
      <c r="G24" s="80"/>
      <c r="H24" s="80"/>
      <c r="I24" s="90">
        <f>SUM(I20:I23)</f>
        <v>26.246936690000002</v>
      </c>
      <c r="J24" s="65"/>
      <c r="K24" s="141">
        <f t="shared" si="3"/>
        <v>2.1020999999999965</v>
      </c>
      <c r="L24" s="97">
        <f t="shared" si="0"/>
        <v>8.7062092280401071E-2</v>
      </c>
    </row>
    <row r="25" spans="1:12" x14ac:dyDescent="0.25">
      <c r="A25" s="204" t="s">
        <v>48</v>
      </c>
      <c r="B25" s="197" t="s">
        <v>62</v>
      </c>
      <c r="C25" s="87">
        <f>'2016 Bill Impact'!G25</f>
        <v>7.4999999999999997E-3</v>
      </c>
      <c r="D25" s="81">
        <f>$C$9*$C$10</f>
        <v>297.2835</v>
      </c>
      <c r="E25" s="89">
        <f t="shared" si="1"/>
        <v>2.2296262499999999</v>
      </c>
      <c r="F25" s="77"/>
      <c r="G25" s="87">
        <v>7.4999999999999997E-3</v>
      </c>
      <c r="H25" s="81">
        <f>$C$9*$C$10</f>
        <v>297.2835</v>
      </c>
      <c r="I25" s="89">
        <f t="shared" ref="I25:I26" si="8">G25*H25</f>
        <v>2.2296262499999999</v>
      </c>
      <c r="J25" s="65"/>
      <c r="K25" s="95">
        <f t="shared" si="3"/>
        <v>0</v>
      </c>
      <c r="L25" s="96" t="str">
        <f t="shared" si="0"/>
        <v xml:space="preserve"> 0.00%</v>
      </c>
    </row>
    <row r="26" spans="1:12" x14ac:dyDescent="0.25">
      <c r="A26" s="205" t="s">
        <v>49</v>
      </c>
      <c r="B26" s="197" t="s">
        <v>62</v>
      </c>
      <c r="C26" s="87">
        <f>'2016 Bill Impact'!G26</f>
        <v>5.4000000000000003E-3</v>
      </c>
      <c r="D26" s="81">
        <f>$C$9*$C$10</f>
        <v>297.2835</v>
      </c>
      <c r="E26" s="89">
        <f t="shared" si="1"/>
        <v>1.6053309</v>
      </c>
      <c r="F26" s="77"/>
      <c r="G26" s="87">
        <v>5.4000000000000003E-3</v>
      </c>
      <c r="H26" s="81">
        <f>$C$9*$C$10</f>
        <v>297.2835</v>
      </c>
      <c r="I26" s="89">
        <f t="shared" si="8"/>
        <v>1.6053309</v>
      </c>
      <c r="J26" s="65"/>
      <c r="K26" s="95">
        <f t="shared" si="3"/>
        <v>0</v>
      </c>
      <c r="L26" s="96" t="str">
        <f t="shared" si="0"/>
        <v xml:space="preserve"> 0.00%</v>
      </c>
    </row>
    <row r="27" spans="1:12" x14ac:dyDescent="0.25">
      <c r="A27" s="202" t="s">
        <v>50</v>
      </c>
      <c r="B27" s="200"/>
      <c r="C27" s="80"/>
      <c r="D27" s="80"/>
      <c r="E27" s="90">
        <f>SUM(E24:E26)</f>
        <v>27.979793840000003</v>
      </c>
      <c r="F27" s="82"/>
      <c r="G27" s="80"/>
      <c r="H27" s="80"/>
      <c r="I27" s="90">
        <f>SUM(I24:I26)</f>
        <v>30.081893839999999</v>
      </c>
      <c r="J27" s="66"/>
      <c r="K27" s="141">
        <f t="shared" si="3"/>
        <v>2.1020999999999965</v>
      </c>
      <c r="L27" s="97">
        <f t="shared" si="0"/>
        <v>7.512921689204255E-2</v>
      </c>
    </row>
    <row r="28" spans="1:12" x14ac:dyDescent="0.25">
      <c r="A28" s="206" t="s">
        <v>51</v>
      </c>
      <c r="B28" s="197" t="s">
        <v>62</v>
      </c>
      <c r="C28" s="88">
        <f>'2016 Bill Impact'!G28</f>
        <v>4.4000000000000003E-3</v>
      </c>
      <c r="D28" s="81">
        <f>$C$9*$C$10</f>
        <v>297.2835</v>
      </c>
      <c r="E28" s="67">
        <f t="shared" si="1"/>
        <v>1.3080474000000002</v>
      </c>
      <c r="F28" s="79"/>
      <c r="G28" s="88">
        <v>4.4000000000000003E-3</v>
      </c>
      <c r="H28" s="81">
        <f>$C$9*$C$10</f>
        <v>297.2835</v>
      </c>
      <c r="I28" s="67">
        <f t="shared" ref="I28:I32" si="9">G28*H28</f>
        <v>1.3080474000000002</v>
      </c>
      <c r="J28" s="65"/>
      <c r="K28" s="95">
        <f t="shared" si="3"/>
        <v>0</v>
      </c>
      <c r="L28" s="96" t="str">
        <f t="shared" si="0"/>
        <v xml:space="preserve"> 0.00%</v>
      </c>
    </row>
    <row r="29" spans="1:12" x14ac:dyDescent="0.25">
      <c r="A29" s="206" t="s">
        <v>52</v>
      </c>
      <c r="B29" s="197" t="s">
        <v>62</v>
      </c>
      <c r="C29" s="88">
        <f>'2016 Bill Impact'!G29</f>
        <v>1.2999999999999999E-3</v>
      </c>
      <c r="D29" s="81">
        <f>$C$9*$C$10</f>
        <v>297.2835</v>
      </c>
      <c r="E29" s="67">
        <f t="shared" si="1"/>
        <v>0.38646854999999997</v>
      </c>
      <c r="F29" s="79"/>
      <c r="G29" s="88">
        <v>1.2999999999999999E-3</v>
      </c>
      <c r="H29" s="81">
        <f>$C$9*$C$10</f>
        <v>297.2835</v>
      </c>
      <c r="I29" s="67">
        <f t="shared" si="9"/>
        <v>0.38646854999999997</v>
      </c>
      <c r="J29" s="65"/>
      <c r="K29" s="95">
        <f t="shared" si="3"/>
        <v>0</v>
      </c>
      <c r="L29" s="96" t="str">
        <f t="shared" si="0"/>
        <v xml:space="preserve"> 0.00%</v>
      </c>
    </row>
    <row r="30" spans="1:12" x14ac:dyDescent="0.25">
      <c r="A30" s="196" t="s">
        <v>53</v>
      </c>
      <c r="B30" s="197" t="s">
        <v>61</v>
      </c>
      <c r="C30" s="69">
        <f>'2016 Bill Impact'!G30</f>
        <v>0.25</v>
      </c>
      <c r="D30" s="81">
        <v>1</v>
      </c>
      <c r="E30" s="67">
        <f t="shared" si="1"/>
        <v>0.25</v>
      </c>
      <c r="F30" s="79"/>
      <c r="G30" s="69">
        <v>0.25</v>
      </c>
      <c r="H30" s="81">
        <v>1</v>
      </c>
      <c r="I30" s="67">
        <f t="shared" si="9"/>
        <v>0.25</v>
      </c>
      <c r="J30" s="79"/>
      <c r="K30" s="95">
        <f t="shared" si="3"/>
        <v>0</v>
      </c>
      <c r="L30" s="96" t="str">
        <f t="shared" si="0"/>
        <v xml:space="preserve"> 0.00%</v>
      </c>
    </row>
    <row r="31" spans="1:12" x14ac:dyDescent="0.25">
      <c r="A31" s="196" t="s">
        <v>54</v>
      </c>
      <c r="B31" s="197" t="s">
        <v>62</v>
      </c>
      <c r="C31" s="83">
        <f>'2016 Bill Impact'!G31</f>
        <v>0.08</v>
      </c>
      <c r="D31" s="81">
        <f>$C$9*0.64</f>
        <v>182.4</v>
      </c>
      <c r="E31" s="67">
        <f t="shared" si="1"/>
        <v>14.592000000000001</v>
      </c>
      <c r="F31" s="79"/>
      <c r="G31" s="83">
        <v>0.08</v>
      </c>
      <c r="H31" s="81">
        <f>$C$9*0.64</f>
        <v>182.4</v>
      </c>
      <c r="I31" s="67">
        <f t="shared" si="9"/>
        <v>14.592000000000001</v>
      </c>
      <c r="J31" s="79"/>
      <c r="K31" s="95">
        <f t="shared" si="3"/>
        <v>0</v>
      </c>
      <c r="L31" s="96" t="str">
        <f t="shared" si="0"/>
        <v xml:space="preserve"> 0.00%</v>
      </c>
    </row>
    <row r="32" spans="1:12" x14ac:dyDescent="0.25">
      <c r="A32" s="196" t="s">
        <v>55</v>
      </c>
      <c r="B32" s="197" t="s">
        <v>62</v>
      </c>
      <c r="C32" s="83">
        <f>'2016 Bill Impact'!G32</f>
        <v>0.122</v>
      </c>
      <c r="D32" s="81">
        <f>$C$9*0.18</f>
        <v>51.3</v>
      </c>
      <c r="E32" s="67">
        <f t="shared" si="1"/>
        <v>6.2585999999999995</v>
      </c>
      <c r="F32" s="79"/>
      <c r="G32" s="83">
        <v>0.122</v>
      </c>
      <c r="H32" s="81">
        <f>$C$9*0.18</f>
        <v>51.3</v>
      </c>
      <c r="I32" s="67">
        <f t="shared" si="9"/>
        <v>6.2585999999999995</v>
      </c>
      <c r="J32" s="79"/>
      <c r="K32" s="95">
        <f t="shared" si="3"/>
        <v>0</v>
      </c>
      <c r="L32" s="96" t="str">
        <f t="shared" si="0"/>
        <v xml:space="preserve"> 0.00%</v>
      </c>
    </row>
    <row r="33" spans="1:12" ht="15.75" thickBot="1" x14ac:dyDescent="0.3">
      <c r="A33" s="207" t="s">
        <v>56</v>
      </c>
      <c r="B33" s="208" t="s">
        <v>62</v>
      </c>
      <c r="C33" s="83">
        <f>'2016 Bill Impact'!G33</f>
        <v>0.161</v>
      </c>
      <c r="D33" s="81">
        <f>$C$9*0.18</f>
        <v>51.3</v>
      </c>
      <c r="E33" s="67">
        <f>C33*D33</f>
        <v>8.2592999999999996</v>
      </c>
      <c r="F33" s="79"/>
      <c r="G33" s="83">
        <v>0.161</v>
      </c>
      <c r="H33" s="81">
        <f>$C$9*0.18</f>
        <v>51.3</v>
      </c>
      <c r="I33" s="67">
        <f>G33*H33</f>
        <v>8.2592999999999996</v>
      </c>
      <c r="J33" s="79"/>
      <c r="K33" s="95">
        <f t="shared" si="3"/>
        <v>0</v>
      </c>
      <c r="L33" s="96" t="str">
        <f t="shared" si="0"/>
        <v xml:space="preserve"> 0.00%</v>
      </c>
    </row>
    <row r="34" spans="1:12" ht="9" customHeight="1" thickBot="1" x14ac:dyDescent="0.3">
      <c r="A34" s="209"/>
      <c r="B34" s="210"/>
      <c r="C34" s="137"/>
      <c r="D34" s="84"/>
      <c r="E34" s="91"/>
      <c r="F34" s="84"/>
      <c r="G34" s="137"/>
      <c r="H34" s="84"/>
      <c r="I34" s="137"/>
      <c r="J34" s="84"/>
      <c r="K34" s="138"/>
      <c r="L34" s="98"/>
    </row>
    <row r="35" spans="1:12" x14ac:dyDescent="0.25">
      <c r="A35" s="211" t="s">
        <v>57</v>
      </c>
      <c r="B35" s="212"/>
      <c r="C35" s="102"/>
      <c r="D35" s="103"/>
      <c r="E35" s="92">
        <f>SUM(E27:E33)</f>
        <v>59.034209790000006</v>
      </c>
      <c r="F35" s="104"/>
      <c r="G35" s="105"/>
      <c r="H35" s="105"/>
      <c r="I35" s="139">
        <f>SUM(I27:I33)</f>
        <v>61.136309789999999</v>
      </c>
      <c r="J35" s="85"/>
      <c r="K35" s="140">
        <f t="shared" ref="K35:K39" si="10">I35-E35</f>
        <v>2.102099999999993</v>
      </c>
      <c r="L35" s="68">
        <f t="shared" si="0"/>
        <v>3.5608166984494316E-2</v>
      </c>
    </row>
    <row r="36" spans="1:12" x14ac:dyDescent="0.25">
      <c r="A36" s="213" t="s">
        <v>58</v>
      </c>
      <c r="B36" s="214"/>
      <c r="C36" s="102">
        <v>0.13</v>
      </c>
      <c r="D36" s="106"/>
      <c r="E36" s="93">
        <f>E35*C36</f>
        <v>7.674447272700001</v>
      </c>
      <c r="F36" s="74"/>
      <c r="G36" s="102">
        <v>0.13</v>
      </c>
      <c r="H36" s="74"/>
      <c r="I36" s="100">
        <f>I35*G36</f>
        <v>7.9477202726999998</v>
      </c>
      <c r="J36" s="86"/>
      <c r="K36" s="67">
        <f t="shared" si="10"/>
        <v>0.27327299999999877</v>
      </c>
      <c r="L36" s="96">
        <f t="shared" si="0"/>
        <v>3.5608166984494316E-2</v>
      </c>
    </row>
    <row r="37" spans="1:12" hidden="1" x14ac:dyDescent="0.25">
      <c r="A37" s="215" t="s">
        <v>117</v>
      </c>
      <c r="B37" s="214"/>
      <c r="C37" s="74"/>
      <c r="D37" s="106"/>
      <c r="E37" s="93">
        <f>E35+E36</f>
        <v>66.708657062700013</v>
      </c>
      <c r="F37" s="74"/>
      <c r="G37" s="74"/>
      <c r="H37" s="74"/>
      <c r="I37" s="100">
        <f>I35+I36</f>
        <v>69.084030062699995</v>
      </c>
      <c r="J37" s="86"/>
      <c r="K37" s="67">
        <f t="shared" si="10"/>
        <v>2.375372999999982</v>
      </c>
      <c r="L37" s="96">
        <f t="shared" ref="L37" si="11">I37/E37-1</f>
        <v>3.5608166984494316E-2</v>
      </c>
    </row>
    <row r="38" spans="1:12" hidden="1" x14ac:dyDescent="0.25">
      <c r="A38" s="216"/>
      <c r="B38" s="214"/>
      <c r="C38" s="74"/>
      <c r="D38" s="106"/>
      <c r="E38" s="94">
        <v>0</v>
      </c>
      <c r="F38" s="74"/>
      <c r="G38" s="74"/>
      <c r="H38" s="74"/>
      <c r="I38" s="101">
        <v>0</v>
      </c>
      <c r="J38" s="86"/>
      <c r="K38" s="67">
        <f t="shared" si="10"/>
        <v>0</v>
      </c>
      <c r="L38" s="101">
        <v>0</v>
      </c>
    </row>
    <row r="39" spans="1:12" ht="15.75" thickBot="1" x14ac:dyDescent="0.3">
      <c r="A39" s="217" t="s">
        <v>96</v>
      </c>
      <c r="B39" s="218"/>
      <c r="C39" s="142"/>
      <c r="D39" s="143"/>
      <c r="E39" s="144">
        <f>E37+E38</f>
        <v>66.708657062700013</v>
      </c>
      <c r="F39" s="145"/>
      <c r="G39" s="145"/>
      <c r="H39" s="145"/>
      <c r="I39" s="149">
        <f>I37+I38</f>
        <v>69.084030062699995</v>
      </c>
      <c r="J39" s="146"/>
      <c r="K39" s="147">
        <f t="shared" si="10"/>
        <v>2.375372999999982</v>
      </c>
      <c r="L39" s="148">
        <f t="shared" ref="L39" si="12">IF(I39-E39=0, " 0.00%", I39/E39-1)</f>
        <v>3.5608166984494316E-2</v>
      </c>
    </row>
    <row r="40" spans="1:12" ht="9" customHeight="1" thickBot="1" x14ac:dyDescent="0.3">
      <c r="A40" s="209"/>
      <c r="B40" s="210"/>
      <c r="C40" s="137"/>
      <c r="D40" s="84"/>
      <c r="E40" s="91"/>
      <c r="F40" s="84"/>
      <c r="G40" s="137"/>
      <c r="H40" s="84"/>
      <c r="I40" s="137"/>
      <c r="J40" s="84"/>
      <c r="K40" s="138"/>
      <c r="L40" s="98"/>
    </row>
    <row r="43" spans="1:12" x14ac:dyDescent="0.25">
      <c r="A43" s="229" t="s">
        <v>97</v>
      </c>
      <c r="B43" s="230"/>
      <c r="C43" s="231"/>
    </row>
    <row r="44" spans="1:12" hidden="1" x14ac:dyDescent="0.25">
      <c r="A44" s="233"/>
      <c r="B44" s="234"/>
      <c r="C44" s="235"/>
    </row>
    <row r="45" spans="1:12" x14ac:dyDescent="0.25">
      <c r="A45" s="233" t="s">
        <v>66</v>
      </c>
      <c r="B45" s="234"/>
      <c r="C45" s="240">
        <f>'2016 Bill Impact'!C45</f>
        <v>800</v>
      </c>
    </row>
    <row r="46" spans="1:12" x14ac:dyDescent="0.25">
      <c r="A46" s="237" t="s">
        <v>65</v>
      </c>
      <c r="B46" s="238"/>
      <c r="C46" s="241">
        <f>'2016 Bill Impact'!C46</f>
        <v>1.0430999999999999</v>
      </c>
    </row>
    <row r="48" spans="1:12" x14ac:dyDescent="0.25">
      <c r="A48" s="187"/>
      <c r="B48" s="188"/>
      <c r="C48" s="258" t="s">
        <v>59</v>
      </c>
      <c r="D48" s="259"/>
      <c r="E48" s="260"/>
      <c r="F48" s="187"/>
      <c r="G48" s="258" t="s">
        <v>67</v>
      </c>
      <c r="H48" s="259"/>
      <c r="I48" s="260"/>
      <c r="J48" s="187"/>
      <c r="K48" s="258" t="s">
        <v>39</v>
      </c>
      <c r="L48" s="260"/>
    </row>
    <row r="49" spans="1:12" ht="15" customHeight="1" x14ac:dyDescent="0.25">
      <c r="A49" s="187"/>
      <c r="B49" s="189"/>
      <c r="C49" s="190" t="s">
        <v>108</v>
      </c>
      <c r="D49" s="190" t="s">
        <v>35</v>
      </c>
      <c r="E49" s="191" t="s">
        <v>109</v>
      </c>
      <c r="F49" s="187"/>
      <c r="G49" s="190" t="s">
        <v>108</v>
      </c>
      <c r="H49" s="190" t="s">
        <v>35</v>
      </c>
      <c r="I49" s="191" t="s">
        <v>109</v>
      </c>
      <c r="J49" s="187"/>
      <c r="K49" s="192" t="s">
        <v>40</v>
      </c>
      <c r="L49" s="193" t="s">
        <v>41</v>
      </c>
    </row>
    <row r="50" spans="1:12" x14ac:dyDescent="0.25">
      <c r="A50" s="194" t="s">
        <v>36</v>
      </c>
      <c r="B50" s="195" t="s">
        <v>61</v>
      </c>
      <c r="C50" s="67">
        <f>C14</f>
        <v>16.38</v>
      </c>
      <c r="D50" s="109">
        <v>1</v>
      </c>
      <c r="E50" s="67">
        <f>C50*D50</f>
        <v>16.38</v>
      </c>
      <c r="F50" s="75"/>
      <c r="G50" s="67">
        <f t="shared" ref="G50:G55" si="13">G14</f>
        <v>19.77</v>
      </c>
      <c r="H50" s="109">
        <v>1</v>
      </c>
      <c r="I50" s="67">
        <f>G50*H50</f>
        <v>19.77</v>
      </c>
      <c r="J50" s="75"/>
      <c r="K50" s="67">
        <f>I50-E50</f>
        <v>3.3900000000000006</v>
      </c>
      <c r="L50" s="96">
        <f t="shared" ref="L50:L72" si="14">IF(I50-E50=0, " 0.00%", I50/E50-1)</f>
        <v>0.20695970695970711</v>
      </c>
    </row>
    <row r="51" spans="1:12" x14ac:dyDescent="0.25">
      <c r="A51" s="196" t="s">
        <v>60</v>
      </c>
      <c r="B51" s="197" t="s">
        <v>61</v>
      </c>
      <c r="C51" s="67">
        <f t="shared" ref="C51:C69" si="15">C15</f>
        <v>-0.1638</v>
      </c>
      <c r="D51" s="109">
        <v>1</v>
      </c>
      <c r="E51" s="67">
        <f t="shared" ref="E51:E55" si="16">C51*D51</f>
        <v>-0.1638</v>
      </c>
      <c r="F51" s="75"/>
      <c r="G51" s="67">
        <f t="shared" si="13"/>
        <v>-0.19769999999999999</v>
      </c>
      <c r="H51" s="109">
        <v>1</v>
      </c>
      <c r="I51" s="67">
        <f t="shared" ref="I51:I55" si="17">G51*H51</f>
        <v>-0.19769999999999999</v>
      </c>
      <c r="J51" s="86"/>
      <c r="K51" s="67">
        <f t="shared" ref="K51:K69" si="18">I51-E51</f>
        <v>-3.3899999999999986E-2</v>
      </c>
      <c r="L51" s="96">
        <f t="shared" si="14"/>
        <v>0.20695970695970689</v>
      </c>
    </row>
    <row r="52" spans="1:12" x14ac:dyDescent="0.25">
      <c r="A52" s="196" t="s">
        <v>63</v>
      </c>
      <c r="B52" s="197" t="s">
        <v>61</v>
      </c>
      <c r="C52" s="67">
        <f t="shared" si="15"/>
        <v>0.64</v>
      </c>
      <c r="D52" s="109">
        <v>1</v>
      </c>
      <c r="E52" s="67">
        <f t="shared" si="16"/>
        <v>0.64</v>
      </c>
      <c r="F52" s="75"/>
      <c r="G52" s="67">
        <f t="shared" si="13"/>
        <v>0.64</v>
      </c>
      <c r="H52" s="109">
        <v>1</v>
      </c>
      <c r="I52" s="67">
        <f t="shared" si="17"/>
        <v>0.64</v>
      </c>
      <c r="J52" s="86"/>
      <c r="K52" s="67">
        <f t="shared" si="18"/>
        <v>0</v>
      </c>
      <c r="L52" s="96" t="str">
        <f t="shared" si="14"/>
        <v xml:space="preserve"> 0.00%</v>
      </c>
    </row>
    <row r="53" spans="1:12" x14ac:dyDescent="0.25">
      <c r="A53" s="196" t="s">
        <v>42</v>
      </c>
      <c r="B53" s="197" t="s">
        <v>62</v>
      </c>
      <c r="C53" s="70">
        <f t="shared" si="15"/>
        <v>1.78E-2</v>
      </c>
      <c r="D53" s="76">
        <f>$C$45</f>
        <v>800</v>
      </c>
      <c r="E53" s="67">
        <f t="shared" si="16"/>
        <v>14.24</v>
      </c>
      <c r="F53" s="75"/>
      <c r="G53" s="70">
        <f t="shared" si="13"/>
        <v>1.3299999999999999E-2</v>
      </c>
      <c r="H53" s="76">
        <f>$C$45</f>
        <v>800</v>
      </c>
      <c r="I53" s="67">
        <f t="shared" si="17"/>
        <v>10.639999999999999</v>
      </c>
      <c r="J53" s="86"/>
      <c r="K53" s="67">
        <f t="shared" si="18"/>
        <v>-3.6000000000000014</v>
      </c>
      <c r="L53" s="96">
        <f t="shared" si="14"/>
        <v>-0.25280898876404501</v>
      </c>
    </row>
    <row r="54" spans="1:12" x14ac:dyDescent="0.25">
      <c r="A54" s="196" t="s">
        <v>60</v>
      </c>
      <c r="B54" s="197" t="s">
        <v>62</v>
      </c>
      <c r="C54" s="70">
        <f t="shared" si="15"/>
        <v>-2.0000000000000001E-4</v>
      </c>
      <c r="D54" s="76">
        <f t="shared" ref="D54:D55" si="19">$C$45</f>
        <v>800</v>
      </c>
      <c r="E54" s="67">
        <f t="shared" si="16"/>
        <v>-0.16</v>
      </c>
      <c r="F54" s="75"/>
      <c r="G54" s="70">
        <f t="shared" si="13"/>
        <v>-1E-4</v>
      </c>
      <c r="H54" s="76">
        <f t="shared" ref="H54:H55" si="20">$C$45</f>
        <v>800</v>
      </c>
      <c r="I54" s="67">
        <f t="shared" si="17"/>
        <v>-0.08</v>
      </c>
      <c r="J54" s="86"/>
      <c r="K54" s="67">
        <f t="shared" si="18"/>
        <v>0.08</v>
      </c>
      <c r="L54" s="96">
        <f t="shared" si="14"/>
        <v>-0.5</v>
      </c>
    </row>
    <row r="55" spans="1:12" x14ac:dyDescent="0.25">
      <c r="A55" s="198" t="s">
        <v>64</v>
      </c>
      <c r="B55" s="197" t="s">
        <v>62</v>
      </c>
      <c r="C55" s="70">
        <f t="shared" si="15"/>
        <v>8.0000000000000004E-4</v>
      </c>
      <c r="D55" s="76">
        <f t="shared" si="19"/>
        <v>800</v>
      </c>
      <c r="E55" s="67">
        <f t="shared" si="16"/>
        <v>0.64</v>
      </c>
      <c r="F55" s="75"/>
      <c r="G55" s="70">
        <f t="shared" si="13"/>
        <v>8.0000000000000004E-4</v>
      </c>
      <c r="H55" s="76">
        <f t="shared" si="20"/>
        <v>800</v>
      </c>
      <c r="I55" s="67">
        <f t="shared" si="17"/>
        <v>0.64</v>
      </c>
      <c r="J55" s="86"/>
      <c r="K55" s="67">
        <f t="shared" si="18"/>
        <v>0</v>
      </c>
      <c r="L55" s="96" t="str">
        <f t="shared" si="14"/>
        <v xml:space="preserve"> 0.00%</v>
      </c>
    </row>
    <row r="56" spans="1:12" x14ac:dyDescent="0.25">
      <c r="A56" s="199" t="s">
        <v>43</v>
      </c>
      <c r="B56" s="200"/>
      <c r="C56" s="64"/>
      <c r="D56" s="80"/>
      <c r="E56" s="63">
        <f>SUM(E50:E55)</f>
        <v>31.576200000000004</v>
      </c>
      <c r="F56" s="77"/>
      <c r="G56" s="64"/>
      <c r="H56" s="80"/>
      <c r="I56" s="63">
        <f>SUM(I50:I55)</f>
        <v>31.412300000000002</v>
      </c>
      <c r="J56" s="65"/>
      <c r="K56" s="141">
        <f t="shared" si="18"/>
        <v>-0.16390000000000171</v>
      </c>
      <c r="L56" s="97">
        <f t="shared" si="14"/>
        <v>-5.1906182504545262E-3</v>
      </c>
    </row>
    <row r="57" spans="1:12" x14ac:dyDescent="0.25">
      <c r="A57" s="201" t="s">
        <v>44</v>
      </c>
      <c r="B57" s="197" t="s">
        <v>62</v>
      </c>
      <c r="C57" s="87">
        <f t="shared" si="15"/>
        <v>0.10214000000000001</v>
      </c>
      <c r="D57" s="78">
        <f>($C$45*$C$46)-$C$45</f>
        <v>34.479999999999905</v>
      </c>
      <c r="E57" s="89">
        <f t="shared" ref="E57" si="21">C57*D57</f>
        <v>3.5217871999999906</v>
      </c>
      <c r="F57" s="77"/>
      <c r="G57" s="87">
        <f>G21</f>
        <v>0.10214000000000001</v>
      </c>
      <c r="H57" s="78">
        <f>($C$45*$C$46)-$C$45</f>
        <v>34.479999999999905</v>
      </c>
      <c r="I57" s="89">
        <f t="shared" ref="I57" si="22">G57*H57</f>
        <v>3.5217871999999906</v>
      </c>
      <c r="J57" s="65"/>
      <c r="K57" s="67">
        <f t="shared" si="18"/>
        <v>0</v>
      </c>
      <c r="L57" s="96" t="str">
        <f t="shared" si="14"/>
        <v xml:space="preserve"> 0.00%</v>
      </c>
    </row>
    <row r="58" spans="1:12" hidden="1" x14ac:dyDescent="0.25">
      <c r="A58" s="201" t="s">
        <v>45</v>
      </c>
      <c r="B58" s="197" t="s">
        <v>62</v>
      </c>
      <c r="C58" s="108">
        <f t="shared" si="15"/>
        <v>0</v>
      </c>
      <c r="D58" s="78">
        <v>0</v>
      </c>
      <c r="E58" s="89">
        <v>0</v>
      </c>
      <c r="F58" s="77"/>
      <c r="G58" s="108">
        <f>G22</f>
        <v>0</v>
      </c>
      <c r="H58" s="78">
        <v>0</v>
      </c>
      <c r="I58" s="89">
        <v>0</v>
      </c>
      <c r="J58" s="65"/>
      <c r="K58" s="67">
        <f t="shared" si="18"/>
        <v>0</v>
      </c>
      <c r="L58" s="96" t="str">
        <f t="shared" si="14"/>
        <v xml:space="preserve"> 0.00%</v>
      </c>
    </row>
    <row r="59" spans="1:12" x14ac:dyDescent="0.25">
      <c r="A59" s="196" t="s">
        <v>46</v>
      </c>
      <c r="B59" s="197" t="s">
        <v>61</v>
      </c>
      <c r="C59" s="107">
        <f t="shared" si="15"/>
        <v>0.79</v>
      </c>
      <c r="D59" s="78">
        <v>1</v>
      </c>
      <c r="E59" s="89">
        <f t="shared" ref="E59" si="23">C59*D59</f>
        <v>0.79</v>
      </c>
      <c r="F59" s="77"/>
      <c r="G59" s="107">
        <f>G23</f>
        <v>0.79</v>
      </c>
      <c r="H59" s="78">
        <v>1</v>
      </c>
      <c r="I59" s="89">
        <f t="shared" ref="I59" si="24">G59*H59</f>
        <v>0.79</v>
      </c>
      <c r="J59" s="65"/>
      <c r="K59" s="67">
        <f t="shared" si="18"/>
        <v>0</v>
      </c>
      <c r="L59" s="96" t="str">
        <f t="shared" si="14"/>
        <v xml:space="preserve"> 0.00%</v>
      </c>
    </row>
    <row r="60" spans="1:12" x14ac:dyDescent="0.25">
      <c r="A60" s="202" t="s">
        <v>47</v>
      </c>
      <c r="B60" s="203"/>
      <c r="C60" s="80"/>
      <c r="D60" s="80"/>
      <c r="E60" s="90">
        <f>SUM(E56:E59)</f>
        <v>35.887987199999991</v>
      </c>
      <c r="F60" s="77"/>
      <c r="G60" s="80"/>
      <c r="H60" s="80"/>
      <c r="I60" s="90">
        <f>SUM(I56:I59)</f>
        <v>35.724087199999992</v>
      </c>
      <c r="J60" s="65"/>
      <c r="K60" s="141">
        <f t="shared" si="18"/>
        <v>-0.16389999999999816</v>
      </c>
      <c r="L60" s="97">
        <f t="shared" si="14"/>
        <v>-4.5669878081097126E-3</v>
      </c>
    </row>
    <row r="61" spans="1:12" x14ac:dyDescent="0.25">
      <c r="A61" s="204" t="s">
        <v>48</v>
      </c>
      <c r="B61" s="197" t="s">
        <v>62</v>
      </c>
      <c r="C61" s="87">
        <f t="shared" si="15"/>
        <v>7.4999999999999997E-3</v>
      </c>
      <c r="D61" s="81">
        <f>$C$45*$C$46</f>
        <v>834.4799999999999</v>
      </c>
      <c r="E61" s="89">
        <f t="shared" ref="E61:E62" si="25">C61*D61</f>
        <v>6.2585999999999986</v>
      </c>
      <c r="F61" s="77"/>
      <c r="G61" s="87">
        <f>G25</f>
        <v>7.4999999999999997E-3</v>
      </c>
      <c r="H61" s="81">
        <f>$C$45*$C$46</f>
        <v>834.4799999999999</v>
      </c>
      <c r="I61" s="89">
        <f t="shared" ref="I61:I62" si="26">G61*H61</f>
        <v>6.2585999999999986</v>
      </c>
      <c r="J61" s="65"/>
      <c r="K61" s="95">
        <f t="shared" si="18"/>
        <v>0</v>
      </c>
      <c r="L61" s="96" t="str">
        <f t="shared" si="14"/>
        <v xml:space="preserve"> 0.00%</v>
      </c>
    </row>
    <row r="62" spans="1:12" x14ac:dyDescent="0.25">
      <c r="A62" s="205" t="s">
        <v>49</v>
      </c>
      <c r="B62" s="197" t="s">
        <v>62</v>
      </c>
      <c r="C62" s="87">
        <f t="shared" si="15"/>
        <v>5.4000000000000003E-3</v>
      </c>
      <c r="D62" s="81">
        <f>$C$45*$C$46</f>
        <v>834.4799999999999</v>
      </c>
      <c r="E62" s="89">
        <f t="shared" si="25"/>
        <v>4.5061919999999995</v>
      </c>
      <c r="F62" s="77"/>
      <c r="G62" s="87">
        <f>G26</f>
        <v>5.4000000000000003E-3</v>
      </c>
      <c r="H62" s="81">
        <f>$C$45*$C$46</f>
        <v>834.4799999999999</v>
      </c>
      <c r="I62" s="89">
        <f t="shared" si="26"/>
        <v>4.5061919999999995</v>
      </c>
      <c r="J62" s="65"/>
      <c r="K62" s="95">
        <f t="shared" si="18"/>
        <v>0</v>
      </c>
      <c r="L62" s="96" t="str">
        <f t="shared" si="14"/>
        <v xml:space="preserve"> 0.00%</v>
      </c>
    </row>
    <row r="63" spans="1:12" x14ac:dyDescent="0.25">
      <c r="A63" s="202" t="s">
        <v>50</v>
      </c>
      <c r="B63" s="200"/>
      <c r="C63" s="80"/>
      <c r="D63" s="80"/>
      <c r="E63" s="90">
        <f>SUM(E60:E62)</f>
        <v>46.652779199999991</v>
      </c>
      <c r="F63" s="82"/>
      <c r="G63" s="80"/>
      <c r="H63" s="80"/>
      <c r="I63" s="90">
        <f>SUM(I60:I62)</f>
        <v>46.488879199999992</v>
      </c>
      <c r="J63" s="66"/>
      <c r="K63" s="141">
        <f t="shared" si="18"/>
        <v>-0.16389999999999816</v>
      </c>
      <c r="L63" s="97">
        <f t="shared" si="14"/>
        <v>-3.5131883418426657E-3</v>
      </c>
    </row>
    <row r="64" spans="1:12" x14ac:dyDescent="0.25">
      <c r="A64" s="206" t="s">
        <v>51</v>
      </c>
      <c r="B64" s="197" t="s">
        <v>62</v>
      </c>
      <c r="C64" s="88">
        <f t="shared" si="15"/>
        <v>4.4000000000000003E-3</v>
      </c>
      <c r="D64" s="81">
        <f t="shared" ref="D64:D65" si="27">$C$45*$C$46</f>
        <v>834.4799999999999</v>
      </c>
      <c r="E64" s="67">
        <f t="shared" ref="E64:E68" si="28">C64*D64</f>
        <v>3.6717119999999999</v>
      </c>
      <c r="F64" s="79"/>
      <c r="G64" s="88">
        <f t="shared" ref="G64:G69" si="29">G28</f>
        <v>4.4000000000000003E-3</v>
      </c>
      <c r="H64" s="81">
        <f t="shared" ref="H64:H65" si="30">$C$45*$C$46</f>
        <v>834.4799999999999</v>
      </c>
      <c r="I64" s="67">
        <f t="shared" ref="I64:I68" si="31">G64*H64</f>
        <v>3.6717119999999999</v>
      </c>
      <c r="J64" s="65"/>
      <c r="K64" s="95">
        <f t="shared" si="18"/>
        <v>0</v>
      </c>
      <c r="L64" s="96" t="str">
        <f t="shared" si="14"/>
        <v xml:space="preserve"> 0.00%</v>
      </c>
    </row>
    <row r="65" spans="1:12" x14ac:dyDescent="0.25">
      <c r="A65" s="206" t="s">
        <v>52</v>
      </c>
      <c r="B65" s="197" t="s">
        <v>62</v>
      </c>
      <c r="C65" s="88">
        <f t="shared" si="15"/>
        <v>1.2999999999999999E-3</v>
      </c>
      <c r="D65" s="81">
        <f t="shared" si="27"/>
        <v>834.4799999999999</v>
      </c>
      <c r="E65" s="67">
        <f t="shared" si="28"/>
        <v>1.0848239999999998</v>
      </c>
      <c r="F65" s="79"/>
      <c r="G65" s="88">
        <f t="shared" si="29"/>
        <v>1.2999999999999999E-3</v>
      </c>
      <c r="H65" s="81">
        <f t="shared" si="30"/>
        <v>834.4799999999999</v>
      </c>
      <c r="I65" s="67">
        <f t="shared" si="31"/>
        <v>1.0848239999999998</v>
      </c>
      <c r="J65" s="65"/>
      <c r="K65" s="95">
        <f t="shared" si="18"/>
        <v>0</v>
      </c>
      <c r="L65" s="96" t="str">
        <f t="shared" si="14"/>
        <v xml:space="preserve"> 0.00%</v>
      </c>
    </row>
    <row r="66" spans="1:12" x14ac:dyDescent="0.25">
      <c r="A66" s="196" t="s">
        <v>53</v>
      </c>
      <c r="B66" s="197" t="s">
        <v>61</v>
      </c>
      <c r="C66" s="69">
        <f t="shared" si="15"/>
        <v>0.25</v>
      </c>
      <c r="D66" s="81">
        <v>1</v>
      </c>
      <c r="E66" s="67">
        <f t="shared" si="28"/>
        <v>0.25</v>
      </c>
      <c r="F66" s="79"/>
      <c r="G66" s="69">
        <f t="shared" si="29"/>
        <v>0.25</v>
      </c>
      <c r="H66" s="81">
        <v>1</v>
      </c>
      <c r="I66" s="67">
        <f t="shared" si="31"/>
        <v>0.25</v>
      </c>
      <c r="J66" s="79"/>
      <c r="K66" s="95">
        <f t="shared" si="18"/>
        <v>0</v>
      </c>
      <c r="L66" s="96" t="str">
        <f t="shared" si="14"/>
        <v xml:space="preserve"> 0.00%</v>
      </c>
    </row>
    <row r="67" spans="1:12" x14ac:dyDescent="0.25">
      <c r="A67" s="196" t="s">
        <v>54</v>
      </c>
      <c r="B67" s="197" t="s">
        <v>62</v>
      </c>
      <c r="C67" s="83">
        <f t="shared" si="15"/>
        <v>0.08</v>
      </c>
      <c r="D67" s="81">
        <f>$C$45*0.64</f>
        <v>512</v>
      </c>
      <c r="E67" s="67">
        <f t="shared" si="28"/>
        <v>40.96</v>
      </c>
      <c r="F67" s="79"/>
      <c r="G67" s="83">
        <f t="shared" si="29"/>
        <v>0.08</v>
      </c>
      <c r="H67" s="81">
        <f>$C$45*0.64</f>
        <v>512</v>
      </c>
      <c r="I67" s="67">
        <f t="shared" si="31"/>
        <v>40.96</v>
      </c>
      <c r="J67" s="79"/>
      <c r="K67" s="95">
        <f t="shared" si="18"/>
        <v>0</v>
      </c>
      <c r="L67" s="96" t="str">
        <f t="shared" si="14"/>
        <v xml:space="preserve"> 0.00%</v>
      </c>
    </row>
    <row r="68" spans="1:12" x14ac:dyDescent="0.25">
      <c r="A68" s="196" t="s">
        <v>55</v>
      </c>
      <c r="B68" s="197" t="s">
        <v>62</v>
      </c>
      <c r="C68" s="83">
        <f t="shared" si="15"/>
        <v>0.122</v>
      </c>
      <c r="D68" s="81">
        <f>$C$45*0.18</f>
        <v>144</v>
      </c>
      <c r="E68" s="67">
        <f t="shared" si="28"/>
        <v>17.567999999999998</v>
      </c>
      <c r="F68" s="79"/>
      <c r="G68" s="83">
        <f t="shared" si="29"/>
        <v>0.122</v>
      </c>
      <c r="H68" s="81">
        <f>$C$45*0.18</f>
        <v>144</v>
      </c>
      <c r="I68" s="67">
        <f t="shared" si="31"/>
        <v>17.567999999999998</v>
      </c>
      <c r="J68" s="79"/>
      <c r="K68" s="95">
        <f t="shared" si="18"/>
        <v>0</v>
      </c>
      <c r="L68" s="96" t="str">
        <f t="shared" si="14"/>
        <v xml:space="preserve"> 0.00%</v>
      </c>
    </row>
    <row r="69" spans="1:12" ht="15.75" thickBot="1" x14ac:dyDescent="0.3">
      <c r="A69" s="207" t="s">
        <v>56</v>
      </c>
      <c r="B69" s="208" t="s">
        <v>62</v>
      </c>
      <c r="C69" s="83">
        <f t="shared" si="15"/>
        <v>0.161</v>
      </c>
      <c r="D69" s="81">
        <f>$C$45*0.18</f>
        <v>144</v>
      </c>
      <c r="E69" s="67">
        <f>C69*D69</f>
        <v>23.184000000000001</v>
      </c>
      <c r="F69" s="79"/>
      <c r="G69" s="83">
        <f t="shared" si="29"/>
        <v>0.161</v>
      </c>
      <c r="H69" s="81">
        <f>$C$45*0.18</f>
        <v>144</v>
      </c>
      <c r="I69" s="67">
        <f>G69*H69</f>
        <v>23.184000000000001</v>
      </c>
      <c r="J69" s="79"/>
      <c r="K69" s="95">
        <f t="shared" si="18"/>
        <v>0</v>
      </c>
      <c r="L69" s="96" t="str">
        <f t="shared" si="14"/>
        <v xml:space="preserve"> 0.00%</v>
      </c>
    </row>
    <row r="70" spans="1:12" ht="9" customHeight="1" thickBot="1" x14ac:dyDescent="0.3">
      <c r="A70" s="209"/>
      <c r="B70" s="210"/>
      <c r="C70" s="137"/>
      <c r="D70" s="84"/>
      <c r="E70" s="91"/>
      <c r="F70" s="84"/>
      <c r="G70" s="137"/>
      <c r="H70" s="84"/>
      <c r="I70" s="137"/>
      <c r="J70" s="84"/>
      <c r="K70" s="138"/>
      <c r="L70" s="98"/>
    </row>
    <row r="71" spans="1:12" x14ac:dyDescent="0.25">
      <c r="A71" s="211" t="s">
        <v>57</v>
      </c>
      <c r="B71" s="212"/>
      <c r="C71" s="102"/>
      <c r="D71" s="103"/>
      <c r="E71" s="92">
        <f>SUM(E63:E69)</f>
        <v>133.3713152</v>
      </c>
      <c r="F71" s="104"/>
      <c r="G71" s="105"/>
      <c r="H71" s="103"/>
      <c r="I71" s="139">
        <f>SUM(I63:I69)</f>
        <v>133.20741519999999</v>
      </c>
      <c r="J71" s="85"/>
      <c r="K71" s="140">
        <f t="shared" ref="K71:K75" si="32">I71-E71</f>
        <v>-0.16390000000001237</v>
      </c>
      <c r="L71" s="68">
        <f t="shared" si="14"/>
        <v>-1.2288999306502291E-3</v>
      </c>
    </row>
    <row r="72" spans="1:12" x14ac:dyDescent="0.25">
      <c r="A72" s="213" t="s">
        <v>58</v>
      </c>
      <c r="B72" s="214"/>
      <c r="C72" s="102">
        <v>0.13</v>
      </c>
      <c r="D72" s="106"/>
      <c r="E72" s="93">
        <f>E71*C72</f>
        <v>17.338270976</v>
      </c>
      <c r="F72" s="74"/>
      <c r="G72" s="102">
        <v>0.13</v>
      </c>
      <c r="H72" s="106"/>
      <c r="I72" s="100">
        <f>I71*G72</f>
        <v>17.316963976</v>
      </c>
      <c r="J72" s="86"/>
      <c r="K72" s="67">
        <f t="shared" si="32"/>
        <v>-2.1307000000000187E-2</v>
      </c>
      <c r="L72" s="96">
        <f t="shared" si="14"/>
        <v>-1.228899930650118E-3</v>
      </c>
    </row>
    <row r="73" spans="1:12" hidden="1" x14ac:dyDescent="0.25">
      <c r="A73" s="215" t="s">
        <v>117</v>
      </c>
      <c r="B73" s="214"/>
      <c r="C73" s="74"/>
      <c r="D73" s="106"/>
      <c r="E73" s="93">
        <f>E71+E72</f>
        <v>150.70958617599999</v>
      </c>
      <c r="F73" s="74"/>
      <c r="G73" s="74"/>
      <c r="H73" s="106"/>
      <c r="I73" s="100">
        <f>I71+I72</f>
        <v>150.524379176</v>
      </c>
      <c r="J73" s="86"/>
      <c r="K73" s="67">
        <f t="shared" si="32"/>
        <v>-0.18520699999999124</v>
      </c>
      <c r="L73" s="96">
        <f t="shared" ref="L73" si="33">I73/E73-1</f>
        <v>-1.228899930650118E-3</v>
      </c>
    </row>
    <row r="74" spans="1:12" hidden="1" x14ac:dyDescent="0.25">
      <c r="A74" s="216"/>
      <c r="B74" s="214"/>
      <c r="C74" s="74"/>
      <c r="D74" s="106"/>
      <c r="E74" s="94">
        <v>0</v>
      </c>
      <c r="F74" s="74"/>
      <c r="G74" s="74"/>
      <c r="H74" s="106"/>
      <c r="I74" s="101">
        <v>0</v>
      </c>
      <c r="J74" s="86"/>
      <c r="K74" s="67">
        <f t="shared" si="32"/>
        <v>0</v>
      </c>
      <c r="L74" s="101">
        <v>0</v>
      </c>
    </row>
    <row r="75" spans="1:12" ht="15.75" thickBot="1" x14ac:dyDescent="0.3">
      <c r="A75" s="217" t="s">
        <v>96</v>
      </c>
      <c r="B75" s="218"/>
      <c r="C75" s="142"/>
      <c r="D75" s="143"/>
      <c r="E75" s="144">
        <f>E73+E74</f>
        <v>150.70958617599999</v>
      </c>
      <c r="F75" s="145"/>
      <c r="G75" s="145"/>
      <c r="H75" s="145"/>
      <c r="I75" s="149">
        <f>I73+I74</f>
        <v>150.524379176</v>
      </c>
      <c r="J75" s="146"/>
      <c r="K75" s="147">
        <f t="shared" si="32"/>
        <v>-0.18520699999999124</v>
      </c>
      <c r="L75" s="148">
        <f t="shared" ref="L75" si="34">IF(I75-E75=0, " 0.00%", I75/E75-1)</f>
        <v>-1.228899930650118E-3</v>
      </c>
    </row>
    <row r="76" spans="1:12" ht="9" customHeight="1" thickBot="1" x14ac:dyDescent="0.3">
      <c r="A76" s="209"/>
      <c r="B76" s="210"/>
      <c r="C76" s="137"/>
      <c r="D76" s="84"/>
      <c r="E76" s="91"/>
      <c r="F76" s="84"/>
      <c r="G76" s="137"/>
      <c r="H76" s="84"/>
      <c r="I76" s="137"/>
      <c r="J76" s="84"/>
      <c r="K76" s="138"/>
      <c r="L76" s="98"/>
    </row>
    <row r="79" spans="1:12" x14ac:dyDescent="0.25">
      <c r="A79" s="229" t="s">
        <v>97</v>
      </c>
      <c r="B79" s="230"/>
      <c r="C79" s="231"/>
    </row>
    <row r="80" spans="1:12" hidden="1" x14ac:dyDescent="0.25">
      <c r="A80" s="233"/>
      <c r="B80" s="234"/>
      <c r="C80" s="235"/>
    </row>
    <row r="81" spans="1:12" x14ac:dyDescent="0.25">
      <c r="A81" s="233" t="s">
        <v>66</v>
      </c>
      <c r="B81" s="234"/>
      <c r="C81" s="240">
        <f>'2016 Bill Impact'!C81</f>
        <v>1500</v>
      </c>
    </row>
    <row r="82" spans="1:12" x14ac:dyDescent="0.25">
      <c r="A82" s="237" t="s">
        <v>65</v>
      </c>
      <c r="B82" s="238"/>
      <c r="C82" s="241">
        <f>'2016 Bill Impact'!C82</f>
        <v>1.0430999999999999</v>
      </c>
    </row>
    <row r="84" spans="1:12" x14ac:dyDescent="0.25">
      <c r="A84" s="187"/>
      <c r="B84" s="188"/>
      <c r="C84" s="258" t="s">
        <v>59</v>
      </c>
      <c r="D84" s="259"/>
      <c r="E84" s="260"/>
      <c r="F84" s="187"/>
      <c r="G84" s="258" t="s">
        <v>67</v>
      </c>
      <c r="H84" s="259"/>
      <c r="I84" s="260"/>
      <c r="J84" s="187"/>
      <c r="K84" s="258" t="s">
        <v>39</v>
      </c>
      <c r="L84" s="260"/>
    </row>
    <row r="85" spans="1:12" ht="15" customHeight="1" x14ac:dyDescent="0.25">
      <c r="A85" s="187"/>
      <c r="B85" s="189"/>
      <c r="C85" s="190" t="s">
        <v>108</v>
      </c>
      <c r="D85" s="190" t="s">
        <v>35</v>
      </c>
      <c r="E85" s="191" t="s">
        <v>109</v>
      </c>
      <c r="F85" s="187"/>
      <c r="G85" s="190" t="s">
        <v>108</v>
      </c>
      <c r="H85" s="190" t="s">
        <v>35</v>
      </c>
      <c r="I85" s="191" t="s">
        <v>109</v>
      </c>
      <c r="J85" s="187"/>
      <c r="K85" s="192" t="s">
        <v>40</v>
      </c>
      <c r="L85" s="193" t="s">
        <v>41</v>
      </c>
    </row>
    <row r="86" spans="1:12" x14ac:dyDescent="0.25">
      <c r="A86" s="194" t="s">
        <v>36</v>
      </c>
      <c r="B86" s="195" t="s">
        <v>61</v>
      </c>
      <c r="C86" s="67">
        <f>C50</f>
        <v>16.38</v>
      </c>
      <c r="D86" s="109">
        <v>1</v>
      </c>
      <c r="E86" s="67">
        <f>C86*D86</f>
        <v>16.38</v>
      </c>
      <c r="F86" s="75"/>
      <c r="G86" s="67">
        <f>G50</f>
        <v>19.77</v>
      </c>
      <c r="H86" s="109">
        <v>1</v>
      </c>
      <c r="I86" s="67">
        <f>G86*H86</f>
        <v>19.77</v>
      </c>
      <c r="J86" s="75"/>
      <c r="K86" s="67">
        <f>I86-E86</f>
        <v>3.3900000000000006</v>
      </c>
      <c r="L86" s="96">
        <f t="shared" ref="L86:L108" si="35">IF(I86-E86=0, " 0.00%", I86/E86-1)</f>
        <v>0.20695970695970711</v>
      </c>
    </row>
    <row r="87" spans="1:12" x14ac:dyDescent="0.25">
      <c r="A87" s="196" t="s">
        <v>60</v>
      </c>
      <c r="B87" s="197" t="s">
        <v>61</v>
      </c>
      <c r="C87" s="67">
        <f t="shared" ref="C87:C105" si="36">C51</f>
        <v>-0.1638</v>
      </c>
      <c r="D87" s="109">
        <v>1</v>
      </c>
      <c r="E87" s="67">
        <f t="shared" ref="E87:E91" si="37">C87*D87</f>
        <v>-0.1638</v>
      </c>
      <c r="F87" s="75"/>
      <c r="G87" s="67">
        <f t="shared" ref="G87:G105" si="38">G51</f>
        <v>-0.19769999999999999</v>
      </c>
      <c r="H87" s="109">
        <v>1</v>
      </c>
      <c r="I87" s="67">
        <f t="shared" ref="I87:I91" si="39">G87*H87</f>
        <v>-0.19769999999999999</v>
      </c>
      <c r="J87" s="86"/>
      <c r="K87" s="67">
        <f t="shared" ref="K87:K105" si="40">I87-E87</f>
        <v>-3.3899999999999986E-2</v>
      </c>
      <c r="L87" s="96">
        <f t="shared" si="35"/>
        <v>0.20695970695970689</v>
      </c>
    </row>
    <row r="88" spans="1:12" x14ac:dyDescent="0.25">
      <c r="A88" s="196" t="s">
        <v>63</v>
      </c>
      <c r="B88" s="197" t="s">
        <v>61</v>
      </c>
      <c r="C88" s="67">
        <f t="shared" si="36"/>
        <v>0.64</v>
      </c>
      <c r="D88" s="109">
        <v>1</v>
      </c>
      <c r="E88" s="67">
        <f t="shared" si="37"/>
        <v>0.64</v>
      </c>
      <c r="F88" s="75"/>
      <c r="G88" s="67">
        <f t="shared" si="38"/>
        <v>0.64</v>
      </c>
      <c r="H88" s="109">
        <v>1</v>
      </c>
      <c r="I88" s="67">
        <f t="shared" si="39"/>
        <v>0.64</v>
      </c>
      <c r="J88" s="86"/>
      <c r="K88" s="67">
        <f t="shared" si="40"/>
        <v>0</v>
      </c>
      <c r="L88" s="96" t="str">
        <f t="shared" si="35"/>
        <v xml:space="preserve"> 0.00%</v>
      </c>
    </row>
    <row r="89" spans="1:12" x14ac:dyDescent="0.25">
      <c r="A89" s="196" t="s">
        <v>42</v>
      </c>
      <c r="B89" s="197" t="s">
        <v>62</v>
      </c>
      <c r="C89" s="70">
        <f t="shared" si="36"/>
        <v>1.78E-2</v>
      </c>
      <c r="D89" s="76">
        <f>$C$81</f>
        <v>1500</v>
      </c>
      <c r="E89" s="67">
        <f t="shared" si="37"/>
        <v>26.7</v>
      </c>
      <c r="F89" s="75"/>
      <c r="G89" s="70">
        <f t="shared" si="38"/>
        <v>1.3299999999999999E-2</v>
      </c>
      <c r="H89" s="76">
        <f>$C$81</f>
        <v>1500</v>
      </c>
      <c r="I89" s="67">
        <f t="shared" si="39"/>
        <v>19.95</v>
      </c>
      <c r="J89" s="86"/>
      <c r="K89" s="67">
        <f t="shared" si="40"/>
        <v>-6.75</v>
      </c>
      <c r="L89" s="96">
        <f t="shared" si="35"/>
        <v>-0.2528089887640449</v>
      </c>
    </row>
    <row r="90" spans="1:12" x14ac:dyDescent="0.25">
      <c r="A90" s="196" t="s">
        <v>60</v>
      </c>
      <c r="B90" s="197" t="s">
        <v>62</v>
      </c>
      <c r="C90" s="70">
        <f t="shared" si="36"/>
        <v>-2.0000000000000001E-4</v>
      </c>
      <c r="D90" s="76">
        <f>$C$81</f>
        <v>1500</v>
      </c>
      <c r="E90" s="67">
        <f t="shared" si="37"/>
        <v>-0.3</v>
      </c>
      <c r="F90" s="75"/>
      <c r="G90" s="70">
        <f t="shared" si="38"/>
        <v>-1E-4</v>
      </c>
      <c r="H90" s="76">
        <f>$C$81</f>
        <v>1500</v>
      </c>
      <c r="I90" s="67">
        <f t="shared" si="39"/>
        <v>-0.15</v>
      </c>
      <c r="J90" s="86"/>
      <c r="K90" s="67">
        <f t="shared" si="40"/>
        <v>0.15</v>
      </c>
      <c r="L90" s="96">
        <f t="shared" si="35"/>
        <v>-0.5</v>
      </c>
    </row>
    <row r="91" spans="1:12" x14ac:dyDescent="0.25">
      <c r="A91" s="198" t="s">
        <v>64</v>
      </c>
      <c r="B91" s="197" t="s">
        <v>62</v>
      </c>
      <c r="C91" s="70">
        <f t="shared" si="36"/>
        <v>8.0000000000000004E-4</v>
      </c>
      <c r="D91" s="76">
        <f>$C$81</f>
        <v>1500</v>
      </c>
      <c r="E91" s="67">
        <f t="shared" si="37"/>
        <v>1.2</v>
      </c>
      <c r="F91" s="75"/>
      <c r="G91" s="70">
        <f t="shared" si="38"/>
        <v>8.0000000000000004E-4</v>
      </c>
      <c r="H91" s="76">
        <f>$C$81</f>
        <v>1500</v>
      </c>
      <c r="I91" s="67">
        <f t="shared" si="39"/>
        <v>1.2</v>
      </c>
      <c r="J91" s="86"/>
      <c r="K91" s="67">
        <f t="shared" si="40"/>
        <v>0</v>
      </c>
      <c r="L91" s="96" t="str">
        <f t="shared" si="35"/>
        <v xml:space="preserve"> 0.00%</v>
      </c>
    </row>
    <row r="92" spans="1:12" x14ac:dyDescent="0.25">
      <c r="A92" s="199" t="s">
        <v>43</v>
      </c>
      <c r="B92" s="200"/>
      <c r="C92" s="64">
        <f t="shared" si="36"/>
        <v>0</v>
      </c>
      <c r="D92" s="80"/>
      <c r="E92" s="63">
        <f>SUM(E86:E91)</f>
        <v>44.45620000000001</v>
      </c>
      <c r="F92" s="77"/>
      <c r="G92" s="64"/>
      <c r="H92" s="80"/>
      <c r="I92" s="63">
        <f>SUM(I86:I91)</f>
        <v>41.212300000000006</v>
      </c>
      <c r="J92" s="65"/>
      <c r="K92" s="141">
        <f t="shared" si="40"/>
        <v>-3.2439000000000036</v>
      </c>
      <c r="L92" s="97">
        <f t="shared" si="35"/>
        <v>-7.2968449845016048E-2</v>
      </c>
    </row>
    <row r="93" spans="1:12" x14ac:dyDescent="0.25">
      <c r="A93" s="201" t="s">
        <v>44</v>
      </c>
      <c r="B93" s="197" t="s">
        <v>62</v>
      </c>
      <c r="C93" s="87">
        <f t="shared" si="36"/>
        <v>0.10214000000000001</v>
      </c>
      <c r="D93" s="78">
        <f>($C$81*$C$46)-$C$81</f>
        <v>64.649999999999864</v>
      </c>
      <c r="E93" s="89">
        <f t="shared" ref="E93" si="41">C93*D93</f>
        <v>6.6033509999999866</v>
      </c>
      <c r="F93" s="77"/>
      <c r="G93" s="87">
        <f t="shared" si="38"/>
        <v>0.10214000000000001</v>
      </c>
      <c r="H93" s="78">
        <f>($C$81*$C$46)-$C$81</f>
        <v>64.649999999999864</v>
      </c>
      <c r="I93" s="89">
        <f t="shared" ref="I93" si="42">G93*H93</f>
        <v>6.6033509999999866</v>
      </c>
      <c r="J93" s="65"/>
      <c r="K93" s="67">
        <f t="shared" si="40"/>
        <v>0</v>
      </c>
      <c r="L93" s="96" t="str">
        <f t="shared" si="35"/>
        <v xml:space="preserve"> 0.00%</v>
      </c>
    </row>
    <row r="94" spans="1:12" hidden="1" x14ac:dyDescent="0.25">
      <c r="A94" s="201" t="s">
        <v>45</v>
      </c>
      <c r="B94" s="197" t="s">
        <v>62</v>
      </c>
      <c r="C94" s="108">
        <f t="shared" si="36"/>
        <v>0</v>
      </c>
      <c r="D94" s="78">
        <v>0</v>
      </c>
      <c r="E94" s="89">
        <v>0</v>
      </c>
      <c r="F94" s="77"/>
      <c r="G94" s="108">
        <f t="shared" si="38"/>
        <v>0</v>
      </c>
      <c r="H94" s="78">
        <v>0</v>
      </c>
      <c r="I94" s="89">
        <v>0</v>
      </c>
      <c r="J94" s="65"/>
      <c r="K94" s="67">
        <f t="shared" si="40"/>
        <v>0</v>
      </c>
      <c r="L94" s="96" t="str">
        <f t="shared" si="35"/>
        <v xml:space="preserve"> 0.00%</v>
      </c>
    </row>
    <row r="95" spans="1:12" x14ac:dyDescent="0.25">
      <c r="A95" s="196" t="s">
        <v>46</v>
      </c>
      <c r="B95" s="197" t="s">
        <v>61</v>
      </c>
      <c r="C95" s="107">
        <f t="shared" si="36"/>
        <v>0.79</v>
      </c>
      <c r="D95" s="78">
        <v>1</v>
      </c>
      <c r="E95" s="89">
        <f t="shared" ref="E95" si="43">C95*D95</f>
        <v>0.79</v>
      </c>
      <c r="F95" s="77"/>
      <c r="G95" s="107">
        <f t="shared" si="38"/>
        <v>0.79</v>
      </c>
      <c r="H95" s="78">
        <v>1</v>
      </c>
      <c r="I95" s="89">
        <f t="shared" ref="I95" si="44">G95*H95</f>
        <v>0.79</v>
      </c>
      <c r="J95" s="65"/>
      <c r="K95" s="67">
        <f t="shared" si="40"/>
        <v>0</v>
      </c>
      <c r="L95" s="96" t="str">
        <f t="shared" si="35"/>
        <v xml:space="preserve"> 0.00%</v>
      </c>
    </row>
    <row r="96" spans="1:12" x14ac:dyDescent="0.25">
      <c r="A96" s="202" t="s">
        <v>47</v>
      </c>
      <c r="B96" s="203"/>
      <c r="C96" s="80">
        <f t="shared" si="36"/>
        <v>0</v>
      </c>
      <c r="D96" s="80"/>
      <c r="E96" s="90">
        <f>SUM(E92:E95)</f>
        <v>51.849550999999998</v>
      </c>
      <c r="F96" s="77"/>
      <c r="G96" s="80"/>
      <c r="H96" s="80"/>
      <c r="I96" s="90">
        <f>SUM(I92:I95)</f>
        <v>48.605650999999995</v>
      </c>
      <c r="J96" s="65"/>
      <c r="K96" s="141">
        <f t="shared" si="40"/>
        <v>-3.2439000000000036</v>
      </c>
      <c r="L96" s="97">
        <f t="shared" si="35"/>
        <v>-6.2563704746450011E-2</v>
      </c>
    </row>
    <row r="97" spans="1:12" x14ac:dyDescent="0.25">
      <c r="A97" s="204" t="s">
        <v>48</v>
      </c>
      <c r="B97" s="197" t="s">
        <v>62</v>
      </c>
      <c r="C97" s="87">
        <f t="shared" si="36"/>
        <v>7.4999999999999997E-3</v>
      </c>
      <c r="D97" s="81">
        <f>$C$81*$C$46</f>
        <v>1564.6499999999999</v>
      </c>
      <c r="E97" s="89">
        <f t="shared" ref="E97:E98" si="45">C97*D97</f>
        <v>11.734874999999999</v>
      </c>
      <c r="F97" s="77"/>
      <c r="G97" s="87">
        <f t="shared" si="38"/>
        <v>7.4999999999999997E-3</v>
      </c>
      <c r="H97" s="81">
        <f>$C$81*$C$46</f>
        <v>1564.6499999999999</v>
      </c>
      <c r="I97" s="89">
        <f t="shared" ref="I97:I98" si="46">G97*H97</f>
        <v>11.734874999999999</v>
      </c>
      <c r="J97" s="65"/>
      <c r="K97" s="95">
        <f t="shared" si="40"/>
        <v>0</v>
      </c>
      <c r="L97" s="96" t="str">
        <f t="shared" si="35"/>
        <v xml:space="preserve"> 0.00%</v>
      </c>
    </row>
    <row r="98" spans="1:12" x14ac:dyDescent="0.25">
      <c r="A98" s="205" t="s">
        <v>49</v>
      </c>
      <c r="B98" s="197" t="s">
        <v>62</v>
      </c>
      <c r="C98" s="87">
        <f t="shared" si="36"/>
        <v>5.4000000000000003E-3</v>
      </c>
      <c r="D98" s="81">
        <f>$C$81*$C$46</f>
        <v>1564.6499999999999</v>
      </c>
      <c r="E98" s="89">
        <f t="shared" si="45"/>
        <v>8.4491099999999992</v>
      </c>
      <c r="F98" s="77"/>
      <c r="G98" s="87">
        <f t="shared" si="38"/>
        <v>5.4000000000000003E-3</v>
      </c>
      <c r="H98" s="81">
        <f>$C$81*$C$46</f>
        <v>1564.6499999999999</v>
      </c>
      <c r="I98" s="89">
        <f t="shared" si="46"/>
        <v>8.4491099999999992</v>
      </c>
      <c r="J98" s="65"/>
      <c r="K98" s="95">
        <f t="shared" si="40"/>
        <v>0</v>
      </c>
      <c r="L98" s="96" t="str">
        <f t="shared" si="35"/>
        <v xml:space="preserve"> 0.00%</v>
      </c>
    </row>
    <row r="99" spans="1:12" x14ac:dyDescent="0.25">
      <c r="A99" s="202" t="s">
        <v>50</v>
      </c>
      <c r="B99" s="200"/>
      <c r="C99" s="80">
        <f t="shared" si="36"/>
        <v>0</v>
      </c>
      <c r="D99" s="80"/>
      <c r="E99" s="90">
        <f>SUM(E96:E98)</f>
        <v>72.033535999999998</v>
      </c>
      <c r="F99" s="82"/>
      <c r="G99" s="80"/>
      <c r="H99" s="80"/>
      <c r="I99" s="90">
        <f>SUM(I96:I98)</f>
        <v>68.789636000000002</v>
      </c>
      <c r="J99" s="66"/>
      <c r="K99" s="141">
        <f t="shared" si="40"/>
        <v>-3.2438999999999965</v>
      </c>
      <c r="L99" s="97">
        <f t="shared" si="35"/>
        <v>-4.5033191206940049E-2</v>
      </c>
    </row>
    <row r="100" spans="1:12" x14ac:dyDescent="0.25">
      <c r="A100" s="206" t="s">
        <v>51</v>
      </c>
      <c r="B100" s="197" t="s">
        <v>62</v>
      </c>
      <c r="C100" s="88">
        <f t="shared" si="36"/>
        <v>4.4000000000000003E-3</v>
      </c>
      <c r="D100" s="81">
        <f>$C$81*$C$46</f>
        <v>1564.6499999999999</v>
      </c>
      <c r="E100" s="67">
        <f t="shared" ref="E100:E104" si="47">C100*D100</f>
        <v>6.8844599999999998</v>
      </c>
      <c r="F100" s="79"/>
      <c r="G100" s="88">
        <f t="shared" si="38"/>
        <v>4.4000000000000003E-3</v>
      </c>
      <c r="H100" s="81">
        <f>$C$81*$C$46</f>
        <v>1564.6499999999999</v>
      </c>
      <c r="I100" s="67">
        <f t="shared" ref="I100:I104" si="48">G100*H100</f>
        <v>6.8844599999999998</v>
      </c>
      <c r="J100" s="65"/>
      <c r="K100" s="95">
        <f t="shared" si="40"/>
        <v>0</v>
      </c>
      <c r="L100" s="96" t="str">
        <f t="shared" si="35"/>
        <v xml:space="preserve"> 0.00%</v>
      </c>
    </row>
    <row r="101" spans="1:12" x14ac:dyDescent="0.25">
      <c r="A101" s="206" t="s">
        <v>52</v>
      </c>
      <c r="B101" s="197" t="s">
        <v>62</v>
      </c>
      <c r="C101" s="88">
        <f t="shared" si="36"/>
        <v>1.2999999999999999E-3</v>
      </c>
      <c r="D101" s="81">
        <f>$C$81*$C$46</f>
        <v>1564.6499999999999</v>
      </c>
      <c r="E101" s="67">
        <f t="shared" si="47"/>
        <v>2.0340449999999999</v>
      </c>
      <c r="F101" s="79"/>
      <c r="G101" s="88">
        <f t="shared" si="38"/>
        <v>1.2999999999999999E-3</v>
      </c>
      <c r="H101" s="81">
        <f>$C$81*$C$46</f>
        <v>1564.6499999999999</v>
      </c>
      <c r="I101" s="67">
        <f t="shared" si="48"/>
        <v>2.0340449999999999</v>
      </c>
      <c r="J101" s="65"/>
      <c r="K101" s="95">
        <f t="shared" si="40"/>
        <v>0</v>
      </c>
      <c r="L101" s="96" t="str">
        <f t="shared" si="35"/>
        <v xml:space="preserve"> 0.00%</v>
      </c>
    </row>
    <row r="102" spans="1:12" x14ac:dyDescent="0.25">
      <c r="A102" s="196" t="s">
        <v>53</v>
      </c>
      <c r="B102" s="197" t="s">
        <v>61</v>
      </c>
      <c r="C102" s="69">
        <f t="shared" si="36"/>
        <v>0.25</v>
      </c>
      <c r="D102" s="81">
        <v>1</v>
      </c>
      <c r="E102" s="67">
        <f t="shared" si="47"/>
        <v>0.25</v>
      </c>
      <c r="F102" s="79"/>
      <c r="G102" s="69">
        <f t="shared" si="38"/>
        <v>0.25</v>
      </c>
      <c r="H102" s="81">
        <v>1</v>
      </c>
      <c r="I102" s="67">
        <f t="shared" si="48"/>
        <v>0.25</v>
      </c>
      <c r="J102" s="79"/>
      <c r="K102" s="95">
        <f t="shared" si="40"/>
        <v>0</v>
      </c>
      <c r="L102" s="96" t="str">
        <f t="shared" si="35"/>
        <v xml:space="preserve"> 0.00%</v>
      </c>
    </row>
    <row r="103" spans="1:12" x14ac:dyDescent="0.25">
      <c r="A103" s="196" t="s">
        <v>54</v>
      </c>
      <c r="B103" s="197" t="s">
        <v>62</v>
      </c>
      <c r="C103" s="83">
        <f t="shared" si="36"/>
        <v>0.08</v>
      </c>
      <c r="D103" s="81">
        <f>$C$81*0.64</f>
        <v>960</v>
      </c>
      <c r="E103" s="67">
        <f t="shared" si="47"/>
        <v>76.8</v>
      </c>
      <c r="F103" s="79"/>
      <c r="G103" s="83">
        <f t="shared" si="38"/>
        <v>0.08</v>
      </c>
      <c r="H103" s="81">
        <f>$C$81*0.64</f>
        <v>960</v>
      </c>
      <c r="I103" s="67">
        <f t="shared" si="48"/>
        <v>76.8</v>
      </c>
      <c r="J103" s="79"/>
      <c r="K103" s="95">
        <f t="shared" si="40"/>
        <v>0</v>
      </c>
      <c r="L103" s="96" t="str">
        <f t="shared" si="35"/>
        <v xml:space="preserve"> 0.00%</v>
      </c>
    </row>
    <row r="104" spans="1:12" x14ac:dyDescent="0.25">
      <c r="A104" s="196" t="s">
        <v>55</v>
      </c>
      <c r="B104" s="197" t="s">
        <v>62</v>
      </c>
      <c r="C104" s="83">
        <f t="shared" si="36"/>
        <v>0.122</v>
      </c>
      <c r="D104" s="81">
        <f>$C$81*0.18</f>
        <v>270</v>
      </c>
      <c r="E104" s="67">
        <f t="shared" si="47"/>
        <v>32.94</v>
      </c>
      <c r="F104" s="79"/>
      <c r="G104" s="83">
        <f t="shared" si="38"/>
        <v>0.122</v>
      </c>
      <c r="H104" s="81">
        <f>$C$81*0.18</f>
        <v>270</v>
      </c>
      <c r="I104" s="67">
        <f t="shared" si="48"/>
        <v>32.94</v>
      </c>
      <c r="J104" s="79"/>
      <c r="K104" s="95">
        <f t="shared" si="40"/>
        <v>0</v>
      </c>
      <c r="L104" s="96" t="str">
        <f t="shared" si="35"/>
        <v xml:space="preserve"> 0.00%</v>
      </c>
    </row>
    <row r="105" spans="1:12" ht="15.75" thickBot="1" x14ac:dyDescent="0.3">
      <c r="A105" s="207" t="s">
        <v>56</v>
      </c>
      <c r="B105" s="208" t="s">
        <v>62</v>
      </c>
      <c r="C105" s="83">
        <f t="shared" si="36"/>
        <v>0.161</v>
      </c>
      <c r="D105" s="81">
        <f>$C$81*0.18</f>
        <v>270</v>
      </c>
      <c r="E105" s="67">
        <f>C105*D105</f>
        <v>43.47</v>
      </c>
      <c r="F105" s="79"/>
      <c r="G105" s="83">
        <f t="shared" si="38"/>
        <v>0.161</v>
      </c>
      <c r="H105" s="81">
        <f>$C$81*0.18</f>
        <v>270</v>
      </c>
      <c r="I105" s="67">
        <f>G105*H105</f>
        <v>43.47</v>
      </c>
      <c r="J105" s="79"/>
      <c r="K105" s="95">
        <f t="shared" si="40"/>
        <v>0</v>
      </c>
      <c r="L105" s="96" t="str">
        <f t="shared" si="35"/>
        <v xml:space="preserve"> 0.00%</v>
      </c>
    </row>
    <row r="106" spans="1:12" ht="9" customHeight="1" thickBot="1" x14ac:dyDescent="0.3">
      <c r="A106" s="209"/>
      <c r="B106" s="210"/>
      <c r="C106" s="137"/>
      <c r="D106" s="84"/>
      <c r="E106" s="91"/>
      <c r="F106" s="84"/>
      <c r="G106" s="137"/>
      <c r="H106" s="84"/>
      <c r="I106" s="137"/>
      <c r="J106" s="84"/>
      <c r="K106" s="138"/>
      <c r="L106" s="98"/>
    </row>
    <row r="107" spans="1:12" x14ac:dyDescent="0.25">
      <c r="A107" s="211" t="s">
        <v>57</v>
      </c>
      <c r="B107" s="212"/>
      <c r="C107" s="102"/>
      <c r="D107" s="103"/>
      <c r="E107" s="92">
        <f>SUM(E99:E105)</f>
        <v>234.41204100000002</v>
      </c>
      <c r="F107" s="104"/>
      <c r="G107" s="105"/>
      <c r="H107" s="103"/>
      <c r="I107" s="139">
        <f>SUM(I99:I105)</f>
        <v>231.16814100000002</v>
      </c>
      <c r="J107" s="85"/>
      <c r="K107" s="140">
        <f t="shared" ref="K107:K111" si="49">I107-E107</f>
        <v>-3.2438999999999965</v>
      </c>
      <c r="L107" s="68">
        <f t="shared" si="35"/>
        <v>-1.3838452948754409E-2</v>
      </c>
    </row>
    <row r="108" spans="1:12" x14ac:dyDescent="0.25">
      <c r="A108" s="213" t="s">
        <v>58</v>
      </c>
      <c r="B108" s="214"/>
      <c r="C108" s="102">
        <v>0.13</v>
      </c>
      <c r="D108" s="106"/>
      <c r="E108" s="93">
        <f>E107*C108</f>
        <v>30.473565330000003</v>
      </c>
      <c r="F108" s="74"/>
      <c r="G108" s="102">
        <v>0.13</v>
      </c>
      <c r="H108" s="106"/>
      <c r="I108" s="100">
        <f>I107*G108</f>
        <v>30.051858330000005</v>
      </c>
      <c r="J108" s="86"/>
      <c r="K108" s="67">
        <f t="shared" si="49"/>
        <v>-0.42170699999999783</v>
      </c>
      <c r="L108" s="96">
        <f t="shared" si="35"/>
        <v>-1.3838452948754409E-2</v>
      </c>
    </row>
    <row r="109" spans="1:12" hidden="1" x14ac:dyDescent="0.25">
      <c r="A109" s="215" t="s">
        <v>117</v>
      </c>
      <c r="B109" s="214"/>
      <c r="C109" s="74"/>
      <c r="D109" s="106"/>
      <c r="E109" s="93">
        <f>E107+E108</f>
        <v>264.88560633000003</v>
      </c>
      <c r="F109" s="74"/>
      <c r="G109" s="74"/>
      <c r="H109" s="106"/>
      <c r="I109" s="100">
        <f>I107+I108</f>
        <v>261.21999933000001</v>
      </c>
      <c r="J109" s="86"/>
      <c r="K109" s="67">
        <f t="shared" si="49"/>
        <v>-3.6656070000000227</v>
      </c>
      <c r="L109" s="96">
        <f t="shared" ref="L109" si="50">I109/E109-1</f>
        <v>-1.383845294875452E-2</v>
      </c>
    </row>
    <row r="110" spans="1:12" hidden="1" x14ac:dyDescent="0.25">
      <c r="A110" s="216"/>
      <c r="B110" s="214"/>
      <c r="C110" s="74"/>
      <c r="D110" s="106"/>
      <c r="E110" s="94">
        <v>0</v>
      </c>
      <c r="F110" s="74"/>
      <c r="G110" s="74"/>
      <c r="H110" s="106"/>
      <c r="I110" s="101">
        <v>0</v>
      </c>
      <c r="J110" s="86"/>
      <c r="K110" s="67">
        <f t="shared" si="49"/>
        <v>0</v>
      </c>
      <c r="L110" s="101">
        <v>0</v>
      </c>
    </row>
    <row r="111" spans="1:12" ht="15.75" thickBot="1" x14ac:dyDescent="0.3">
      <c r="A111" s="217" t="s">
        <v>96</v>
      </c>
      <c r="B111" s="218"/>
      <c r="C111" s="142"/>
      <c r="D111" s="143"/>
      <c r="E111" s="144">
        <f>E109+E110</f>
        <v>264.88560633000003</v>
      </c>
      <c r="F111" s="145"/>
      <c r="G111" s="145"/>
      <c r="H111" s="145"/>
      <c r="I111" s="149">
        <f>I109+I110</f>
        <v>261.21999933000001</v>
      </c>
      <c r="J111" s="146"/>
      <c r="K111" s="147">
        <f t="shared" si="49"/>
        <v>-3.6656070000000227</v>
      </c>
      <c r="L111" s="148">
        <f t="shared" ref="L111" si="51">IF(I111-E111=0, " 0.00%", I111/E111-1)</f>
        <v>-1.383845294875452E-2</v>
      </c>
    </row>
    <row r="112" spans="1:12" ht="9" customHeight="1" thickBot="1" x14ac:dyDescent="0.3">
      <c r="A112" s="209"/>
      <c r="B112" s="210"/>
      <c r="C112" s="137"/>
      <c r="D112" s="84"/>
      <c r="E112" s="91"/>
      <c r="F112" s="84"/>
      <c r="G112" s="137"/>
      <c r="H112" s="84"/>
      <c r="I112" s="137"/>
      <c r="J112" s="84"/>
      <c r="K112" s="138"/>
      <c r="L112" s="98"/>
    </row>
  </sheetData>
  <mergeCells count="9">
    <mergeCell ref="C84:E84"/>
    <mergeCell ref="G84:I84"/>
    <mergeCell ref="K84:L84"/>
    <mergeCell ref="C12:E12"/>
    <mergeCell ref="G12:I12"/>
    <mergeCell ref="K12:L12"/>
    <mergeCell ref="C48:E48"/>
    <mergeCell ref="G48:I48"/>
    <mergeCell ref="K48:L48"/>
  </mergeCells>
  <pageMargins left="0.7" right="0.7" top="0.75" bottom="0.75" header="0.3" footer="0.3"/>
  <pageSetup scale="48" orientation="portrait" r:id="rId1"/>
  <headerFooter>
    <oddHeader>&amp;RFiled: 2016-10-18
EB-2016-0082
Draft Rate Order
Attachment 3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EB-2016-0082</Case_x0020_Number_x002f_Docket_x0020_Number>
    <Issue_x0020_Date xmlns="f9175001-c430-4d57-adde-c1c10539e919">2016-10-18T04:00:00+00:00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Case_x0020_Type xmlns="f9175001-c430-4d57-adde-c1c10539e919">Electricity</Case_x0020_Type>
    <Document_x0020_Type xmlns="f9175001-c430-4d57-adde-c1c10539e919">Correspondence</Document_x0020_Type>
    <RA_x0020_Contact xmlns="31a38067-a042-4e0e-9037-517587b10700">FLANNERY Andrew</RA_x0020_Contact>
    <Hydro_x0020_One_x0020_Data_x0020_Classification xmlns="f0af1d65-dfd0-4b99-b523-def3a954563f">Internal Use (Only Internal information is not for release to the public)</Hydro_x0020_One_x0020_Data_x0020_Classification>
  </documentManagement>
</p:properties>
</file>

<file path=customXml/item2.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3B56CC244F57B469E4DF355E1317793" ma:contentTypeVersion="16" ma:contentTypeDescription="Meta data that will be applied to all documents added to the proceeding document folder" ma:contentTypeScope="" ma:versionID="f7222e2a460825bf4f63547a4f130054">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targetNamespace="http://schemas.microsoft.com/office/2006/metadata/properties" ma:root="true" ma:fieldsID="ed1632bf2f1b7284e5b7ae3075c802ff" ns2:_="" ns3:_="" ns4:_="" ns5:_="">
    <xsd:import namespace="f9175001-c430-4d57-adde-c1c10539e919"/>
    <xsd:import namespace="ea909525-6dd5-47d7-9eed-71e77e5cedc6"/>
    <xsd:import namespace="f0af1d65-dfd0-4b99-b523-def3a954563f"/>
    <xsd:import namespace="31a38067-a042-4e0e-9037-517587b10700"/>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xsd:element ref="ns5:RA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182932 - AC" ma:format="Dropdown" ma:internalName="RA_x0020_Contact" ma:readOnly="false">
      <xsd:simpleType>
        <xsd:union memberTypes="dms:Text">
          <xsd:simpleType>
            <xsd:restriction base="dms:Choice">
              <xsd:enumeration value="182932 - AC"/>
              <xsd:enumeration value="176200 - AS"/>
              <xsd:enumeration value="584633 - OH"/>
              <xsd:enumeration value="183940 - IM"/>
              <xsd:enumeration value="509460 - SF"/>
              <xsd:enumeration value="178011 - AMR"/>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2E3AFA-6C28-42AD-9907-F3199CB1E7EC}">
  <ds:schemaRefs>
    <ds:schemaRef ds:uri="http://www.w3.org/XML/1998/namespace"/>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f9175001-c430-4d57-adde-c1c10539e919"/>
    <ds:schemaRef ds:uri="http://schemas.openxmlformats.org/package/2006/metadata/core-properties"/>
    <ds:schemaRef ds:uri="31a38067-a042-4e0e-9037-517587b10700"/>
    <ds:schemaRef ds:uri="f0af1d65-dfd0-4b99-b523-def3a954563f"/>
    <ds:schemaRef ds:uri="ea909525-6dd5-47d7-9eed-71e77e5cedc6"/>
    <ds:schemaRef ds:uri="http://schemas.microsoft.com/office/2006/metadata/properties"/>
  </ds:schemaRefs>
</ds:datastoreItem>
</file>

<file path=customXml/itemProps2.xml><?xml version="1.0" encoding="utf-8"?>
<ds:datastoreItem xmlns:ds="http://schemas.openxmlformats.org/officeDocument/2006/customXml" ds:itemID="{9B9454B9-9C84-4FE8-83EC-A017C381AC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FC2647-64A9-493B-A9EB-C4C5ED92FF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Tables</vt:lpstr>
      <vt:lpstr>APPENDIX B</vt:lpstr>
      <vt:lpstr>App.2-PA_Res_Rate_Design_16</vt:lpstr>
      <vt:lpstr>App.2-PA_Res_Rate_Design_17</vt:lpstr>
      <vt:lpstr>App.2-PA_Res_Rate_Design_18</vt:lpstr>
      <vt:lpstr>App.2-PA_Res_Rate_Design_19</vt:lpstr>
      <vt:lpstr>App.2PA_Res_Rate_Design_20</vt:lpstr>
      <vt:lpstr>2016 Bill Impact</vt:lpstr>
      <vt:lpstr>2017 Bill Impact</vt:lpstr>
      <vt:lpstr>2018 Bill Impact</vt:lpstr>
      <vt:lpstr>2019 Bill Impact</vt:lpstr>
      <vt:lpstr>2020 Bill Impact</vt:lpstr>
      <vt:lpstr>Sheet1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Attachment3_WHSI_2016_Filing_Requirements_Appendix 2PA 5 Years_20151019</dc:title>
  <dc:creator>Patricia Eitel</dc:creator>
  <cp:lastModifiedBy>DENNENY Kelly</cp:lastModifiedBy>
  <cp:lastPrinted>2016-10-18T19:46:35Z</cp:lastPrinted>
  <dcterms:created xsi:type="dcterms:W3CDTF">2015-09-17T18:17:06Z</dcterms:created>
  <dcterms:modified xsi:type="dcterms:W3CDTF">2016-10-18T19:46:44Z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0x01010061EC7F66509FFD4DA0B1B261A86BE7730043B56CC244F57B469E4DF355E1317793</vt:lpwstr>
  </property>
  <property fmtid="{D5CDD505-2E9C-101B-9397-08002B2CF9AE}" pid="3" name="Order">
    <vt:r8>143200</vt:r8>
  </property>
</Properties>
</file>