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showInkAnnotation="0" defaultThemeVersion="124226"/>
  <bookViews>
    <workbookView xWindow="120" yWindow="210" windowWidth="15450" windowHeight="12015" tabRatio="791" activeTab="11"/>
  </bookViews>
  <sheets>
    <sheet name="Tables" sheetId="14" r:id="rId1"/>
    <sheet name="APPENDIX B" sheetId="15" r:id="rId2"/>
    <sheet name="App.2-PA_Res_Rate_Design_16" sheetId="1" r:id="rId3"/>
    <sheet name="App.2-PA_Res_Rate_Design_17" sheetId="10" r:id="rId4"/>
    <sheet name="App.2-PA_Res_Rate_Design_18" sheetId="11" r:id="rId5"/>
    <sheet name="App.2-PA_Res_Rate_Design_19" sheetId="12" r:id="rId6"/>
    <sheet name="App.2PA_Res_Rate_Design_20" sheetId="13" r:id="rId7"/>
    <sheet name="2016 Bill Impact" sheetId="4" r:id="rId8"/>
    <sheet name="2017 Bill Impact" sheetId="5" r:id="rId9"/>
    <sheet name="2018 Bill Impact" sheetId="7" r:id="rId10"/>
    <sheet name="2019 Bill Impact" sheetId="8" r:id="rId11"/>
    <sheet name="2020 Bill Impact" sheetId="9" r:id="rId12"/>
    <sheet name="Sheet1" sheetId="16" r:id="rId13"/>
  </sheets>
  <externalReferences>
    <externalReference r:id="rId14"/>
    <externalReference r:id="rId15"/>
    <externalReference r:id="rId16"/>
    <externalReference r:id="rId17"/>
    <externalReference r:id="rId18"/>
    <externalReference r:id="rId19"/>
    <externalReference r:id="rId20"/>
  </externalReferences>
  <definedNames>
    <definedName name="BI_LDCLIST">'[1]3. Rate Class Selection'!$B$19:$B$21</definedName>
    <definedName name="BridgeYear" localSheetId="2">'[2]LDC Info'!$E$26</definedName>
    <definedName name="BridgeYear">'[3]LDC Info'!$E$26</definedName>
    <definedName name="contactf" localSheetId="8">#REF!</definedName>
    <definedName name="contactf" localSheetId="2">#REF!</definedName>
    <definedName name="contactf">#REF!</definedName>
    <definedName name="CustomerAdministration" localSheetId="2">[2]lists!$Z$1:$Z$36</definedName>
    <definedName name="CustomerAdministration">[3]lists!$Z$1:$Z$36</definedName>
    <definedName name="EBNUMBER" localSheetId="2">'[2]LDC Info'!$E$16</definedName>
    <definedName name="EBNUMBER">'[3]LDC Info'!$E$16</definedName>
    <definedName name="Fixed_Charges" localSheetId="2">[2]lists!$I$1:$I$212</definedName>
    <definedName name="histdate">[4]Financials!$E$76</definedName>
    <definedName name="Incr2000" localSheetId="8">#REF!</definedName>
    <definedName name="Incr2000" localSheetId="2">#REF!</definedName>
    <definedName name="Incr2000">#REF!</definedName>
    <definedName name="LDC_LIST">[5]lists!$AM$1:$AM$80</definedName>
    <definedName name="LDCLIST" localSheetId="2">'[2]LDC Info'!$AA$3:$AA$99</definedName>
    <definedName name="LDCLIST">'[3]LDC Info'!$AA$3:$AA$99</definedName>
    <definedName name="LIMIT" localSheetId="8">#REF!</definedName>
    <definedName name="LIMIT" localSheetId="2">#REF!</definedName>
    <definedName name="LIMIT">#REF!</definedName>
    <definedName name="LossFactors" localSheetId="2">[2]lists!$L$2:$L$15</definedName>
    <definedName name="LossFactors">[3]lists!$L$2:$L$15</definedName>
    <definedName name="man_beg_bud" localSheetId="8">#REF!</definedName>
    <definedName name="man_beg_bud" localSheetId="2">#REF!</definedName>
    <definedName name="man_beg_bud">#REF!</definedName>
    <definedName name="man_end_bud" localSheetId="8">#REF!</definedName>
    <definedName name="man_end_bud" localSheetId="2">#REF!</definedName>
    <definedName name="man_end_bud">#REF!</definedName>
    <definedName name="man12ACT" localSheetId="8">#REF!</definedName>
    <definedName name="man12ACT" localSheetId="2">#REF!</definedName>
    <definedName name="man12ACT">#REF!</definedName>
    <definedName name="MANBUD" localSheetId="8">#REF!</definedName>
    <definedName name="MANBUD" localSheetId="2">#REF!</definedName>
    <definedName name="MANBUD">#REF!</definedName>
    <definedName name="manCYACT" localSheetId="8">#REF!</definedName>
    <definedName name="manCYACT" localSheetId="2">#REF!</definedName>
    <definedName name="manCYACT">#REF!</definedName>
    <definedName name="manCYBUD" localSheetId="8">#REF!</definedName>
    <definedName name="manCYBUD" localSheetId="2">#REF!</definedName>
    <definedName name="manCYBUD">#REF!</definedName>
    <definedName name="manCYF" localSheetId="8">#REF!</definedName>
    <definedName name="manCYF" localSheetId="2">#REF!</definedName>
    <definedName name="manCYF">#REF!</definedName>
    <definedName name="MANEND" localSheetId="8">#REF!</definedName>
    <definedName name="MANEND" localSheetId="2">#REF!</definedName>
    <definedName name="MANEND">#REF!</definedName>
    <definedName name="manNYbud" localSheetId="8">#REF!</definedName>
    <definedName name="manNYbud" localSheetId="2">#REF!</definedName>
    <definedName name="manNYbud">#REF!</definedName>
    <definedName name="manpower_costs" localSheetId="8">#REF!</definedName>
    <definedName name="manpower_costs" localSheetId="2">#REF!</definedName>
    <definedName name="manpower_costs">#REF!</definedName>
    <definedName name="manPYACT" localSheetId="8">#REF!</definedName>
    <definedName name="manPYACT" localSheetId="2">#REF!</definedName>
    <definedName name="manPYACT">#REF!</definedName>
    <definedName name="MANSTART" localSheetId="8">#REF!</definedName>
    <definedName name="MANSTART" localSheetId="2">#REF!</definedName>
    <definedName name="MANSTART">#REF!</definedName>
    <definedName name="mat_beg_bud" localSheetId="8">#REF!</definedName>
    <definedName name="mat_beg_bud" localSheetId="2">#REF!</definedName>
    <definedName name="mat_beg_bud">#REF!</definedName>
    <definedName name="mat_end_bud" localSheetId="8">#REF!</definedName>
    <definedName name="mat_end_bud" localSheetId="2">#REF!</definedName>
    <definedName name="mat_end_bud">#REF!</definedName>
    <definedName name="mat12ACT" localSheetId="8">#REF!</definedName>
    <definedName name="mat12ACT" localSheetId="2">#REF!</definedName>
    <definedName name="mat12ACT">#REF!</definedName>
    <definedName name="MATBUD" localSheetId="8">#REF!</definedName>
    <definedName name="MATBUD" localSheetId="2">#REF!</definedName>
    <definedName name="MATBUD">#REF!</definedName>
    <definedName name="matCYACT" localSheetId="8">#REF!</definedName>
    <definedName name="matCYACT" localSheetId="2">#REF!</definedName>
    <definedName name="matCYACT">#REF!</definedName>
    <definedName name="matCYBUD" localSheetId="8">#REF!</definedName>
    <definedName name="matCYBUD" localSheetId="2">#REF!</definedName>
    <definedName name="matCYBUD">#REF!</definedName>
    <definedName name="matCYF" localSheetId="8">#REF!</definedName>
    <definedName name="matCYF" localSheetId="2">#REF!</definedName>
    <definedName name="matCYF">#REF!</definedName>
    <definedName name="MATEND" localSheetId="8">#REF!</definedName>
    <definedName name="MATEND" localSheetId="2">#REF!</definedName>
    <definedName name="MATEND">#REF!</definedName>
    <definedName name="material_costs" localSheetId="8">#REF!</definedName>
    <definedName name="material_costs" localSheetId="2">#REF!</definedName>
    <definedName name="material_costs">#REF!</definedName>
    <definedName name="matNYbud" localSheetId="8">#REF!</definedName>
    <definedName name="matNYbud" localSheetId="2">#REF!</definedName>
    <definedName name="matNYbud">#REF!</definedName>
    <definedName name="matPYACT" localSheetId="8">#REF!</definedName>
    <definedName name="matPYACT" localSheetId="2">#REF!</definedName>
    <definedName name="matPYACT">#REF!</definedName>
    <definedName name="MATSTART" localSheetId="8">#REF!</definedName>
    <definedName name="MATSTART" localSheetId="2">#REF!</definedName>
    <definedName name="MATSTART">#REF!</definedName>
    <definedName name="NonPayment" localSheetId="2">[2]lists!$AA$1:$AA$71</definedName>
    <definedName name="NonPayment">[3]lists!$AA$1:$AA$71</definedName>
    <definedName name="oth_beg_bud" localSheetId="8">#REF!</definedName>
    <definedName name="oth_beg_bud" localSheetId="2">#REF!</definedName>
    <definedName name="oth_beg_bud">#REF!</definedName>
    <definedName name="oth_end_bud" localSheetId="8">#REF!</definedName>
    <definedName name="oth_end_bud" localSheetId="2">#REF!</definedName>
    <definedName name="oth_end_bud">#REF!</definedName>
    <definedName name="oth12ACT" localSheetId="8">#REF!</definedName>
    <definedName name="oth12ACT" localSheetId="2">#REF!</definedName>
    <definedName name="oth12ACT">#REF!</definedName>
    <definedName name="othCYACT" localSheetId="8">#REF!</definedName>
    <definedName name="othCYACT" localSheetId="2">#REF!</definedName>
    <definedName name="othCYACT">#REF!</definedName>
    <definedName name="othCYBUD" localSheetId="8">#REF!</definedName>
    <definedName name="othCYBUD" localSheetId="2">#REF!</definedName>
    <definedName name="othCYBUD">#REF!</definedName>
    <definedName name="othCYF" localSheetId="8">#REF!</definedName>
    <definedName name="othCYF" localSheetId="2">#REF!</definedName>
    <definedName name="othCYF">#REF!</definedName>
    <definedName name="OTHEND" localSheetId="8">#REF!</definedName>
    <definedName name="OTHEND" localSheetId="2">#REF!</definedName>
    <definedName name="OTHEND">#REF!</definedName>
    <definedName name="other_costs" localSheetId="8">#REF!</definedName>
    <definedName name="other_costs" localSheetId="2">#REF!</definedName>
    <definedName name="other_costs">#REF!</definedName>
    <definedName name="OTHERBUD" localSheetId="8">#REF!</definedName>
    <definedName name="OTHERBUD" localSheetId="2">#REF!</definedName>
    <definedName name="OTHERBUD">#REF!</definedName>
    <definedName name="othNYbud" localSheetId="8">#REF!</definedName>
    <definedName name="othNYbud" localSheetId="2">#REF!</definedName>
    <definedName name="othNYbud">#REF!</definedName>
    <definedName name="othPYACT" localSheetId="8">#REF!</definedName>
    <definedName name="othPYACT" localSheetId="2">#REF!</definedName>
    <definedName name="othPYACT">#REF!</definedName>
    <definedName name="OTHSTART" localSheetId="8">#REF!</definedName>
    <definedName name="OTHSTART" localSheetId="2">#REF!</definedName>
    <definedName name="OTHSTART">#REF!</definedName>
    <definedName name="print_end" localSheetId="8">#REF!</definedName>
    <definedName name="print_end" localSheetId="2">#REF!</definedName>
    <definedName name="print_end">#REF!</definedName>
    <definedName name="Rate_Class" localSheetId="2">[2]lists!$A$1:$A$104</definedName>
    <definedName name="RATE_CLASSES">[3]lists!$A$1:$A$104</definedName>
    <definedName name="ratedescription">[6]hidden1!$D$1:$D$122</definedName>
    <definedName name="RebaseYear" localSheetId="2">'[2]LDC Info'!$E$28</definedName>
    <definedName name="RebaseYear">'[3]LDC Info'!$E$28</definedName>
    <definedName name="SALBENF" localSheetId="8">#REF!</definedName>
    <definedName name="SALBENF" localSheetId="2">#REF!</definedName>
    <definedName name="SALBENF">#REF!</definedName>
    <definedName name="salreg" localSheetId="8">#REF!</definedName>
    <definedName name="salreg" localSheetId="2">#REF!</definedName>
    <definedName name="salreg">#REF!</definedName>
    <definedName name="SALREGF" localSheetId="8">#REF!</definedName>
    <definedName name="SALREGF" localSheetId="2">#REF!</definedName>
    <definedName name="SALREGF">#REF!</definedName>
    <definedName name="TEMPA" localSheetId="8">#REF!</definedName>
    <definedName name="TEMPA" localSheetId="2">#REF!</definedName>
    <definedName name="TEMPA">#REF!</definedName>
    <definedName name="TestYear" localSheetId="2">'[2]LDC Info'!$E$24</definedName>
    <definedName name="TestYear">'[3]LDC Info'!$E$24</definedName>
    <definedName name="total_dept" localSheetId="8">#REF!</definedName>
    <definedName name="total_dept" localSheetId="2">#REF!</definedName>
    <definedName name="total_dept">#REF!</definedName>
    <definedName name="total_manpower" localSheetId="8">#REF!</definedName>
    <definedName name="total_manpower" localSheetId="2">#REF!</definedName>
    <definedName name="total_manpower">#REF!</definedName>
    <definedName name="total_material" localSheetId="8">#REF!</definedName>
    <definedName name="total_material" localSheetId="2">#REF!</definedName>
    <definedName name="total_material">#REF!</definedName>
    <definedName name="total_other" localSheetId="8">#REF!</definedName>
    <definedName name="total_other" localSheetId="2">#REF!</definedName>
    <definedName name="total_other">#REF!</definedName>
    <definedName name="total_transportation" localSheetId="8">#REF!</definedName>
    <definedName name="total_transportation" localSheetId="2">#REF!</definedName>
    <definedName name="total_transportation">#REF!</definedName>
    <definedName name="TRANBUD" localSheetId="8">#REF!</definedName>
    <definedName name="TRANBUD" localSheetId="2">#REF!</definedName>
    <definedName name="TRANBUD">#REF!</definedName>
    <definedName name="TRANEND" localSheetId="8">#REF!</definedName>
    <definedName name="TRANEND" localSheetId="2">#REF!</definedName>
    <definedName name="TRANEND">#REF!</definedName>
    <definedName name="transportation_costs" localSheetId="8">#REF!</definedName>
    <definedName name="transportation_costs" localSheetId="2">#REF!</definedName>
    <definedName name="transportation_costs">#REF!</definedName>
    <definedName name="TRANSTART" localSheetId="8">#REF!</definedName>
    <definedName name="TRANSTART" localSheetId="2">#REF!</definedName>
    <definedName name="TRANSTART">#REF!</definedName>
    <definedName name="trn_beg_bud" localSheetId="8">#REF!</definedName>
    <definedName name="trn_beg_bud" localSheetId="2">#REF!</definedName>
    <definedName name="trn_beg_bud">#REF!</definedName>
    <definedName name="trn_end_bud" localSheetId="8">#REF!</definedName>
    <definedName name="trn_end_bud" localSheetId="2">#REF!</definedName>
    <definedName name="trn_end_bud">#REF!</definedName>
    <definedName name="trn12ACT" localSheetId="8">#REF!</definedName>
    <definedName name="trn12ACT" localSheetId="2">#REF!</definedName>
    <definedName name="trn12ACT">#REF!</definedName>
    <definedName name="trnCYACT" localSheetId="8">#REF!</definedName>
    <definedName name="trnCYACT" localSheetId="2">#REF!</definedName>
    <definedName name="trnCYACT">#REF!</definedName>
    <definedName name="trnCYBUD" localSheetId="8">#REF!</definedName>
    <definedName name="trnCYBUD" localSheetId="2">#REF!</definedName>
    <definedName name="trnCYBUD">#REF!</definedName>
    <definedName name="trnCYF" localSheetId="8">#REF!</definedName>
    <definedName name="trnCYF" localSheetId="2">#REF!</definedName>
    <definedName name="trnCYF">#REF!</definedName>
    <definedName name="trnNYbud" localSheetId="8">#REF!</definedName>
    <definedName name="trnNYbud" localSheetId="2">#REF!</definedName>
    <definedName name="trnNYbud">#REF!</definedName>
    <definedName name="trnPYACT" localSheetId="8">#REF!</definedName>
    <definedName name="trnPYACT" localSheetId="2">#REF!</definedName>
    <definedName name="trnPYACT">#REF!</definedName>
    <definedName name="Units" localSheetId="2">[2]lists!$N$2:$N$5</definedName>
    <definedName name="Units">[3]lists!$N$2:$N$5</definedName>
    <definedName name="Utility">[4]Financials!$A$1</definedName>
    <definedName name="utitliy1">[7]Financials!$A$1</definedName>
    <definedName name="WAGBENF" localSheetId="8">#REF!</definedName>
    <definedName name="WAGBENF" localSheetId="2">#REF!</definedName>
    <definedName name="WAGBENF">#REF!</definedName>
    <definedName name="wagdob" localSheetId="8">#REF!</definedName>
    <definedName name="wagdob" localSheetId="2">#REF!</definedName>
    <definedName name="wagdob">#REF!</definedName>
    <definedName name="wagdobf" localSheetId="8">#REF!</definedName>
    <definedName name="wagdobf" localSheetId="2">#REF!</definedName>
    <definedName name="wagdobf">#REF!</definedName>
    <definedName name="wagreg" localSheetId="8">#REF!</definedName>
    <definedName name="wagreg" localSheetId="2">#REF!</definedName>
    <definedName name="wagreg">#REF!</definedName>
    <definedName name="wagregf" localSheetId="8">#REF!</definedName>
    <definedName name="wagregf" localSheetId="2">#REF!</definedName>
    <definedName name="wagregf">#REF!</definedName>
  </definedNames>
  <calcPr calcId="145621"/>
</workbook>
</file>

<file path=xl/calcChain.xml><?xml version="1.0" encoding="utf-8"?>
<calcChain xmlns="http://schemas.openxmlformats.org/spreadsheetml/2006/main">
  <c r="G18" i="9" l="1"/>
  <c r="G18" i="8"/>
  <c r="L27" i="4" l="1"/>
  <c r="L35" i="4"/>
  <c r="B20" i="13" l="1"/>
  <c r="B20" i="12"/>
  <c r="B20" i="11"/>
  <c r="B20" i="10"/>
  <c r="B20" i="1"/>
  <c r="D90" i="4" l="1"/>
  <c r="L105" i="4" l="1"/>
  <c r="L104" i="4"/>
  <c r="L103" i="4"/>
  <c r="L102" i="4"/>
  <c r="L101" i="4"/>
  <c r="L100" i="4"/>
  <c r="L98" i="4"/>
  <c r="L97" i="4"/>
  <c r="L95" i="4"/>
  <c r="L94" i="4"/>
  <c r="L93" i="4"/>
  <c r="L91" i="4"/>
  <c r="L88" i="4"/>
  <c r="L69" i="4"/>
  <c r="L68" i="4"/>
  <c r="L67" i="4"/>
  <c r="L66" i="4"/>
  <c r="L65" i="4"/>
  <c r="L64" i="4"/>
  <c r="L62" i="4"/>
  <c r="L61" i="4"/>
  <c r="L59" i="4"/>
  <c r="L58" i="4"/>
  <c r="L57" i="4"/>
  <c r="L55" i="4"/>
  <c r="L52" i="4"/>
  <c r="L30" i="4"/>
  <c r="L23" i="4"/>
  <c r="L22" i="4"/>
  <c r="L16" i="4"/>
  <c r="L105" i="5"/>
  <c r="L104" i="5"/>
  <c r="L103" i="5"/>
  <c r="L102" i="5"/>
  <c r="L101" i="5"/>
  <c r="L100" i="5"/>
  <c r="L98" i="5"/>
  <c r="L97" i="5"/>
  <c r="L95" i="5"/>
  <c r="L94" i="5"/>
  <c r="L93" i="5"/>
  <c r="L91" i="5"/>
  <c r="L88" i="5"/>
  <c r="L69" i="5"/>
  <c r="L68" i="5"/>
  <c r="L67" i="5"/>
  <c r="L66" i="5"/>
  <c r="L65" i="5"/>
  <c r="L64" i="5"/>
  <c r="L62" i="5"/>
  <c r="L61" i="5"/>
  <c r="L59" i="5"/>
  <c r="L58" i="5"/>
  <c r="L57" i="5"/>
  <c r="L55" i="5"/>
  <c r="L52" i="5"/>
  <c r="L30" i="5"/>
  <c r="L23" i="5"/>
  <c r="L22" i="5"/>
  <c r="L16" i="5"/>
  <c r="L105" i="7"/>
  <c r="L104" i="7"/>
  <c r="L103" i="7"/>
  <c r="L102" i="7"/>
  <c r="L101" i="7"/>
  <c r="L100" i="7"/>
  <c r="L98" i="7"/>
  <c r="L97" i="7"/>
  <c r="L95" i="7"/>
  <c r="L94" i="7"/>
  <c r="L93" i="7"/>
  <c r="L91" i="7"/>
  <c r="L88" i="7"/>
  <c r="L69" i="7"/>
  <c r="L68" i="7"/>
  <c r="L67" i="7"/>
  <c r="L66" i="7"/>
  <c r="L65" i="7"/>
  <c r="L64" i="7"/>
  <c r="L62" i="7"/>
  <c r="L61" i="7"/>
  <c r="L59" i="7"/>
  <c r="L58" i="7"/>
  <c r="L57" i="7"/>
  <c r="L55" i="7"/>
  <c r="L52" i="7"/>
  <c r="L30" i="7"/>
  <c r="L23" i="7"/>
  <c r="L22" i="7"/>
  <c r="L16" i="7"/>
  <c r="L105" i="8"/>
  <c r="L104" i="8"/>
  <c r="L103" i="8"/>
  <c r="L102" i="8"/>
  <c r="L101" i="8"/>
  <c r="L100" i="8"/>
  <c r="L98" i="8"/>
  <c r="L97" i="8"/>
  <c r="L95" i="8"/>
  <c r="L94" i="8"/>
  <c r="L93" i="8"/>
  <c r="L91" i="8"/>
  <c r="L88" i="8"/>
  <c r="L69" i="8"/>
  <c r="L68" i="8"/>
  <c r="L67" i="8"/>
  <c r="L66" i="8"/>
  <c r="L65" i="8"/>
  <c r="L64" i="8"/>
  <c r="L62" i="8"/>
  <c r="L61" i="8"/>
  <c r="L59" i="8"/>
  <c r="L58" i="8"/>
  <c r="L57" i="8"/>
  <c r="L55" i="8"/>
  <c r="L52" i="8"/>
  <c r="L30" i="8"/>
  <c r="L23" i="8"/>
  <c r="L22" i="8"/>
  <c r="L16" i="8"/>
  <c r="L30" i="9"/>
  <c r="L23" i="9"/>
  <c r="L22" i="9"/>
  <c r="L16" i="9"/>
  <c r="L69" i="9"/>
  <c r="L68" i="9"/>
  <c r="L67" i="9"/>
  <c r="L66" i="9"/>
  <c r="L65" i="9"/>
  <c r="L64" i="9"/>
  <c r="L62" i="9"/>
  <c r="L61" i="9"/>
  <c r="L59" i="9"/>
  <c r="L58" i="9"/>
  <c r="L57" i="9"/>
  <c r="L55" i="9"/>
  <c r="L52" i="9"/>
  <c r="L105" i="9"/>
  <c r="L104" i="9"/>
  <c r="L103" i="9"/>
  <c r="L102" i="9"/>
  <c r="L101" i="9"/>
  <c r="L100" i="9"/>
  <c r="L98" i="9"/>
  <c r="L97" i="9"/>
  <c r="L95" i="9"/>
  <c r="L94" i="9"/>
  <c r="L93" i="9"/>
  <c r="L91" i="9"/>
  <c r="L88" i="9"/>
  <c r="G95" i="9" l="1"/>
  <c r="G59" i="9"/>
  <c r="C89" i="4" l="1"/>
  <c r="C90" i="4"/>
  <c r="C53" i="4"/>
  <c r="C54" i="4"/>
  <c r="C9" i="5" l="1"/>
  <c r="C10" i="5"/>
  <c r="K22" i="5"/>
  <c r="K38" i="5"/>
  <c r="K110" i="9"/>
  <c r="K94" i="9"/>
  <c r="G69" i="9"/>
  <c r="G105" i="9" s="1"/>
  <c r="G68" i="9"/>
  <c r="G104" i="9" s="1"/>
  <c r="G67" i="9"/>
  <c r="G103" i="9" s="1"/>
  <c r="G66" i="9"/>
  <c r="G102" i="9" s="1"/>
  <c r="I102" i="9" s="1"/>
  <c r="G65" i="9"/>
  <c r="G101" i="9" s="1"/>
  <c r="G64" i="9"/>
  <c r="G100" i="9" s="1"/>
  <c r="G62" i="9"/>
  <c r="G98" i="9" s="1"/>
  <c r="G61" i="9"/>
  <c r="G97" i="9" s="1"/>
  <c r="I95" i="9"/>
  <c r="G58" i="9"/>
  <c r="G94" i="9" s="1"/>
  <c r="G55" i="9"/>
  <c r="G91" i="9" s="1"/>
  <c r="G52" i="9"/>
  <c r="G88" i="9" s="1"/>
  <c r="I88" i="9" s="1"/>
  <c r="K110" i="8"/>
  <c r="K94" i="8"/>
  <c r="G69" i="8"/>
  <c r="G105" i="8" s="1"/>
  <c r="G68" i="8"/>
  <c r="G104" i="8" s="1"/>
  <c r="G67" i="8"/>
  <c r="G103" i="8" s="1"/>
  <c r="G66" i="8"/>
  <c r="G102" i="8" s="1"/>
  <c r="I102" i="8" s="1"/>
  <c r="G65" i="8"/>
  <c r="G101" i="8" s="1"/>
  <c r="G64" i="8"/>
  <c r="G100" i="8" s="1"/>
  <c r="G62" i="8"/>
  <c r="G98" i="8" s="1"/>
  <c r="G61" i="8"/>
  <c r="G97" i="8" s="1"/>
  <c r="G59" i="8"/>
  <c r="G95" i="8" s="1"/>
  <c r="I95" i="8" s="1"/>
  <c r="G58" i="8"/>
  <c r="G94" i="8" s="1"/>
  <c r="G55" i="8"/>
  <c r="G91" i="8" s="1"/>
  <c r="G52" i="8"/>
  <c r="G88" i="8" s="1"/>
  <c r="I88" i="8" s="1"/>
  <c r="K110" i="7"/>
  <c r="G98" i="7"/>
  <c r="G97" i="7"/>
  <c r="K94" i="7"/>
  <c r="G69" i="7"/>
  <c r="G105" i="7" s="1"/>
  <c r="G68" i="7"/>
  <c r="G104" i="7" s="1"/>
  <c r="G67" i="7"/>
  <c r="G103" i="7" s="1"/>
  <c r="G66" i="7"/>
  <c r="G102" i="7" s="1"/>
  <c r="I102" i="7" s="1"/>
  <c r="G65" i="7"/>
  <c r="G101" i="7" s="1"/>
  <c r="G64" i="7"/>
  <c r="G100" i="7" s="1"/>
  <c r="G63" i="7"/>
  <c r="G99" i="7" s="1"/>
  <c r="G62" i="7"/>
  <c r="G61" i="7"/>
  <c r="G60" i="7"/>
  <c r="G96" i="7" s="1"/>
  <c r="G59" i="7"/>
  <c r="G95" i="7" s="1"/>
  <c r="I95" i="7" s="1"/>
  <c r="G58" i="7"/>
  <c r="G94" i="7" s="1"/>
  <c r="G56" i="7"/>
  <c r="G92" i="7" s="1"/>
  <c r="G55" i="7"/>
  <c r="G91" i="7" s="1"/>
  <c r="G52" i="7"/>
  <c r="G88" i="7" s="1"/>
  <c r="I88" i="7" s="1"/>
  <c r="C63" i="7"/>
  <c r="C99" i="7" s="1"/>
  <c r="C60" i="7"/>
  <c r="C96" i="7" s="1"/>
  <c r="C56" i="7"/>
  <c r="C92" i="7" s="1"/>
  <c r="C92" i="5"/>
  <c r="C82" i="5"/>
  <c r="C82" i="7" s="1"/>
  <c r="C82" i="8" s="1"/>
  <c r="C82" i="9" s="1"/>
  <c r="C81" i="5"/>
  <c r="C81" i="7" s="1"/>
  <c r="C99" i="5"/>
  <c r="C96" i="5"/>
  <c r="K110" i="5"/>
  <c r="K94" i="5"/>
  <c r="G69" i="5"/>
  <c r="G105" i="5" s="1"/>
  <c r="G68" i="5"/>
  <c r="G104" i="5" s="1"/>
  <c r="G67" i="5"/>
  <c r="G103" i="5" s="1"/>
  <c r="G66" i="5"/>
  <c r="G102" i="5" s="1"/>
  <c r="I102" i="5" s="1"/>
  <c r="G65" i="5"/>
  <c r="G101" i="5" s="1"/>
  <c r="G64" i="5"/>
  <c r="G100" i="5" s="1"/>
  <c r="G62" i="5"/>
  <c r="G98" i="5" s="1"/>
  <c r="G61" i="5"/>
  <c r="G97" i="5" s="1"/>
  <c r="G59" i="5"/>
  <c r="G95" i="5" s="1"/>
  <c r="I95" i="5" s="1"/>
  <c r="G58" i="5"/>
  <c r="G94" i="5" s="1"/>
  <c r="G55" i="5"/>
  <c r="G91" i="5" s="1"/>
  <c r="G52" i="5"/>
  <c r="G88" i="5" s="1"/>
  <c r="I88" i="5" s="1"/>
  <c r="G69" i="4"/>
  <c r="G68" i="4"/>
  <c r="G67" i="4"/>
  <c r="G66" i="4"/>
  <c r="G65" i="4"/>
  <c r="G64" i="4"/>
  <c r="G63" i="4"/>
  <c r="G62" i="4"/>
  <c r="G61" i="4"/>
  <c r="G60" i="4"/>
  <c r="G59" i="4"/>
  <c r="G58" i="4"/>
  <c r="G56" i="4"/>
  <c r="G55" i="4"/>
  <c r="G52" i="4"/>
  <c r="D91" i="5" l="1"/>
  <c r="H91" i="5"/>
  <c r="D105" i="5"/>
  <c r="H105" i="5"/>
  <c r="D105" i="7"/>
  <c r="D91" i="7"/>
  <c r="H104" i="7"/>
  <c r="I104" i="7" s="1"/>
  <c r="H90" i="7"/>
  <c r="D104" i="7"/>
  <c r="D90" i="7"/>
  <c r="D103" i="7"/>
  <c r="D89" i="7"/>
  <c r="H105" i="7"/>
  <c r="I105" i="7" s="1"/>
  <c r="H91" i="7"/>
  <c r="I91" i="7" s="1"/>
  <c r="C81" i="8"/>
  <c r="H103" i="7"/>
  <c r="I103" i="7" s="1"/>
  <c r="H89" i="7"/>
  <c r="H89" i="5"/>
  <c r="H103" i="5"/>
  <c r="D90" i="5"/>
  <c r="D104" i="5"/>
  <c r="H90" i="5"/>
  <c r="H104" i="5"/>
  <c r="D89" i="5"/>
  <c r="D103" i="5"/>
  <c r="H105" i="4"/>
  <c r="H104" i="4"/>
  <c r="H103" i="4"/>
  <c r="H101" i="4"/>
  <c r="H100" i="4"/>
  <c r="H98" i="4"/>
  <c r="H97" i="4"/>
  <c r="H93" i="4"/>
  <c r="H91" i="4"/>
  <c r="H90" i="4"/>
  <c r="H89" i="4"/>
  <c r="D105" i="4"/>
  <c r="E105" i="4" s="1"/>
  <c r="D104" i="4"/>
  <c r="E104" i="4" s="1"/>
  <c r="D103" i="4"/>
  <c r="E103" i="4" s="1"/>
  <c r="D101" i="4"/>
  <c r="E101" i="4" s="1"/>
  <c r="D100" i="4"/>
  <c r="E100" i="4" s="1"/>
  <c r="D98" i="4"/>
  <c r="E98" i="4" s="1"/>
  <c r="D97" i="4"/>
  <c r="E97" i="4" s="1"/>
  <c r="D93" i="4"/>
  <c r="D91" i="4"/>
  <c r="E91" i="4" s="1"/>
  <c r="E90" i="4"/>
  <c r="D89" i="4"/>
  <c r="E89" i="4" s="1"/>
  <c r="G105" i="4"/>
  <c r="G104" i="4"/>
  <c r="G103" i="4"/>
  <c r="G102" i="4"/>
  <c r="I102" i="4" s="1"/>
  <c r="G101" i="4"/>
  <c r="G100" i="4"/>
  <c r="G98" i="4"/>
  <c r="G97" i="4"/>
  <c r="G95" i="4"/>
  <c r="I95" i="4" s="1"/>
  <c r="G94" i="4"/>
  <c r="G91" i="4"/>
  <c r="G88" i="4"/>
  <c r="I88" i="4" s="1"/>
  <c r="K110" i="4"/>
  <c r="E102" i="4"/>
  <c r="E95" i="4"/>
  <c r="K94" i="4"/>
  <c r="C93" i="4"/>
  <c r="E88" i="4"/>
  <c r="E87" i="4"/>
  <c r="E86" i="4"/>
  <c r="E4" i="14"/>
  <c r="C4" i="14"/>
  <c r="D105" i="8" l="1"/>
  <c r="D91" i="8"/>
  <c r="H104" i="8"/>
  <c r="I104" i="8" s="1"/>
  <c r="H90" i="8"/>
  <c r="H103" i="8"/>
  <c r="I103" i="8" s="1"/>
  <c r="H89" i="8"/>
  <c r="D103" i="8"/>
  <c r="H105" i="8"/>
  <c r="I105" i="8" s="1"/>
  <c r="H91" i="8"/>
  <c r="I91" i="8" s="1"/>
  <c r="D104" i="8"/>
  <c r="D90" i="8"/>
  <c r="C81" i="9"/>
  <c r="D89" i="8"/>
  <c r="E93" i="4"/>
  <c r="I105" i="4"/>
  <c r="I104" i="4"/>
  <c r="I98" i="4"/>
  <c r="I103" i="4"/>
  <c r="I100" i="4"/>
  <c r="I101" i="4"/>
  <c r="I97" i="4"/>
  <c r="K97" i="4" s="1"/>
  <c r="I91" i="4"/>
  <c r="E92" i="4"/>
  <c r="K95" i="4"/>
  <c r="K88" i="4"/>
  <c r="K102" i="4"/>
  <c r="F12" i="15"/>
  <c r="D12" i="15"/>
  <c r="B12" i="15"/>
  <c r="H103" i="9" l="1"/>
  <c r="I103" i="9" s="1"/>
  <c r="H89" i="9"/>
  <c r="D103" i="9"/>
  <c r="D89" i="9"/>
  <c r="H105" i="9"/>
  <c r="I105" i="9" s="1"/>
  <c r="D105" i="9"/>
  <c r="D91" i="9"/>
  <c r="H104" i="9"/>
  <c r="I104" i="9" s="1"/>
  <c r="H90" i="9"/>
  <c r="D104" i="9"/>
  <c r="D90" i="9"/>
  <c r="H91" i="9"/>
  <c r="I91" i="9" s="1"/>
  <c r="E96" i="4"/>
  <c r="E99" i="4" s="1"/>
  <c r="E107" i="4" s="1"/>
  <c r="E108" i="4" s="1"/>
  <c r="E109" i="4" s="1"/>
  <c r="E111" i="4" s="1"/>
  <c r="B17" i="14" s="1"/>
  <c r="K105" i="4"/>
  <c r="K104" i="4"/>
  <c r="K103" i="4"/>
  <c r="K98" i="4"/>
  <c r="K100" i="4"/>
  <c r="K101" i="4"/>
  <c r="K91" i="4"/>
  <c r="D4" i="14" l="1"/>
  <c r="B4" i="14"/>
  <c r="C46" i="5"/>
  <c r="C45" i="5"/>
  <c r="C10" i="7"/>
  <c r="C10" i="8" s="1"/>
  <c r="C10" i="9" s="1"/>
  <c r="H31" i="5"/>
  <c r="I31" i="5" s="1"/>
  <c r="B35" i="10"/>
  <c r="B35" i="11" s="1"/>
  <c r="B35" i="12" s="1"/>
  <c r="B35" i="13" s="1"/>
  <c r="C30" i="13"/>
  <c r="C29" i="13"/>
  <c r="C30" i="12"/>
  <c r="C29" i="12"/>
  <c r="C30" i="11"/>
  <c r="C29" i="11"/>
  <c r="C30" i="10"/>
  <c r="C29" i="10"/>
  <c r="C33" i="9"/>
  <c r="C69" i="9" s="1"/>
  <c r="C105" i="9" s="1"/>
  <c r="E105" i="9" s="1"/>
  <c r="C32" i="9"/>
  <c r="C68" i="9" s="1"/>
  <c r="C104" i="9" s="1"/>
  <c r="E104" i="9" s="1"/>
  <c r="C31" i="9"/>
  <c r="C67" i="9" s="1"/>
  <c r="C103" i="9" s="1"/>
  <c r="E103" i="9" s="1"/>
  <c r="C30" i="9"/>
  <c r="C29" i="9"/>
  <c r="C65" i="9" s="1"/>
  <c r="C101" i="9" s="1"/>
  <c r="C28" i="9"/>
  <c r="C64" i="9" s="1"/>
  <c r="C100" i="9" s="1"/>
  <c r="C26" i="9"/>
  <c r="C62" i="9" s="1"/>
  <c r="C98" i="9" s="1"/>
  <c r="C25" i="9"/>
  <c r="C61" i="9" s="1"/>
  <c r="C97" i="9" s="1"/>
  <c r="C23" i="9"/>
  <c r="C22" i="9"/>
  <c r="C58" i="9" s="1"/>
  <c r="C94" i="9" s="1"/>
  <c r="C19" i="9"/>
  <c r="C55" i="9" s="1"/>
  <c r="C91" i="9" s="1"/>
  <c r="E91" i="9" s="1"/>
  <c r="C16" i="9"/>
  <c r="K74" i="9"/>
  <c r="I66" i="9"/>
  <c r="I59" i="9"/>
  <c r="K58" i="9"/>
  <c r="I52" i="9"/>
  <c r="K38" i="9"/>
  <c r="I30" i="9"/>
  <c r="I23" i="9"/>
  <c r="K22" i="9"/>
  <c r="G21" i="9"/>
  <c r="G57" i="9" s="1"/>
  <c r="G93" i="9" s="1"/>
  <c r="I16" i="9"/>
  <c r="C33" i="8"/>
  <c r="C69" i="8" s="1"/>
  <c r="C105" i="8" s="1"/>
  <c r="E105" i="8" s="1"/>
  <c r="C32" i="8"/>
  <c r="C68" i="8" s="1"/>
  <c r="C104" i="8" s="1"/>
  <c r="E104" i="8" s="1"/>
  <c r="C31" i="8"/>
  <c r="C67" i="8" s="1"/>
  <c r="C103" i="8" s="1"/>
  <c r="E103" i="8" s="1"/>
  <c r="C30" i="8"/>
  <c r="C29" i="8"/>
  <c r="C65" i="8" s="1"/>
  <c r="C101" i="8" s="1"/>
  <c r="C28" i="8"/>
  <c r="C64" i="8" s="1"/>
  <c r="C100" i="8" s="1"/>
  <c r="C27" i="8"/>
  <c r="C26" i="8"/>
  <c r="C62" i="8" s="1"/>
  <c r="C98" i="8" s="1"/>
  <c r="C25" i="8"/>
  <c r="C61" i="8" s="1"/>
  <c r="C97" i="8" s="1"/>
  <c r="C24" i="8"/>
  <c r="C23" i="8"/>
  <c r="C22" i="8"/>
  <c r="C58" i="8" s="1"/>
  <c r="C94" i="8" s="1"/>
  <c r="C20" i="8"/>
  <c r="C19" i="8"/>
  <c r="C55" i="8" s="1"/>
  <c r="C91" i="8" s="1"/>
  <c r="E91" i="8" s="1"/>
  <c r="C16" i="8"/>
  <c r="K74" i="8"/>
  <c r="I66" i="8"/>
  <c r="I59" i="8"/>
  <c r="K58" i="8"/>
  <c r="I52" i="8"/>
  <c r="K38" i="8"/>
  <c r="I30" i="8"/>
  <c r="I23" i="8"/>
  <c r="K22" i="8"/>
  <c r="G21" i="8"/>
  <c r="G57" i="8" s="1"/>
  <c r="G93" i="8" s="1"/>
  <c r="I16" i="8"/>
  <c r="C33" i="7"/>
  <c r="C69" i="7" s="1"/>
  <c r="C105" i="7" s="1"/>
  <c r="E105" i="7" s="1"/>
  <c r="C32" i="7"/>
  <c r="C68" i="7" s="1"/>
  <c r="C104" i="7" s="1"/>
  <c r="E104" i="7" s="1"/>
  <c r="C31" i="7"/>
  <c r="C67" i="7" s="1"/>
  <c r="C103" i="7" s="1"/>
  <c r="E103" i="7" s="1"/>
  <c r="C30" i="7"/>
  <c r="C29" i="7"/>
  <c r="C65" i="7" s="1"/>
  <c r="C101" i="7" s="1"/>
  <c r="C28" i="7"/>
  <c r="C64" i="7" s="1"/>
  <c r="C100" i="7" s="1"/>
  <c r="C26" i="7"/>
  <c r="C62" i="7" s="1"/>
  <c r="C98" i="7" s="1"/>
  <c r="C25" i="7"/>
  <c r="C61" i="7" s="1"/>
  <c r="C97" i="7" s="1"/>
  <c r="C23" i="7"/>
  <c r="C22" i="7"/>
  <c r="C58" i="7" s="1"/>
  <c r="C94" i="7" s="1"/>
  <c r="C19" i="7"/>
  <c r="C55" i="7" s="1"/>
  <c r="C91" i="7" s="1"/>
  <c r="E91" i="7" s="1"/>
  <c r="C16" i="7"/>
  <c r="K74" i="7"/>
  <c r="I66" i="7"/>
  <c r="I59" i="7"/>
  <c r="K58" i="7"/>
  <c r="I52" i="7"/>
  <c r="K38" i="7"/>
  <c r="I30" i="7"/>
  <c r="I23" i="7"/>
  <c r="K22" i="7"/>
  <c r="G21" i="7"/>
  <c r="G57" i="7" s="1"/>
  <c r="G93" i="7" s="1"/>
  <c r="I16" i="7"/>
  <c r="C33" i="5"/>
  <c r="C69" i="5" s="1"/>
  <c r="C105" i="5" s="1"/>
  <c r="C32" i="5"/>
  <c r="C68" i="5" s="1"/>
  <c r="C104" i="5" s="1"/>
  <c r="C31" i="5"/>
  <c r="C67" i="5" s="1"/>
  <c r="C103" i="5" s="1"/>
  <c r="C30" i="5"/>
  <c r="C29" i="5"/>
  <c r="C65" i="5" s="1"/>
  <c r="C101" i="5" s="1"/>
  <c r="C28" i="5"/>
  <c r="C64" i="5" s="1"/>
  <c r="C100" i="5" s="1"/>
  <c r="C26" i="5"/>
  <c r="C62" i="5" s="1"/>
  <c r="C98" i="5" s="1"/>
  <c r="C25" i="5"/>
  <c r="C61" i="5" s="1"/>
  <c r="C97" i="5" s="1"/>
  <c r="C23" i="5"/>
  <c r="C22" i="5"/>
  <c r="C58" i="5" s="1"/>
  <c r="C94" i="5" s="1"/>
  <c r="C19" i="5"/>
  <c r="C55" i="5" s="1"/>
  <c r="C91" i="5" s="1"/>
  <c r="C16" i="5"/>
  <c r="K74" i="5"/>
  <c r="I66" i="5"/>
  <c r="I59" i="5"/>
  <c r="K58" i="5"/>
  <c r="I52" i="5"/>
  <c r="I30" i="5"/>
  <c r="I23" i="5"/>
  <c r="G21" i="5"/>
  <c r="G57" i="5" s="1"/>
  <c r="G93" i="5" s="1"/>
  <c r="I16" i="5"/>
  <c r="H69" i="4"/>
  <c r="H68" i="4"/>
  <c r="I68" i="4" s="1"/>
  <c r="H67" i="4"/>
  <c r="I67" i="4" s="1"/>
  <c r="H65" i="4"/>
  <c r="I65" i="4" s="1"/>
  <c r="H64" i="4"/>
  <c r="I64" i="4" s="1"/>
  <c r="H62" i="4"/>
  <c r="I62" i="4" s="1"/>
  <c r="H61" i="4"/>
  <c r="I61" i="4" s="1"/>
  <c r="H57" i="4"/>
  <c r="H55" i="4"/>
  <c r="I55" i="4" s="1"/>
  <c r="H54" i="4"/>
  <c r="H53" i="4"/>
  <c r="C57" i="4"/>
  <c r="D69" i="4"/>
  <c r="E69" i="4" s="1"/>
  <c r="D68" i="4"/>
  <c r="E68" i="4" s="1"/>
  <c r="D67" i="4"/>
  <c r="E67" i="4" s="1"/>
  <c r="D65" i="4"/>
  <c r="E65" i="4" s="1"/>
  <c r="D64" i="4"/>
  <c r="E64" i="4" s="1"/>
  <c r="D62" i="4"/>
  <c r="E62" i="4" s="1"/>
  <c r="D61" i="4"/>
  <c r="E61" i="4" s="1"/>
  <c r="D57" i="4"/>
  <c r="E57" i="4" s="1"/>
  <c r="D55" i="4"/>
  <c r="E55" i="4" s="1"/>
  <c r="D54" i="4"/>
  <c r="E54" i="4" s="1"/>
  <c r="D53" i="4"/>
  <c r="E53" i="4" s="1"/>
  <c r="K74" i="4"/>
  <c r="I69" i="4"/>
  <c r="I66" i="4"/>
  <c r="E66" i="4"/>
  <c r="I59" i="4"/>
  <c r="E59" i="4"/>
  <c r="K58" i="4"/>
  <c r="I52" i="4"/>
  <c r="E52" i="4"/>
  <c r="E51" i="4"/>
  <c r="E50" i="4"/>
  <c r="G21" i="4"/>
  <c r="G57" i="4" s="1"/>
  <c r="G93" i="4" s="1"/>
  <c r="I93" i="4" s="1"/>
  <c r="C21" i="4"/>
  <c r="K38" i="4"/>
  <c r="K22" i="4"/>
  <c r="H19" i="4"/>
  <c r="H18" i="4"/>
  <c r="H17" i="4"/>
  <c r="D19" i="4"/>
  <c r="E19" i="4" s="1"/>
  <c r="D18" i="4"/>
  <c r="E18" i="4" s="1"/>
  <c r="D17" i="4"/>
  <c r="E17" i="4" s="1"/>
  <c r="H33" i="4"/>
  <c r="I33" i="4" s="1"/>
  <c r="H32" i="4"/>
  <c r="I32" i="4" s="1"/>
  <c r="H31" i="4"/>
  <c r="I31" i="4" s="1"/>
  <c r="I30" i="4"/>
  <c r="H29" i="4"/>
  <c r="I29" i="4" s="1"/>
  <c r="H28" i="4"/>
  <c r="I28" i="4" s="1"/>
  <c r="H26" i="4"/>
  <c r="I26" i="4" s="1"/>
  <c r="H25" i="4"/>
  <c r="I25" i="4" s="1"/>
  <c r="I23" i="4"/>
  <c r="H21" i="4"/>
  <c r="I19" i="4"/>
  <c r="L19" i="4" s="1"/>
  <c r="I16" i="4"/>
  <c r="D33" i="4"/>
  <c r="E33" i="4" s="1"/>
  <c r="D31" i="4"/>
  <c r="E31" i="4" s="1"/>
  <c r="D32" i="4"/>
  <c r="E32" i="4" s="1"/>
  <c r="E30" i="4"/>
  <c r="D29" i="4"/>
  <c r="E29" i="4" s="1"/>
  <c r="D28" i="4"/>
  <c r="E28" i="4" s="1"/>
  <c r="E14" i="4"/>
  <c r="E15" i="4"/>
  <c r="E16" i="4"/>
  <c r="D21" i="4"/>
  <c r="D26" i="4"/>
  <c r="E26" i="4" s="1"/>
  <c r="D25" i="4"/>
  <c r="E25" i="4" s="1"/>
  <c r="E23" i="4"/>
  <c r="K23" i="4" s="1"/>
  <c r="L31" i="4" l="1"/>
  <c r="L33" i="4"/>
  <c r="L32" i="4"/>
  <c r="L29" i="4"/>
  <c r="L25" i="4"/>
  <c r="L26" i="4"/>
  <c r="L28" i="4"/>
  <c r="E16" i="9"/>
  <c r="K16" i="9" s="1"/>
  <c r="C52" i="9"/>
  <c r="E30" i="9"/>
  <c r="C66" i="9"/>
  <c r="K91" i="9"/>
  <c r="K103" i="9"/>
  <c r="K104" i="9"/>
  <c r="E23" i="9"/>
  <c r="K23" i="9" s="1"/>
  <c r="C59" i="9"/>
  <c r="K105" i="9"/>
  <c r="K105" i="8"/>
  <c r="K91" i="8"/>
  <c r="K103" i="8"/>
  <c r="K104" i="8"/>
  <c r="K105" i="7"/>
  <c r="K91" i="7"/>
  <c r="K103" i="7"/>
  <c r="K104" i="7"/>
  <c r="E21" i="4"/>
  <c r="K16" i="4"/>
  <c r="K30" i="4"/>
  <c r="C46" i="7"/>
  <c r="D101" i="5"/>
  <c r="E101" i="5" s="1"/>
  <c r="H101" i="5"/>
  <c r="I101" i="5" s="1"/>
  <c r="D97" i="5"/>
  <c r="E97" i="5" s="1"/>
  <c r="H97" i="5"/>
  <c r="I97" i="5" s="1"/>
  <c r="H98" i="5"/>
  <c r="I98" i="5" s="1"/>
  <c r="H100" i="5"/>
  <c r="I100" i="5" s="1"/>
  <c r="D100" i="5"/>
  <c r="E100" i="5" s="1"/>
  <c r="D93" i="5"/>
  <c r="D98" i="5"/>
  <c r="E98" i="5" s="1"/>
  <c r="H93" i="5"/>
  <c r="I93" i="5" s="1"/>
  <c r="E16" i="5"/>
  <c r="K16" i="5" s="1"/>
  <c r="C52" i="5"/>
  <c r="E52" i="5" s="1"/>
  <c r="K52" i="5" s="1"/>
  <c r="E30" i="5"/>
  <c r="K30" i="5" s="1"/>
  <c r="C66" i="5"/>
  <c r="C102" i="5" s="1"/>
  <c r="E102" i="5" s="1"/>
  <c r="E30" i="8"/>
  <c r="C66" i="8"/>
  <c r="E23" i="8"/>
  <c r="C59" i="8"/>
  <c r="C21" i="9"/>
  <c r="C57" i="9" s="1"/>
  <c r="C93" i="9" s="1"/>
  <c r="E16" i="8"/>
  <c r="C52" i="8"/>
  <c r="C21" i="8"/>
  <c r="C57" i="8" s="1"/>
  <c r="C93" i="8" s="1"/>
  <c r="E16" i="7"/>
  <c r="K16" i="7" s="1"/>
  <c r="C52" i="7"/>
  <c r="E30" i="7"/>
  <c r="K30" i="7" s="1"/>
  <c r="C66" i="7"/>
  <c r="E23" i="7"/>
  <c r="C59" i="7"/>
  <c r="E23" i="5"/>
  <c r="K23" i="5" s="1"/>
  <c r="C59" i="5"/>
  <c r="E59" i="5" s="1"/>
  <c r="K59" i="5" s="1"/>
  <c r="D19" i="5"/>
  <c r="E19" i="5" s="1"/>
  <c r="D33" i="5"/>
  <c r="E33" i="5" s="1"/>
  <c r="H29" i="5"/>
  <c r="I29" i="5" s="1"/>
  <c r="H18" i="5"/>
  <c r="H32" i="5"/>
  <c r="I32" i="5" s="1"/>
  <c r="C21" i="7"/>
  <c r="C57" i="7" s="1"/>
  <c r="C93" i="7" s="1"/>
  <c r="C9" i="7"/>
  <c r="D31" i="7" s="1"/>
  <c r="E31" i="7" s="1"/>
  <c r="H25" i="5"/>
  <c r="I25" i="5" s="1"/>
  <c r="D26" i="5"/>
  <c r="E26" i="5" s="1"/>
  <c r="I57" i="4"/>
  <c r="K57" i="4" s="1"/>
  <c r="K59" i="4"/>
  <c r="C21" i="5"/>
  <c r="C57" i="5" s="1"/>
  <c r="C93" i="5" s="1"/>
  <c r="D17" i="5"/>
  <c r="D32" i="5"/>
  <c r="E32" i="5" s="1"/>
  <c r="K52" i="4"/>
  <c r="K66" i="4"/>
  <c r="I21" i="4"/>
  <c r="L21" i="4" s="1"/>
  <c r="H19" i="5"/>
  <c r="I19" i="5" s="1"/>
  <c r="H26" i="5"/>
  <c r="I26" i="5" s="1"/>
  <c r="H33" i="5"/>
  <c r="I33" i="5" s="1"/>
  <c r="D21" i="5"/>
  <c r="D29" i="5"/>
  <c r="E29" i="5" s="1"/>
  <c r="K93" i="4"/>
  <c r="D25" i="5"/>
  <c r="E25" i="5" s="1"/>
  <c r="D65" i="5"/>
  <c r="E65" i="5" s="1"/>
  <c r="E103" i="5"/>
  <c r="C45" i="7"/>
  <c r="E104" i="5"/>
  <c r="I103" i="5"/>
  <c r="E105" i="5"/>
  <c r="I104" i="5"/>
  <c r="I91" i="5"/>
  <c r="I105" i="5"/>
  <c r="E91" i="5"/>
  <c r="H17" i="5"/>
  <c r="H21" i="5"/>
  <c r="I21" i="5" s="1"/>
  <c r="D28" i="5"/>
  <c r="E28" i="5" s="1"/>
  <c r="D31" i="5"/>
  <c r="E31" i="5" s="1"/>
  <c r="K31" i="5" s="1"/>
  <c r="D18" i="5"/>
  <c r="H28" i="5"/>
  <c r="I28" i="5" s="1"/>
  <c r="K26" i="4"/>
  <c r="K33" i="4"/>
  <c r="K31" i="4"/>
  <c r="D54" i="5"/>
  <c r="D68" i="5"/>
  <c r="E68" i="5" s="1"/>
  <c r="H69" i="5"/>
  <c r="I69" i="5" s="1"/>
  <c r="H62" i="5"/>
  <c r="I62" i="5" s="1"/>
  <c r="D53" i="5"/>
  <c r="H57" i="5"/>
  <c r="I57" i="5" s="1"/>
  <c r="D64" i="5"/>
  <c r="E64" i="5" s="1"/>
  <c r="H68" i="5"/>
  <c r="I68" i="5" s="1"/>
  <c r="H53" i="5"/>
  <c r="H64" i="5"/>
  <c r="I64" i="5" s="1"/>
  <c r="D69" i="5"/>
  <c r="E69" i="5" s="1"/>
  <c r="D55" i="5"/>
  <c r="E55" i="5" s="1"/>
  <c r="D61" i="5"/>
  <c r="E61" i="5" s="1"/>
  <c r="H54" i="5"/>
  <c r="H55" i="5"/>
  <c r="I55" i="5" s="1"/>
  <c r="H61" i="5"/>
  <c r="I61" i="5" s="1"/>
  <c r="D67" i="5"/>
  <c r="E67" i="5" s="1"/>
  <c r="H65" i="5"/>
  <c r="I65" i="5" s="1"/>
  <c r="D57" i="5"/>
  <c r="D62" i="5"/>
  <c r="E62" i="5" s="1"/>
  <c r="K62" i="5" s="1"/>
  <c r="H67" i="5"/>
  <c r="I67" i="5" s="1"/>
  <c r="K19" i="4"/>
  <c r="K29" i="4"/>
  <c r="K25" i="4"/>
  <c r="K28" i="4"/>
  <c r="K32" i="4"/>
  <c r="K68" i="4"/>
  <c r="K65" i="4"/>
  <c r="K62" i="4"/>
  <c r="E56" i="4"/>
  <c r="E60" i="4" s="1"/>
  <c r="E63" i="4" s="1"/>
  <c r="E71" i="4" s="1"/>
  <c r="K55" i="4"/>
  <c r="K61" i="4"/>
  <c r="K64" i="4"/>
  <c r="K67" i="4"/>
  <c r="K69" i="4"/>
  <c r="E20" i="4"/>
  <c r="L19" i="5" l="1"/>
  <c r="L26" i="5"/>
  <c r="L32" i="5"/>
  <c r="L28" i="5"/>
  <c r="L33" i="5"/>
  <c r="L25" i="5"/>
  <c r="L31" i="5"/>
  <c r="L29" i="5"/>
  <c r="E24" i="4"/>
  <c r="E27" i="4" s="1"/>
  <c r="C95" i="9"/>
  <c r="E95" i="9" s="1"/>
  <c r="E59" i="9"/>
  <c r="C102" i="9"/>
  <c r="E102" i="9" s="1"/>
  <c r="E66" i="9"/>
  <c r="C88" i="9"/>
  <c r="E88" i="9" s="1"/>
  <c r="E52" i="9"/>
  <c r="K23" i="8"/>
  <c r="K30" i="9"/>
  <c r="K23" i="7"/>
  <c r="E52" i="8"/>
  <c r="C88" i="8"/>
  <c r="E88" i="8" s="1"/>
  <c r="E59" i="8"/>
  <c r="C95" i="8"/>
  <c r="E95" i="8" s="1"/>
  <c r="E66" i="8"/>
  <c r="C102" i="8"/>
  <c r="E102" i="8" s="1"/>
  <c r="E59" i="7"/>
  <c r="C95" i="7"/>
  <c r="E95" i="7" s="1"/>
  <c r="E66" i="7"/>
  <c r="K66" i="7" s="1"/>
  <c r="C102" i="7"/>
  <c r="E102" i="7" s="1"/>
  <c r="D19" i="7"/>
  <c r="E19" i="7" s="1"/>
  <c r="E52" i="7"/>
  <c r="C88" i="7"/>
  <c r="E88" i="7" s="1"/>
  <c r="H61" i="7"/>
  <c r="I61" i="7" s="1"/>
  <c r="D28" i="7"/>
  <c r="E28" i="7" s="1"/>
  <c r="H26" i="7"/>
  <c r="I26" i="7" s="1"/>
  <c r="E66" i="5"/>
  <c r="K66" i="5" s="1"/>
  <c r="K21" i="4"/>
  <c r="K102" i="5"/>
  <c r="K25" i="5"/>
  <c r="C88" i="5"/>
  <c r="E88" i="5" s="1"/>
  <c r="C95" i="5"/>
  <c r="E95" i="5" s="1"/>
  <c r="K95" i="5" s="1"/>
  <c r="K29" i="5"/>
  <c r="K26" i="5"/>
  <c r="C46" i="8"/>
  <c r="D98" i="7"/>
  <c r="E98" i="7" s="1"/>
  <c r="D93" i="7"/>
  <c r="E93" i="7" s="1"/>
  <c r="D100" i="7"/>
  <c r="E100" i="7" s="1"/>
  <c r="H97" i="7"/>
  <c r="I97" i="7" s="1"/>
  <c r="H100" i="7"/>
  <c r="I100" i="7" s="1"/>
  <c r="H98" i="7"/>
  <c r="I98" i="7" s="1"/>
  <c r="H101" i="7"/>
  <c r="I101" i="7" s="1"/>
  <c r="H93" i="7"/>
  <c r="I93" i="7" s="1"/>
  <c r="D101" i="7"/>
  <c r="E101" i="7" s="1"/>
  <c r="D97" i="7"/>
  <c r="E97" i="7" s="1"/>
  <c r="K33" i="5"/>
  <c r="H32" i="7"/>
  <c r="I32" i="7" s="1"/>
  <c r="K32" i="5"/>
  <c r="D17" i="7"/>
  <c r="H19" i="7"/>
  <c r="I19" i="7" s="1"/>
  <c r="K28" i="5"/>
  <c r="D18" i="7"/>
  <c r="H21" i="7"/>
  <c r="I21" i="7" s="1"/>
  <c r="K19" i="5"/>
  <c r="H18" i="7"/>
  <c r="K30" i="8"/>
  <c r="K16" i="8"/>
  <c r="K103" i="5"/>
  <c r="D32" i="7"/>
  <c r="E32" i="7" s="1"/>
  <c r="H33" i="7"/>
  <c r="I33" i="7" s="1"/>
  <c r="D29" i="7"/>
  <c r="E29" i="7" s="1"/>
  <c r="H17" i="7"/>
  <c r="D25" i="7"/>
  <c r="E25" i="7" s="1"/>
  <c r="D67" i="7"/>
  <c r="E67" i="7" s="1"/>
  <c r="H25" i="7"/>
  <c r="I25" i="7" s="1"/>
  <c r="D54" i="7"/>
  <c r="H31" i="7"/>
  <c r="I31" i="7" s="1"/>
  <c r="D33" i="7"/>
  <c r="E33" i="7" s="1"/>
  <c r="D26" i="7"/>
  <c r="E26" i="7" s="1"/>
  <c r="C45" i="8"/>
  <c r="C9" i="8"/>
  <c r="D31" i="8" s="1"/>
  <c r="E31" i="8" s="1"/>
  <c r="E21" i="5"/>
  <c r="L21" i="5" s="1"/>
  <c r="H54" i="7"/>
  <c r="H28" i="7"/>
  <c r="I28" i="7" s="1"/>
  <c r="D21" i="7"/>
  <c r="E21" i="7" s="1"/>
  <c r="H29" i="7"/>
  <c r="I29" i="7" s="1"/>
  <c r="H69" i="7"/>
  <c r="I69" i="7" s="1"/>
  <c r="D62" i="7"/>
  <c r="E62" i="7" s="1"/>
  <c r="H55" i="7"/>
  <c r="I55" i="7" s="1"/>
  <c r="D65" i="7"/>
  <c r="E65" i="7" s="1"/>
  <c r="D57" i="7"/>
  <c r="E57" i="7" s="1"/>
  <c r="E93" i="5"/>
  <c r="D55" i="7"/>
  <c r="E55" i="7" s="1"/>
  <c r="E57" i="5"/>
  <c r="D53" i="7"/>
  <c r="H64" i="7"/>
  <c r="I64" i="7" s="1"/>
  <c r="K100" i="5"/>
  <c r="D61" i="7"/>
  <c r="E61" i="7" s="1"/>
  <c r="H57" i="7"/>
  <c r="I57" i="7" s="1"/>
  <c r="H62" i="7"/>
  <c r="I62" i="7" s="1"/>
  <c r="K97" i="5"/>
  <c r="H53" i="7"/>
  <c r="K104" i="5"/>
  <c r="K101" i="5"/>
  <c r="H67" i="7"/>
  <c r="I67" i="7" s="1"/>
  <c r="D64" i="7"/>
  <c r="E64" i="7" s="1"/>
  <c r="K105" i="5"/>
  <c r="H68" i="7"/>
  <c r="I68" i="7" s="1"/>
  <c r="D69" i="7"/>
  <c r="E69" i="7" s="1"/>
  <c r="D68" i="7"/>
  <c r="E68" i="7" s="1"/>
  <c r="H65" i="7"/>
  <c r="I65" i="7" s="1"/>
  <c r="K98" i="5"/>
  <c r="K91" i="5"/>
  <c r="K67" i="5"/>
  <c r="K69" i="5"/>
  <c r="K61" i="5"/>
  <c r="K68" i="5"/>
  <c r="K65" i="5"/>
  <c r="K55" i="5"/>
  <c r="K64" i="5"/>
  <c r="E72" i="4"/>
  <c r="E73" i="4" s="1"/>
  <c r="E75" i="4" s="1"/>
  <c r="B16" i="14" s="1"/>
  <c r="L25" i="7" l="1"/>
  <c r="L21" i="7"/>
  <c r="L29" i="7"/>
  <c r="L33" i="7"/>
  <c r="K31" i="7"/>
  <c r="L31" i="7"/>
  <c r="L32" i="7"/>
  <c r="L28" i="7"/>
  <c r="L19" i="7"/>
  <c r="L26" i="7"/>
  <c r="K52" i="9"/>
  <c r="K88" i="9"/>
  <c r="K66" i="9"/>
  <c r="K102" i="9"/>
  <c r="K59" i="9"/>
  <c r="K95" i="9"/>
  <c r="K102" i="8"/>
  <c r="K66" i="8"/>
  <c r="K95" i="8"/>
  <c r="K59" i="8"/>
  <c r="K88" i="8"/>
  <c r="K52" i="8"/>
  <c r="K52" i="7"/>
  <c r="K19" i="7"/>
  <c r="K88" i="7"/>
  <c r="K95" i="7"/>
  <c r="K102" i="7"/>
  <c r="K59" i="7"/>
  <c r="K26" i="7"/>
  <c r="K28" i="7"/>
  <c r="K88" i="5"/>
  <c r="K25" i="7"/>
  <c r="K98" i="7"/>
  <c r="H65" i="8"/>
  <c r="I65" i="8" s="1"/>
  <c r="H57" i="8"/>
  <c r="I57" i="8" s="1"/>
  <c r="H68" i="8"/>
  <c r="I68" i="8" s="1"/>
  <c r="D65" i="8"/>
  <c r="E65" i="8" s="1"/>
  <c r="D57" i="8"/>
  <c r="E57" i="8" s="1"/>
  <c r="D55" i="8"/>
  <c r="E55" i="8" s="1"/>
  <c r="H62" i="8"/>
  <c r="I62" i="8" s="1"/>
  <c r="D67" i="8"/>
  <c r="E67" i="8" s="1"/>
  <c r="H69" i="8"/>
  <c r="I69" i="8" s="1"/>
  <c r="H64" i="8"/>
  <c r="I64" i="8" s="1"/>
  <c r="H55" i="8"/>
  <c r="I55" i="8" s="1"/>
  <c r="D69" i="8"/>
  <c r="E69" i="8" s="1"/>
  <c r="D64" i="8"/>
  <c r="E64" i="8" s="1"/>
  <c r="H54" i="8"/>
  <c r="D61" i="8"/>
  <c r="E61" i="8" s="1"/>
  <c r="D68" i="8"/>
  <c r="E68" i="8" s="1"/>
  <c r="D62" i="8"/>
  <c r="E62" i="8" s="1"/>
  <c r="D54" i="8"/>
  <c r="H67" i="8"/>
  <c r="I67" i="8" s="1"/>
  <c r="H61" i="8"/>
  <c r="I61" i="8" s="1"/>
  <c r="H53" i="8"/>
  <c r="D53" i="8"/>
  <c r="K100" i="7"/>
  <c r="K97" i="7"/>
  <c r="K93" i="7"/>
  <c r="K101" i="7"/>
  <c r="C46" i="9"/>
  <c r="D100" i="8"/>
  <c r="E100" i="8" s="1"/>
  <c r="D97" i="8"/>
  <c r="E97" i="8" s="1"/>
  <c r="H101" i="8"/>
  <c r="I101" i="8" s="1"/>
  <c r="D98" i="8"/>
  <c r="E98" i="8" s="1"/>
  <c r="H93" i="8"/>
  <c r="I93" i="8" s="1"/>
  <c r="H98" i="8"/>
  <c r="I98" i="8" s="1"/>
  <c r="D101" i="8"/>
  <c r="E101" i="8" s="1"/>
  <c r="H97" i="8"/>
  <c r="I97" i="8" s="1"/>
  <c r="D93" i="8"/>
  <c r="E93" i="8" s="1"/>
  <c r="H100" i="8"/>
  <c r="I100" i="8" s="1"/>
  <c r="K21" i="5"/>
  <c r="K32" i="7"/>
  <c r="K21" i="7"/>
  <c r="K57" i="7"/>
  <c r="K62" i="7"/>
  <c r="K67" i="7"/>
  <c r="H18" i="8"/>
  <c r="D19" i="8"/>
  <c r="E19" i="8" s="1"/>
  <c r="K65" i="7"/>
  <c r="H28" i="8"/>
  <c r="I28" i="8" s="1"/>
  <c r="K57" i="5"/>
  <c r="H19" i="8"/>
  <c r="I19" i="8" s="1"/>
  <c r="L19" i="8" s="1"/>
  <c r="H21" i="8"/>
  <c r="I21" i="8" s="1"/>
  <c r="D18" i="8"/>
  <c r="H31" i="8"/>
  <c r="I31" i="8" s="1"/>
  <c r="C45" i="9"/>
  <c r="H68" i="9" s="1"/>
  <c r="I68" i="9" s="1"/>
  <c r="D33" i="8"/>
  <c r="E33" i="8" s="1"/>
  <c r="D26" i="8"/>
  <c r="E26" i="8" s="1"/>
  <c r="H29" i="8"/>
  <c r="I29" i="8" s="1"/>
  <c r="L29" i="8" s="1"/>
  <c r="K33" i="7"/>
  <c r="H17" i="8"/>
  <c r="C9" i="9"/>
  <c r="D26" i="9" s="1"/>
  <c r="E26" i="9" s="1"/>
  <c r="H26" i="8"/>
  <c r="I26" i="8" s="1"/>
  <c r="L26" i="8" s="1"/>
  <c r="K55" i="7"/>
  <c r="K29" i="7"/>
  <c r="D29" i="8"/>
  <c r="E29" i="8" s="1"/>
  <c r="H33" i="8"/>
  <c r="I33" i="8" s="1"/>
  <c r="D25" i="8"/>
  <c r="E25" i="8" s="1"/>
  <c r="D28" i="8"/>
  <c r="E28" i="8" s="1"/>
  <c r="K69" i="7"/>
  <c r="D17" i="8"/>
  <c r="D32" i="8"/>
  <c r="E32" i="8" s="1"/>
  <c r="D21" i="8"/>
  <c r="E21" i="8" s="1"/>
  <c r="K93" i="5"/>
  <c r="H25" i="8"/>
  <c r="I25" i="8" s="1"/>
  <c r="H32" i="8"/>
  <c r="I32" i="8" s="1"/>
  <c r="L32" i="8" s="1"/>
  <c r="K61" i="7"/>
  <c r="K68" i="7"/>
  <c r="K64" i="7"/>
  <c r="E35" i="4"/>
  <c r="L25" i="8" l="1"/>
  <c r="L33" i="8"/>
  <c r="K31" i="8"/>
  <c r="L31" i="8"/>
  <c r="L28" i="8"/>
  <c r="L21" i="8"/>
  <c r="K98" i="8"/>
  <c r="K65" i="8"/>
  <c r="K57" i="8"/>
  <c r="H57" i="9"/>
  <c r="I57" i="9" s="1"/>
  <c r="K101" i="8"/>
  <c r="K100" i="8"/>
  <c r="H17" i="9"/>
  <c r="K97" i="8"/>
  <c r="H101" i="9"/>
  <c r="I101" i="9" s="1"/>
  <c r="H93" i="9"/>
  <c r="I93" i="9" s="1"/>
  <c r="H98" i="9"/>
  <c r="I98" i="9" s="1"/>
  <c r="D101" i="9"/>
  <c r="E101" i="9" s="1"/>
  <c r="H97" i="9"/>
  <c r="I97" i="9" s="1"/>
  <c r="D93" i="9"/>
  <c r="E93" i="9" s="1"/>
  <c r="D98" i="9"/>
  <c r="E98" i="9" s="1"/>
  <c r="D97" i="9"/>
  <c r="E97" i="9" s="1"/>
  <c r="D100" i="9"/>
  <c r="E100" i="9" s="1"/>
  <c r="H100" i="9"/>
  <c r="I100" i="9" s="1"/>
  <c r="K93" i="8"/>
  <c r="D28" i="9"/>
  <c r="E28" i="9" s="1"/>
  <c r="K19" i="8"/>
  <c r="K32" i="8"/>
  <c r="H33" i="9"/>
  <c r="I33" i="9" s="1"/>
  <c r="H67" i="9"/>
  <c r="I67" i="9" s="1"/>
  <c r="D67" i="9"/>
  <c r="E67" i="9" s="1"/>
  <c r="H65" i="9"/>
  <c r="I65" i="9" s="1"/>
  <c r="H53" i="9"/>
  <c r="H55" i="9"/>
  <c r="I55" i="9" s="1"/>
  <c r="D61" i="9"/>
  <c r="E61" i="9" s="1"/>
  <c r="H54" i="9"/>
  <c r="K61" i="8"/>
  <c r="D54" i="9"/>
  <c r="H64" i="9"/>
  <c r="I64" i="9" s="1"/>
  <c r="D64" i="9"/>
  <c r="E64" i="9" s="1"/>
  <c r="H62" i="9"/>
  <c r="I62" i="9" s="1"/>
  <c r="H61" i="9"/>
  <c r="I61" i="9" s="1"/>
  <c r="D68" i="9"/>
  <c r="E68" i="9" s="1"/>
  <c r="K62" i="8"/>
  <c r="K67" i="8"/>
  <c r="K64" i="8"/>
  <c r="K28" i="8"/>
  <c r="K55" i="8"/>
  <c r="D69" i="9"/>
  <c r="E69" i="9" s="1"/>
  <c r="D57" i="9"/>
  <c r="E57" i="9" s="1"/>
  <c r="D53" i="9"/>
  <c r="K33" i="8"/>
  <c r="K69" i="8"/>
  <c r="D62" i="9"/>
  <c r="E62" i="9" s="1"/>
  <c r="D55" i="9"/>
  <c r="E55" i="9" s="1"/>
  <c r="K26" i="8"/>
  <c r="D21" i="9"/>
  <c r="E21" i="9" s="1"/>
  <c r="H18" i="9"/>
  <c r="D18" i="9"/>
  <c r="D29" i="9"/>
  <c r="E29" i="9" s="1"/>
  <c r="D33" i="9"/>
  <c r="E33" i="9" s="1"/>
  <c r="H29" i="9"/>
  <c r="I29" i="9" s="1"/>
  <c r="D32" i="9"/>
  <c r="E32" i="9" s="1"/>
  <c r="H19" i="9"/>
  <c r="I19" i="9" s="1"/>
  <c r="D19" i="9"/>
  <c r="E19" i="9" s="1"/>
  <c r="D17" i="9"/>
  <c r="K68" i="8"/>
  <c r="H21" i="9"/>
  <c r="I21" i="9" s="1"/>
  <c r="D25" i="9"/>
  <c r="E25" i="9" s="1"/>
  <c r="D31" i="9"/>
  <c r="E31" i="9" s="1"/>
  <c r="K29" i="8"/>
  <c r="H31" i="9"/>
  <c r="I31" i="9" s="1"/>
  <c r="K25" i="8"/>
  <c r="H25" i="9"/>
  <c r="I25" i="9" s="1"/>
  <c r="H26" i="9"/>
  <c r="I26" i="9" s="1"/>
  <c r="L26" i="9" s="1"/>
  <c r="D65" i="9"/>
  <c r="E65" i="9" s="1"/>
  <c r="H69" i="9"/>
  <c r="I69" i="9" s="1"/>
  <c r="H32" i="9"/>
  <c r="I32" i="9" s="1"/>
  <c r="H28" i="9"/>
  <c r="I28" i="9" s="1"/>
  <c r="K21" i="8"/>
  <c r="E36" i="4"/>
  <c r="L28" i="9" l="1"/>
  <c r="L31" i="9"/>
  <c r="L21" i="9"/>
  <c r="L19" i="9"/>
  <c r="L32" i="9"/>
  <c r="L25" i="9"/>
  <c r="L29" i="9"/>
  <c r="L33" i="9"/>
  <c r="K68" i="9"/>
  <c r="K98" i="9"/>
  <c r="K100" i="9"/>
  <c r="K93" i="9"/>
  <c r="K101" i="9"/>
  <c r="K69" i="9"/>
  <c r="K97" i="9"/>
  <c r="K28" i="9"/>
  <c r="K33" i="9"/>
  <c r="K67" i="9"/>
  <c r="K62" i="9"/>
  <c r="K57" i="9"/>
  <c r="K65" i="9"/>
  <c r="K55" i="9"/>
  <c r="K61" i="9"/>
  <c r="K64" i="9"/>
  <c r="K31" i="9"/>
  <c r="K26" i="9"/>
  <c r="K19" i="9"/>
  <c r="K29" i="9"/>
  <c r="K32" i="9"/>
  <c r="K25" i="9"/>
  <c r="K21" i="9"/>
  <c r="E37" i="4"/>
  <c r="E39" i="4" l="1"/>
  <c r="B15" i="14" s="1"/>
  <c r="B29" i="1" l="1"/>
  <c r="B30" i="1"/>
  <c r="C30" i="1"/>
  <c r="C29" i="1"/>
  <c r="D29" i="1" l="1"/>
  <c r="D30" i="1"/>
  <c r="D31" i="1" l="1"/>
  <c r="E29" i="1" s="1"/>
  <c r="B38" i="1" s="1"/>
  <c r="C38" i="1" s="1"/>
  <c r="B43" i="1" l="1"/>
  <c r="B44" i="1" s="1"/>
  <c r="C44" i="1" s="1"/>
  <c r="D44" i="1" s="1"/>
  <c r="E30" i="1"/>
  <c r="B39" i="1" s="1"/>
  <c r="C39" i="1" s="1"/>
  <c r="D38" i="1"/>
  <c r="D39" i="1" l="1"/>
  <c r="D40" i="1" s="1"/>
  <c r="C43" i="1"/>
  <c r="C45" i="1" s="1"/>
  <c r="E44" i="1"/>
  <c r="B30" i="10"/>
  <c r="D30" i="10" s="1"/>
  <c r="G17" i="4"/>
  <c r="B40" i="1"/>
  <c r="G53" i="4" l="1"/>
  <c r="G89" i="4" s="1"/>
  <c r="I89" i="4" s="1"/>
  <c r="L89" i="4" s="1"/>
  <c r="G18" i="4"/>
  <c r="G54" i="4" s="1"/>
  <c r="G90" i="4" s="1"/>
  <c r="D14" i="15"/>
  <c r="E14" i="15" s="1"/>
  <c r="D43" i="1"/>
  <c r="D5" i="14"/>
  <c r="C17" i="5"/>
  <c r="I17" i="4"/>
  <c r="L17" i="4" s="1"/>
  <c r="I53" i="4" l="1"/>
  <c r="L53" i="4" s="1"/>
  <c r="E17" i="5"/>
  <c r="C53" i="5"/>
  <c r="E53" i="5" s="1"/>
  <c r="E5" i="14"/>
  <c r="I18" i="4"/>
  <c r="L18" i="4" s="1"/>
  <c r="C18" i="5"/>
  <c r="K89" i="4"/>
  <c r="B49" i="1"/>
  <c r="B50" i="1" s="1"/>
  <c r="B48" i="1"/>
  <c r="B29" i="10"/>
  <c r="D29" i="10" s="1"/>
  <c r="D31" i="10" s="1"/>
  <c r="E30" i="10" s="1"/>
  <c r="B39" i="10" s="1"/>
  <c r="C39" i="10" s="1"/>
  <c r="G14" i="4"/>
  <c r="E43" i="1"/>
  <c r="E45" i="1" s="1"/>
  <c r="F14" i="15" s="1"/>
  <c r="G14" i="15" s="1"/>
  <c r="K17" i="4"/>
  <c r="K53" i="4" l="1"/>
  <c r="C89" i="5"/>
  <c r="E89" i="5" s="1"/>
  <c r="E18" i="5"/>
  <c r="C54" i="5"/>
  <c r="I90" i="4"/>
  <c r="L90" i="4" s="1"/>
  <c r="I54" i="4"/>
  <c r="L54" i="4" s="1"/>
  <c r="K18" i="4"/>
  <c r="I14" i="4"/>
  <c r="G50" i="4"/>
  <c r="B14" i="15"/>
  <c r="C14" i="15" s="1"/>
  <c r="G15" i="4"/>
  <c r="C14" i="5"/>
  <c r="B5" i="14"/>
  <c r="D39" i="10"/>
  <c r="E29" i="10"/>
  <c r="K14" i="4" l="1"/>
  <c r="L14" i="4"/>
  <c r="E14" i="5"/>
  <c r="C50" i="5"/>
  <c r="C86" i="5" s="1"/>
  <c r="G86" i="4"/>
  <c r="I86" i="4" s="1"/>
  <c r="L86" i="4" s="1"/>
  <c r="I50" i="4"/>
  <c r="L50" i="4" s="1"/>
  <c r="K54" i="4"/>
  <c r="C90" i="5"/>
  <c r="E90" i="5" s="1"/>
  <c r="E54" i="5"/>
  <c r="G51" i="4"/>
  <c r="C5" i="14"/>
  <c r="C15" i="5"/>
  <c r="I15" i="4"/>
  <c r="K90" i="4"/>
  <c r="B43" i="10"/>
  <c r="B38" i="10"/>
  <c r="I20" i="4" l="1"/>
  <c r="K20" i="4" s="1"/>
  <c r="L15" i="4"/>
  <c r="E15" i="5"/>
  <c r="C51" i="5"/>
  <c r="K15" i="4"/>
  <c r="K50" i="4"/>
  <c r="G87" i="4"/>
  <c r="I87" i="4" s="1"/>
  <c r="I51" i="4"/>
  <c r="E50" i="5"/>
  <c r="E86" i="5"/>
  <c r="K86" i="4"/>
  <c r="B40" i="10"/>
  <c r="C38" i="10"/>
  <c r="D38" i="10" s="1"/>
  <c r="D40" i="10" s="1"/>
  <c r="C43" i="10"/>
  <c r="B44" i="10"/>
  <c r="C44" i="10" s="1"/>
  <c r="D44" i="10" s="1"/>
  <c r="I92" i="4" l="1"/>
  <c r="L92" i="4" s="1"/>
  <c r="L87" i="4"/>
  <c r="I56" i="4"/>
  <c r="L56" i="4" s="1"/>
  <c r="L51" i="4"/>
  <c r="I24" i="4"/>
  <c r="L20" i="4"/>
  <c r="E20" i="5"/>
  <c r="E24" i="5" s="1"/>
  <c r="E27" i="5" s="1"/>
  <c r="E35" i="5" s="1"/>
  <c r="E36" i="5" s="1"/>
  <c r="E37" i="5" s="1"/>
  <c r="E39" i="5" s="1"/>
  <c r="C87" i="5"/>
  <c r="E87" i="5" s="1"/>
  <c r="E92" i="5" s="1"/>
  <c r="E96" i="5" s="1"/>
  <c r="E99" i="5" s="1"/>
  <c r="E107" i="5" s="1"/>
  <c r="E108" i="5" s="1"/>
  <c r="E109" i="5" s="1"/>
  <c r="E111" i="5" s="1"/>
  <c r="E51" i="5"/>
  <c r="E56" i="5" s="1"/>
  <c r="E60" i="5" s="1"/>
  <c r="E63" i="5" s="1"/>
  <c r="E71" i="5" s="1"/>
  <c r="E72" i="5" s="1"/>
  <c r="E73" i="5" s="1"/>
  <c r="E75" i="5" s="1"/>
  <c r="K87" i="4"/>
  <c r="K51" i="4"/>
  <c r="G17" i="5"/>
  <c r="G18" i="5" s="1"/>
  <c r="E44" i="10"/>
  <c r="B30" i="11"/>
  <c r="D30" i="11" s="1"/>
  <c r="D43" i="10"/>
  <c r="C45" i="10"/>
  <c r="K92" i="4" l="1"/>
  <c r="I60" i="4"/>
  <c r="L60" i="4" s="1"/>
  <c r="I96" i="4"/>
  <c r="L96" i="4" s="1"/>
  <c r="K56" i="4"/>
  <c r="L24" i="4"/>
  <c r="K24" i="4"/>
  <c r="I27" i="4"/>
  <c r="K60" i="4"/>
  <c r="G53" i="5"/>
  <c r="D15" i="15"/>
  <c r="D6" i="14"/>
  <c r="B29" i="11"/>
  <c r="D29" i="11" s="1"/>
  <c r="G14" i="5"/>
  <c r="B48" i="10"/>
  <c r="B49" i="10"/>
  <c r="B50" i="10" s="1"/>
  <c r="E43" i="10"/>
  <c r="E45" i="10" s="1"/>
  <c r="F15" i="15" s="1"/>
  <c r="G15" i="15" s="1"/>
  <c r="C17" i="7"/>
  <c r="I17" i="5"/>
  <c r="K96" i="4" l="1"/>
  <c r="I99" i="4"/>
  <c r="L99" i="4" s="1"/>
  <c r="I63" i="4"/>
  <c r="L63" i="4" s="1"/>
  <c r="K17" i="5"/>
  <c r="L17" i="5"/>
  <c r="K27" i="4"/>
  <c r="I35" i="4"/>
  <c r="E17" i="7"/>
  <c r="C53" i="7"/>
  <c r="C89" i="7" s="1"/>
  <c r="E89" i="7" s="1"/>
  <c r="K99" i="4"/>
  <c r="G54" i="5"/>
  <c r="E6" i="14"/>
  <c r="C18" i="7"/>
  <c r="I18" i="5"/>
  <c r="E15" i="15"/>
  <c r="G50" i="5"/>
  <c r="G86" i="5" s="1"/>
  <c r="I86" i="5" s="1"/>
  <c r="L86" i="5" s="1"/>
  <c r="B15" i="15"/>
  <c r="G15" i="5"/>
  <c r="G89" i="5"/>
  <c r="I89" i="5" s="1"/>
  <c r="L89" i="5" s="1"/>
  <c r="I53" i="5"/>
  <c r="L53" i="5" s="1"/>
  <c r="B6" i="14"/>
  <c r="I14" i="5"/>
  <c r="C14" i="7"/>
  <c r="D31" i="11"/>
  <c r="E30" i="11" s="1"/>
  <c r="B39" i="11" s="1"/>
  <c r="C39" i="11" s="1"/>
  <c r="D39" i="11" s="1"/>
  <c r="K63" i="4" l="1"/>
  <c r="I107" i="4"/>
  <c r="L107" i="4" s="1"/>
  <c r="I71" i="4"/>
  <c r="L71" i="4" s="1"/>
  <c r="K18" i="5"/>
  <c r="L18" i="5"/>
  <c r="K14" i="5"/>
  <c r="L14" i="5"/>
  <c r="E53" i="7"/>
  <c r="I36" i="4"/>
  <c r="K35" i="4"/>
  <c r="E18" i="7"/>
  <c r="C54" i="7"/>
  <c r="C90" i="7" s="1"/>
  <c r="E90" i="7" s="1"/>
  <c r="E14" i="7"/>
  <c r="C50" i="7"/>
  <c r="C86" i="7" s="1"/>
  <c r="E86" i="7" s="1"/>
  <c r="I72" i="4"/>
  <c r="L72" i="4" s="1"/>
  <c r="K86" i="5"/>
  <c r="I50" i="5"/>
  <c r="L50" i="5" s="1"/>
  <c r="K53" i="5"/>
  <c r="G51" i="5"/>
  <c r="C6" i="14"/>
  <c r="I15" i="5"/>
  <c r="C15" i="7"/>
  <c r="K89" i="5"/>
  <c r="C15" i="15"/>
  <c r="G90" i="5"/>
  <c r="I90" i="5" s="1"/>
  <c r="L90" i="5" s="1"/>
  <c r="I54" i="5"/>
  <c r="L54" i="5" s="1"/>
  <c r="E29" i="11"/>
  <c r="B38" i="11" s="1"/>
  <c r="K71" i="4" l="1"/>
  <c r="K107" i="4"/>
  <c r="I108" i="4"/>
  <c r="L108" i="4" s="1"/>
  <c r="L36" i="4"/>
  <c r="I37" i="4"/>
  <c r="K36" i="4"/>
  <c r="K15" i="5"/>
  <c r="L15" i="5"/>
  <c r="E54" i="7"/>
  <c r="E50" i="7"/>
  <c r="E15" i="7"/>
  <c r="E20" i="7" s="1"/>
  <c r="E24" i="7" s="1"/>
  <c r="E27" i="7" s="1"/>
  <c r="E35" i="7" s="1"/>
  <c r="E36" i="7" s="1"/>
  <c r="E37" i="7" s="1"/>
  <c r="E39" i="7" s="1"/>
  <c r="C51" i="7"/>
  <c r="C87" i="7" s="1"/>
  <c r="E87" i="7" s="1"/>
  <c r="I73" i="4"/>
  <c r="L73" i="4" s="1"/>
  <c r="K72" i="4"/>
  <c r="K54" i="5"/>
  <c r="I20" i="5"/>
  <c r="L20" i="5" s="1"/>
  <c r="K90" i="5"/>
  <c r="G87" i="5"/>
  <c r="I87" i="5" s="1"/>
  <c r="L87" i="5" s="1"/>
  <c r="I51" i="5"/>
  <c r="L51" i="5" s="1"/>
  <c r="K50" i="5"/>
  <c r="B43" i="11"/>
  <c r="B44" i="11" s="1"/>
  <c r="C44" i="11" s="1"/>
  <c r="D44" i="11" s="1"/>
  <c r="B40" i="11"/>
  <c r="C38" i="11"/>
  <c r="D38" i="11" s="1"/>
  <c r="D40" i="11" s="1"/>
  <c r="K108" i="4" l="1"/>
  <c r="I109" i="4"/>
  <c r="L109" i="4" s="1"/>
  <c r="L37" i="4"/>
  <c r="I39" i="4"/>
  <c r="K37" i="4"/>
  <c r="E51" i="7"/>
  <c r="E56" i="7" s="1"/>
  <c r="E60" i="7" s="1"/>
  <c r="E63" i="7" s="1"/>
  <c r="E71" i="7" s="1"/>
  <c r="E72" i="7" s="1"/>
  <c r="E73" i="7" s="1"/>
  <c r="E75" i="7" s="1"/>
  <c r="E92" i="7"/>
  <c r="I24" i="5"/>
  <c r="K20" i="5"/>
  <c r="I111" i="4"/>
  <c r="K109" i="4"/>
  <c r="I75" i="4"/>
  <c r="K73" i="4"/>
  <c r="K51" i="5"/>
  <c r="K87" i="5"/>
  <c r="I92" i="5"/>
  <c r="L92" i="5" s="1"/>
  <c r="I56" i="5"/>
  <c r="L56" i="5" s="1"/>
  <c r="C43" i="11"/>
  <c r="D43" i="11" s="1"/>
  <c r="G17" i="7"/>
  <c r="G18" i="7" s="1"/>
  <c r="E44" i="11"/>
  <c r="B30" i="12"/>
  <c r="D30" i="12" s="1"/>
  <c r="C16" i="14" l="1"/>
  <c r="B21" i="14" s="1"/>
  <c r="L75" i="4"/>
  <c r="K24" i="5"/>
  <c r="L24" i="5"/>
  <c r="C15" i="14"/>
  <c r="B20" i="14" s="1"/>
  <c r="L39" i="4"/>
  <c r="E15" i="14" s="1"/>
  <c r="K39" i="4"/>
  <c r="D15" i="14" s="1"/>
  <c r="C17" i="14"/>
  <c r="B22" i="14" s="1"/>
  <c r="L111" i="4"/>
  <c r="E96" i="7"/>
  <c r="I27" i="5"/>
  <c r="G53" i="7"/>
  <c r="G89" i="7" s="1"/>
  <c r="I89" i="7" s="1"/>
  <c r="L89" i="7" s="1"/>
  <c r="D16" i="15"/>
  <c r="E16" i="14"/>
  <c r="K75" i="4"/>
  <c r="D16" i="14" s="1"/>
  <c r="K111" i="4"/>
  <c r="D17" i="14" s="1"/>
  <c r="E17" i="14"/>
  <c r="I96" i="5"/>
  <c r="L96" i="5" s="1"/>
  <c r="K92" i="5"/>
  <c r="I60" i="5"/>
  <c r="L60" i="5" s="1"/>
  <c r="K56" i="5"/>
  <c r="C45" i="11"/>
  <c r="D7" i="14"/>
  <c r="G14" i="7"/>
  <c r="B29" i="12"/>
  <c r="D29" i="12" s="1"/>
  <c r="B49" i="11"/>
  <c r="B50" i="11" s="1"/>
  <c r="E43" i="11"/>
  <c r="E45" i="11" s="1"/>
  <c r="F16" i="15" s="1"/>
  <c r="G16" i="15" s="1"/>
  <c r="B48" i="11"/>
  <c r="C17" i="8"/>
  <c r="I17" i="7"/>
  <c r="L17" i="7" s="1"/>
  <c r="K27" i="5" l="1"/>
  <c r="L27" i="5"/>
  <c r="K89" i="7"/>
  <c r="I53" i="7"/>
  <c r="E99" i="7"/>
  <c r="I35" i="5"/>
  <c r="E17" i="8"/>
  <c r="C53" i="8"/>
  <c r="G50" i="7"/>
  <c r="G86" i="7" s="1"/>
  <c r="I86" i="7" s="1"/>
  <c r="L86" i="7" s="1"/>
  <c r="B16" i="15"/>
  <c r="G15" i="7"/>
  <c r="G54" i="7"/>
  <c r="G90" i="7" s="1"/>
  <c r="I90" i="7" s="1"/>
  <c r="L90" i="7" s="1"/>
  <c r="E7" i="14"/>
  <c r="C18" i="8"/>
  <c r="I18" i="7"/>
  <c r="L18" i="7" s="1"/>
  <c r="E16" i="15"/>
  <c r="I63" i="5"/>
  <c r="L63" i="5" s="1"/>
  <c r="K60" i="5"/>
  <c r="I99" i="5"/>
  <c r="L99" i="5" s="1"/>
  <c r="K96" i="5"/>
  <c r="B7" i="14"/>
  <c r="K17" i="7"/>
  <c r="D31" i="12"/>
  <c r="E30" i="12" s="1"/>
  <c r="B39" i="12" s="1"/>
  <c r="C39" i="12" s="1"/>
  <c r="D39" i="12" s="1"/>
  <c r="I14" i="7"/>
  <c r="L14" i="7" s="1"/>
  <c r="C14" i="8"/>
  <c r="K35" i="5" l="1"/>
  <c r="L35" i="5"/>
  <c r="I50" i="7"/>
  <c r="L50" i="7" s="1"/>
  <c r="K53" i="7"/>
  <c r="L53" i="7"/>
  <c r="K86" i="7"/>
  <c r="E53" i="8"/>
  <c r="C89" i="8"/>
  <c r="E89" i="8" s="1"/>
  <c r="K90" i="7"/>
  <c r="E107" i="7"/>
  <c r="I36" i="5"/>
  <c r="E18" i="8"/>
  <c r="C54" i="8"/>
  <c r="C90" i="8" s="1"/>
  <c r="E90" i="8" s="1"/>
  <c r="E14" i="8"/>
  <c r="C50" i="8"/>
  <c r="G51" i="7"/>
  <c r="G87" i="7" s="1"/>
  <c r="I87" i="7" s="1"/>
  <c r="L87" i="7" s="1"/>
  <c r="C7" i="14"/>
  <c r="I15" i="7"/>
  <c r="C15" i="8"/>
  <c r="K18" i="7"/>
  <c r="C16" i="15"/>
  <c r="I54" i="7"/>
  <c r="L54" i="7" s="1"/>
  <c r="K99" i="5"/>
  <c r="I107" i="5"/>
  <c r="L107" i="5" s="1"/>
  <c r="K63" i="5"/>
  <c r="I71" i="5"/>
  <c r="L71" i="5" s="1"/>
  <c r="E29" i="12"/>
  <c r="B38" i="12" s="1"/>
  <c r="K14" i="7"/>
  <c r="K50" i="7" l="1"/>
  <c r="K36" i="5"/>
  <c r="L36" i="5"/>
  <c r="E54" i="8"/>
  <c r="I20" i="7"/>
  <c r="L20" i="7" s="1"/>
  <c r="L15" i="7"/>
  <c r="I37" i="5"/>
  <c r="E50" i="8"/>
  <c r="C86" i="8"/>
  <c r="E86" i="8" s="1"/>
  <c r="K87" i="7"/>
  <c r="I92" i="7"/>
  <c r="L92" i="7" s="1"/>
  <c r="E108" i="7"/>
  <c r="E15" i="8"/>
  <c r="E20" i="8" s="1"/>
  <c r="E24" i="8" s="1"/>
  <c r="E27" i="8" s="1"/>
  <c r="E35" i="8" s="1"/>
  <c r="E36" i="8" s="1"/>
  <c r="E37" i="8" s="1"/>
  <c r="E39" i="8" s="1"/>
  <c r="C51" i="8"/>
  <c r="C87" i="8" s="1"/>
  <c r="E87" i="8" s="1"/>
  <c r="K15" i="7"/>
  <c r="I51" i="7"/>
  <c r="L51" i="7" s="1"/>
  <c r="K54" i="7"/>
  <c r="I108" i="5"/>
  <c r="K107" i="5"/>
  <c r="K71" i="5"/>
  <c r="I72" i="5"/>
  <c r="L72" i="5" s="1"/>
  <c r="B43" i="12"/>
  <c r="C43" i="12" s="1"/>
  <c r="B40" i="12"/>
  <c r="C38" i="12"/>
  <c r="D38" i="12" s="1"/>
  <c r="D40" i="12" s="1"/>
  <c r="K20" i="7" l="1"/>
  <c r="I24" i="7"/>
  <c r="L24" i="7" s="1"/>
  <c r="K37" i="5"/>
  <c r="L37" i="5"/>
  <c r="I109" i="5"/>
  <c r="L109" i="5" s="1"/>
  <c r="L108" i="5"/>
  <c r="I39" i="5"/>
  <c r="E51" i="8"/>
  <c r="E56" i="8" s="1"/>
  <c r="E60" i="8" s="1"/>
  <c r="E63" i="8" s="1"/>
  <c r="E71" i="8" s="1"/>
  <c r="E72" i="8" s="1"/>
  <c r="E73" i="8" s="1"/>
  <c r="E75" i="8" s="1"/>
  <c r="E92" i="8"/>
  <c r="I96" i="7"/>
  <c r="L96" i="7" s="1"/>
  <c r="K92" i="7"/>
  <c r="E109" i="7"/>
  <c r="K51" i="7"/>
  <c r="I56" i="7"/>
  <c r="L56" i="7" s="1"/>
  <c r="I73" i="5"/>
  <c r="K72" i="5"/>
  <c r="K108" i="5"/>
  <c r="B44" i="12"/>
  <c r="C44" i="12" s="1"/>
  <c r="D44" i="12" s="1"/>
  <c r="D43" i="12"/>
  <c r="K24" i="7" l="1"/>
  <c r="I111" i="5"/>
  <c r="C22" i="14" s="1"/>
  <c r="B27" i="14" s="1"/>
  <c r="K109" i="5"/>
  <c r="C20" i="14"/>
  <c r="B25" i="14" s="1"/>
  <c r="L39" i="5"/>
  <c r="I27" i="7"/>
  <c r="L27" i="7" s="1"/>
  <c r="I75" i="5"/>
  <c r="L75" i="5" s="1"/>
  <c r="E21" i="14" s="1"/>
  <c r="L73" i="5"/>
  <c r="E20" i="14"/>
  <c r="K39" i="5"/>
  <c r="D20" i="14" s="1"/>
  <c r="I99" i="7"/>
  <c r="L99" i="7" s="1"/>
  <c r="K96" i="7"/>
  <c r="E96" i="8"/>
  <c r="E111" i="7"/>
  <c r="C21" i="14"/>
  <c r="B26" i="14" s="1"/>
  <c r="K75" i="5"/>
  <c r="D21" i="14" s="1"/>
  <c r="K56" i="7"/>
  <c r="I60" i="7"/>
  <c r="L60" i="7" s="1"/>
  <c r="K111" i="5"/>
  <c r="D22" i="14" s="1"/>
  <c r="K73" i="5"/>
  <c r="E44" i="12"/>
  <c r="B30" i="13"/>
  <c r="D30" i="13" s="1"/>
  <c r="G17" i="8"/>
  <c r="C45" i="12"/>
  <c r="G14" i="8"/>
  <c r="B48" i="12"/>
  <c r="E43" i="12"/>
  <c r="B29" i="13"/>
  <c r="D29" i="13" s="1"/>
  <c r="B49" i="12"/>
  <c r="B50" i="12" s="1"/>
  <c r="K27" i="7" l="1"/>
  <c r="I35" i="7"/>
  <c r="L35" i="7" s="1"/>
  <c r="L111" i="5"/>
  <c r="E22" i="14" s="1"/>
  <c r="E99" i="8"/>
  <c r="I107" i="7"/>
  <c r="L107" i="7" s="1"/>
  <c r="K99" i="7"/>
  <c r="D8" i="14"/>
  <c r="G53" i="8"/>
  <c r="G89" i="8" s="1"/>
  <c r="I89" i="8" s="1"/>
  <c r="L89" i="8" s="1"/>
  <c r="D17" i="15"/>
  <c r="G50" i="8"/>
  <c r="B17" i="15"/>
  <c r="G15" i="8"/>
  <c r="I63" i="7"/>
  <c r="L63" i="7" s="1"/>
  <c r="K60" i="7"/>
  <c r="E45" i="12"/>
  <c r="F17" i="15" s="1"/>
  <c r="G17" i="15" s="1"/>
  <c r="I17" i="8"/>
  <c r="C17" i="9"/>
  <c r="B8" i="14"/>
  <c r="D31" i="13"/>
  <c r="E30" i="13" s="1"/>
  <c r="B39" i="13" s="1"/>
  <c r="C39" i="13" s="1"/>
  <c r="D39" i="13" s="1"/>
  <c r="I14" i="8"/>
  <c r="L14" i="8" s="1"/>
  <c r="C14" i="9"/>
  <c r="I36" i="7"/>
  <c r="K35" i="7" l="1"/>
  <c r="I37" i="7"/>
  <c r="L37" i="7" s="1"/>
  <c r="L36" i="7"/>
  <c r="K17" i="8"/>
  <c r="L17" i="8"/>
  <c r="E14" i="9"/>
  <c r="C50" i="9"/>
  <c r="C86" i="9" s="1"/>
  <c r="E86" i="9" s="1"/>
  <c r="E17" i="9"/>
  <c r="C53" i="9"/>
  <c r="C89" i="9" s="1"/>
  <c r="E89" i="9" s="1"/>
  <c r="K89" i="8"/>
  <c r="I50" i="8"/>
  <c r="G86" i="8"/>
  <c r="I86" i="8" s="1"/>
  <c r="L86" i="8" s="1"/>
  <c r="I108" i="7"/>
  <c r="K107" i="7"/>
  <c r="E107" i="8"/>
  <c r="C17" i="15"/>
  <c r="G54" i="8"/>
  <c r="G90" i="8" s="1"/>
  <c r="I90" i="8" s="1"/>
  <c r="L90" i="8" s="1"/>
  <c r="E8" i="14"/>
  <c r="C18" i="9"/>
  <c r="I18" i="8"/>
  <c r="L18" i="8" s="1"/>
  <c r="E17" i="15"/>
  <c r="I53" i="8"/>
  <c r="L53" i="8" s="1"/>
  <c r="G51" i="8"/>
  <c r="G87" i="8" s="1"/>
  <c r="I87" i="8" s="1"/>
  <c r="L87" i="8" s="1"/>
  <c r="C8" i="14"/>
  <c r="I15" i="8"/>
  <c r="L15" i="8" s="1"/>
  <c r="C15" i="9"/>
  <c r="K63" i="7"/>
  <c r="I71" i="7"/>
  <c r="L71" i="7" s="1"/>
  <c r="E29" i="13"/>
  <c r="B38" i="13" s="1"/>
  <c r="K14" i="8"/>
  <c r="K36" i="7"/>
  <c r="I39" i="7" l="1"/>
  <c r="L39" i="7" s="1"/>
  <c r="E25" i="14" s="1"/>
  <c r="K37" i="7"/>
  <c r="E50" i="9"/>
  <c r="I109" i="7"/>
  <c r="L109" i="7" s="1"/>
  <c r="L108" i="7"/>
  <c r="C25" i="14"/>
  <c r="B30" i="14" s="1"/>
  <c r="E53" i="9"/>
  <c r="K50" i="8"/>
  <c r="L50" i="8"/>
  <c r="I20" i="8"/>
  <c r="L20" i="8" s="1"/>
  <c r="I92" i="8"/>
  <c r="L92" i="8" s="1"/>
  <c r="K86" i="8"/>
  <c r="E15" i="9"/>
  <c r="C51" i="9"/>
  <c r="C87" i="9" s="1"/>
  <c r="E87" i="9" s="1"/>
  <c r="E18" i="9"/>
  <c r="C54" i="9"/>
  <c r="C90" i="9" s="1"/>
  <c r="E90" i="9" s="1"/>
  <c r="K87" i="8"/>
  <c r="K90" i="8"/>
  <c r="E108" i="8"/>
  <c r="K108" i="7"/>
  <c r="K15" i="8"/>
  <c r="K53" i="8"/>
  <c r="I54" i="8"/>
  <c r="L54" i="8" s="1"/>
  <c r="K18" i="8"/>
  <c r="I51" i="8"/>
  <c r="L51" i="8" s="1"/>
  <c r="I72" i="7"/>
  <c r="L72" i="7" s="1"/>
  <c r="K71" i="7"/>
  <c r="B43" i="13"/>
  <c r="C43" i="13" s="1"/>
  <c r="K39" i="7"/>
  <c r="D25" i="14" s="1"/>
  <c r="C38" i="13"/>
  <c r="D38" i="13" s="1"/>
  <c r="D40" i="13" s="1"/>
  <c r="B40" i="13"/>
  <c r="K109" i="7" l="1"/>
  <c r="I111" i="7"/>
  <c r="L111" i="7" s="1"/>
  <c r="E27" i="14" s="1"/>
  <c r="I24" i="8"/>
  <c r="K20" i="8"/>
  <c r="E20" i="9"/>
  <c r="E24" i="9" s="1"/>
  <c r="E27" i="9" s="1"/>
  <c r="E35" i="9" s="1"/>
  <c r="E36" i="9" s="1"/>
  <c r="E37" i="9" s="1"/>
  <c r="E39" i="9" s="1"/>
  <c r="E92" i="9"/>
  <c r="E96" i="9" s="1"/>
  <c r="E54" i="9"/>
  <c r="E51" i="9"/>
  <c r="I96" i="8"/>
  <c r="L96" i="8" s="1"/>
  <c r="K92" i="8"/>
  <c r="C27" i="14"/>
  <c r="B32" i="14" s="1"/>
  <c r="E109" i="8"/>
  <c r="K54" i="8"/>
  <c r="K51" i="8"/>
  <c r="I56" i="8"/>
  <c r="L56" i="8" s="1"/>
  <c r="I73" i="7"/>
  <c r="L73" i="7" s="1"/>
  <c r="K72" i="7"/>
  <c r="B44" i="13"/>
  <c r="C44" i="13" s="1"/>
  <c r="D44" i="13" s="1"/>
  <c r="D43" i="13"/>
  <c r="I27" i="8" l="1"/>
  <c r="L27" i="8" s="1"/>
  <c r="L24" i="8"/>
  <c r="K111" i="7"/>
  <c r="D27" i="14" s="1"/>
  <c r="K24" i="8"/>
  <c r="E99" i="9"/>
  <c r="E56" i="9"/>
  <c r="E60" i="9" s="1"/>
  <c r="E63" i="9" s="1"/>
  <c r="E71" i="9" s="1"/>
  <c r="E72" i="9" s="1"/>
  <c r="E73" i="9" s="1"/>
  <c r="E75" i="9" s="1"/>
  <c r="I99" i="8"/>
  <c r="L99" i="8" s="1"/>
  <c r="K96" i="8"/>
  <c r="E111" i="8"/>
  <c r="I60" i="8"/>
  <c r="L60" i="8" s="1"/>
  <c r="K56" i="8"/>
  <c r="K73" i="7"/>
  <c r="I75" i="7"/>
  <c r="E44" i="13"/>
  <c r="G17" i="9"/>
  <c r="C45" i="13"/>
  <c r="K27" i="8"/>
  <c r="G14" i="9"/>
  <c r="G50" i="9" s="1"/>
  <c r="G86" i="9" s="1"/>
  <c r="I86" i="9" s="1"/>
  <c r="L86" i="9" s="1"/>
  <c r="B48" i="13"/>
  <c r="B49" i="13"/>
  <c r="B50" i="13" s="1"/>
  <c r="E43" i="13"/>
  <c r="I35" i="8" l="1"/>
  <c r="L35" i="8" s="1"/>
  <c r="G53" i="9"/>
  <c r="G89" i="9" s="1"/>
  <c r="I89" i="9" s="1"/>
  <c r="L89" i="9" s="1"/>
  <c r="G54" i="9"/>
  <c r="C26" i="14"/>
  <c r="B31" i="14" s="1"/>
  <c r="L75" i="7"/>
  <c r="E26" i="14" s="1"/>
  <c r="K86" i="9"/>
  <c r="K89" i="9"/>
  <c r="E107" i="9"/>
  <c r="I107" i="8"/>
  <c r="L107" i="8" s="1"/>
  <c r="K99" i="8"/>
  <c r="I14" i="9"/>
  <c r="L14" i="9" s="1"/>
  <c r="B18" i="15"/>
  <c r="C18" i="15" s="1"/>
  <c r="C19" i="15" s="1"/>
  <c r="G15" i="9"/>
  <c r="G51" i="9" s="1"/>
  <c r="D18" i="15"/>
  <c r="I63" i="8"/>
  <c r="L63" i="8" s="1"/>
  <c r="K60" i="8"/>
  <c r="K75" i="7"/>
  <c r="D26" i="14" s="1"/>
  <c r="E45" i="13"/>
  <c r="F18" i="15" s="1"/>
  <c r="G18" i="15" s="1"/>
  <c r="G19" i="15" s="1"/>
  <c r="B9" i="14"/>
  <c r="I17" i="9"/>
  <c r="L17" i="9" s="1"/>
  <c r="D9" i="14"/>
  <c r="I50" i="9"/>
  <c r="L50" i="9" s="1"/>
  <c r="K35" i="8" l="1"/>
  <c r="I36" i="8"/>
  <c r="I37" i="8" s="1"/>
  <c r="L37" i="8" s="1"/>
  <c r="I53" i="9"/>
  <c r="L53" i="9" s="1"/>
  <c r="G87" i="9"/>
  <c r="I87" i="9" s="1"/>
  <c r="L87" i="9" s="1"/>
  <c r="I51" i="9"/>
  <c r="L51" i="9" s="1"/>
  <c r="G90" i="9"/>
  <c r="I90" i="9" s="1"/>
  <c r="L90" i="9" s="1"/>
  <c r="I54" i="9"/>
  <c r="I108" i="8"/>
  <c r="L108" i="8" s="1"/>
  <c r="K107" i="8"/>
  <c r="E108" i="9"/>
  <c r="E9" i="14"/>
  <c r="I18" i="9"/>
  <c r="L18" i="9" s="1"/>
  <c r="C9" i="14"/>
  <c r="I15" i="9"/>
  <c r="L15" i="9" s="1"/>
  <c r="D19" i="15"/>
  <c r="E18" i="15"/>
  <c r="I71" i="8"/>
  <c r="L71" i="8" s="1"/>
  <c r="K63" i="8"/>
  <c r="K14" i="9"/>
  <c r="K17" i="9"/>
  <c r="K50" i="9"/>
  <c r="L36" i="8" l="1"/>
  <c r="K36" i="8"/>
  <c r="K53" i="9"/>
  <c r="I39" i="8"/>
  <c r="K39" i="8" s="1"/>
  <c r="D30" i="14" s="1"/>
  <c r="I56" i="9"/>
  <c r="L56" i="9" s="1"/>
  <c r="L54" i="9"/>
  <c r="K37" i="8"/>
  <c r="K90" i="9"/>
  <c r="K51" i="9"/>
  <c r="K54" i="9"/>
  <c r="K87" i="9"/>
  <c r="I92" i="9"/>
  <c r="L92" i="9" s="1"/>
  <c r="E109" i="9"/>
  <c r="I109" i="8"/>
  <c r="L109" i="8" s="1"/>
  <c r="K108" i="8"/>
  <c r="K18" i="9"/>
  <c r="K15" i="9"/>
  <c r="I20" i="9"/>
  <c r="I72" i="8"/>
  <c r="L72" i="8" s="1"/>
  <c r="K71" i="8"/>
  <c r="K56" i="9"/>
  <c r="I60" i="9" l="1"/>
  <c r="L60" i="9" s="1"/>
  <c r="I24" i="9"/>
  <c r="L24" i="9" s="1"/>
  <c r="L20" i="9"/>
  <c r="C30" i="14"/>
  <c r="B35" i="14" s="1"/>
  <c r="L39" i="8"/>
  <c r="E30" i="14" s="1"/>
  <c r="I96" i="9"/>
  <c r="L96" i="9" s="1"/>
  <c r="K92" i="9"/>
  <c r="E111" i="9"/>
  <c r="I111" i="8"/>
  <c r="L111" i="8" s="1"/>
  <c r="K109" i="8"/>
  <c r="K20" i="9"/>
  <c r="I73" i="8"/>
  <c r="L73" i="8" s="1"/>
  <c r="K72" i="8"/>
  <c r="I63" i="9"/>
  <c r="I27" i="9" l="1"/>
  <c r="L27" i="9" s="1"/>
  <c r="K60" i="9"/>
  <c r="K24" i="9"/>
  <c r="K63" i="9"/>
  <c r="L63" i="9"/>
  <c r="I99" i="9"/>
  <c r="L99" i="9" s="1"/>
  <c r="K96" i="9"/>
  <c r="I35" i="9"/>
  <c r="L35" i="9" s="1"/>
  <c r="C32" i="14"/>
  <c r="B37" i="14" s="1"/>
  <c r="K111" i="8"/>
  <c r="D32" i="14" s="1"/>
  <c r="E32" i="14"/>
  <c r="I75" i="8"/>
  <c r="K73" i="8"/>
  <c r="I71" i="9"/>
  <c r="K27" i="9" l="1"/>
  <c r="C31" i="14"/>
  <c r="B36" i="14" s="1"/>
  <c r="L75" i="8"/>
  <c r="E31" i="14" s="1"/>
  <c r="I72" i="9"/>
  <c r="L71" i="9"/>
  <c r="I36" i="9"/>
  <c r="I107" i="9"/>
  <c r="L107" i="9" s="1"/>
  <c r="K99" i="9"/>
  <c r="K35" i="9"/>
  <c r="K75" i="8"/>
  <c r="D31" i="14" s="1"/>
  <c r="K71" i="9"/>
  <c r="I37" i="9" l="1"/>
  <c r="L37" i="9" s="1"/>
  <c r="L36" i="9"/>
  <c r="I73" i="9"/>
  <c r="L72" i="9"/>
  <c r="K72" i="9"/>
  <c r="K36" i="9"/>
  <c r="I108" i="9"/>
  <c r="L108" i="9" s="1"/>
  <c r="K107" i="9"/>
  <c r="K37" i="9" l="1"/>
  <c r="I39" i="9"/>
  <c r="L73" i="9"/>
  <c r="K73" i="9"/>
  <c r="I75" i="9"/>
  <c r="I109" i="9"/>
  <c r="K108" i="9"/>
  <c r="C35" i="14" l="1"/>
  <c r="L39" i="9"/>
  <c r="E35" i="14" s="1"/>
  <c r="K39" i="9"/>
  <c r="D35" i="14" s="1"/>
  <c r="C36" i="14"/>
  <c r="L75" i="9"/>
  <c r="E36" i="14" s="1"/>
  <c r="K75" i="9"/>
  <c r="D36" i="14" s="1"/>
  <c r="I111" i="9"/>
  <c r="L111" i="9" s="1"/>
  <c r="L109" i="9"/>
  <c r="K109" i="9"/>
  <c r="C37" i="14" l="1"/>
  <c r="K111" i="9"/>
  <c r="D37" i="14" s="1"/>
  <c r="E37" i="14"/>
</calcChain>
</file>

<file path=xl/sharedStrings.xml><?xml version="1.0" encoding="utf-8"?>
<sst xmlns="http://schemas.openxmlformats.org/spreadsheetml/2006/main" count="1127" uniqueCount="119">
  <si>
    <t>New Rate Design Policy For Residential Customers</t>
  </si>
  <si>
    <t>A)  Data Inputs</t>
  </si>
  <si>
    <t>Test Year Billing Determinants for Residential Class</t>
  </si>
  <si>
    <t>Customers</t>
  </si>
  <si>
    <t>kWh</t>
  </si>
  <si>
    <r>
      <t>Proposed Residential Class Specific Revenue Requirement</t>
    </r>
    <r>
      <rPr>
        <vertAlign val="superscript"/>
        <sz val="10"/>
        <rFont val="Arial"/>
        <family val="2"/>
      </rPr>
      <t>1</t>
    </r>
  </si>
  <si>
    <t>Residential Base Rates on Current Tariff</t>
  </si>
  <si>
    <t>Monthly Fixed Charge ($)</t>
  </si>
  <si>
    <t>Distribution Volumetric Rate ($/kWh)</t>
  </si>
  <si>
    <t>B) Current Fixed/Variable Split</t>
  </si>
  <si>
    <t>Base Rates</t>
  </si>
  <si>
    <t>Billing Determinants</t>
  </si>
  <si>
    <t>Revenue</t>
  </si>
  <si>
    <t>% of Total Revenue</t>
  </si>
  <si>
    <t>Fixed</t>
  </si>
  <si>
    <t>Variable</t>
  </si>
  <si>
    <t>TOTAL</t>
  </si>
  <si>
    <t>-</t>
  </si>
  <si>
    <t>C) Calculating Test Year Base Rates</t>
  </si>
  <si>
    <r>
      <t>Number of Required Rate Design Policy Transition Years</t>
    </r>
    <r>
      <rPr>
        <vertAlign val="superscript"/>
        <sz val="10"/>
        <rFont val="Arial"/>
        <family val="2"/>
      </rPr>
      <t>2</t>
    </r>
  </si>
  <si>
    <t>Test Year Revenue @ Current F/V Split</t>
  </si>
  <si>
    <t>Test Year Base Rates @ Current F/V Split</t>
  </si>
  <si>
    <t>Reconciliation - Test Year Base Rates @ Current F/V Split</t>
  </si>
  <si>
    <t>New F/V Split</t>
  </si>
  <si>
    <t>Revenue @ new
 F/V Split</t>
  </si>
  <si>
    <t>Final Adjusted 
Base Rates</t>
  </si>
  <si>
    <t>Revenue Reconciliation @ Adjusted Rates</t>
  </si>
  <si>
    <r>
      <t>Checks</t>
    </r>
    <r>
      <rPr>
        <b/>
        <vertAlign val="superscript"/>
        <sz val="10"/>
        <rFont val="Arial"/>
        <family val="2"/>
      </rPr>
      <t>3</t>
    </r>
  </si>
  <si>
    <t>Change in Fixed Rate</t>
  </si>
  <si>
    <t>Difference Between Revenues @ Proposed Rates and Class Specific Revenue Requirement</t>
  </si>
  <si>
    <t>Notes:</t>
  </si>
  <si>
    <r>
      <rPr>
        <sz val="10"/>
        <rFont val="Arial"/>
        <family val="2"/>
      </rPr>
      <t>1</t>
    </r>
    <r>
      <rPr>
        <b/>
        <sz val="10"/>
        <rFont val="Arial"/>
        <family val="2"/>
      </rPr>
      <t xml:space="preserve">     </t>
    </r>
    <r>
      <rPr>
        <sz val="10"/>
        <rFont val="Arial"/>
        <family val="2"/>
      </rPr>
      <t>The final residential class specific revenue requirement, as shown in Appendix 2-P, should be used (i.e. the revenue requirement after any proposed adjustments to R/C ratios).</t>
    </r>
  </si>
  <si>
    <t>2     Default number of transition years for rate design policy change is 4. Where the change in the residential rate design will result in the fixed charge increasing by more than $4/year, a distributor may propose an additional transition year.</t>
  </si>
  <si>
    <t>3     Change in fixed rate due to rate design policy should be less than $4. The difference between the proposed class revenue requirement and the revenue at calculated base rates should be minimal (i.e. should be reasonably considered as a rounding error)</t>
  </si>
  <si>
    <t>.</t>
  </si>
  <si>
    <t>Volume</t>
  </si>
  <si>
    <t>Monthly Service Charge</t>
  </si>
  <si>
    <t>Approved Oct 31 2015</t>
  </si>
  <si>
    <t>Proposed</t>
  </si>
  <si>
    <t>Impact</t>
  </si>
  <si>
    <t>$ Change</t>
  </si>
  <si>
    <t>% Change</t>
  </si>
  <si>
    <t>Distribution Volumetric Rate</t>
  </si>
  <si>
    <t>Sub-Total A (excluding pass through)</t>
  </si>
  <si>
    <t>Line Losses on Cost of Power</t>
  </si>
  <si>
    <t>Total Deferral/Variance Account Rate Riders</t>
  </si>
  <si>
    <t>Smart Meter Entity Charge</t>
  </si>
  <si>
    <t>Sub-Total B - Distribution (includes Sub-Total A)</t>
  </si>
  <si>
    <t>RTSR - Network</t>
  </si>
  <si>
    <t>RTSR - Connection and/or Line and Transformation Connection</t>
  </si>
  <si>
    <t>Sub-Total C - Delivery (including Sub-Total B)</t>
  </si>
  <si>
    <t>Wholesale Market Service Charge (WMSC)</t>
  </si>
  <si>
    <t>Rural and Remote Rate Protection (RRRP)</t>
  </si>
  <si>
    <t>Standard Supply Service Charge</t>
  </si>
  <si>
    <t>TOU - Off Peak</t>
  </si>
  <si>
    <t>TOU - Mid Peak</t>
  </si>
  <si>
    <t>TOU - On Peak</t>
  </si>
  <si>
    <t>Total Bill on TOU (before Taxes)</t>
  </si>
  <si>
    <t>HST</t>
  </si>
  <si>
    <t>Proposed January 1 2016</t>
  </si>
  <si>
    <t>Rate Rider per Hydro One Networks' Acquisition Agreement</t>
  </si>
  <si>
    <t>Monthly</t>
  </si>
  <si>
    <t>per kWh</t>
  </si>
  <si>
    <t>Rate Rider for Recovery of Smart Meter Incremental Revenue Requirements</t>
  </si>
  <si>
    <t xml:space="preserve">Rate Rider for Recovery of  Incremental Capital </t>
  </si>
  <si>
    <t>Loss Adjustment Factor</t>
  </si>
  <si>
    <t>Consumption kWh</t>
  </si>
  <si>
    <t>Proposed January 1 2017</t>
  </si>
  <si>
    <t>Proposed January 1 2018</t>
  </si>
  <si>
    <t>Proposed January 1 2019</t>
  </si>
  <si>
    <t>Proposed January 1 2020</t>
  </si>
  <si>
    <t>Rate Effective Dates</t>
  </si>
  <si>
    <t>Fixed Service Charge</t>
  </si>
  <si>
    <t>Net Change</t>
  </si>
  <si>
    <t>Volumetric Charge</t>
  </si>
  <si>
    <t>Revenue Requirement</t>
  </si>
  <si>
    <t>Current Approved</t>
  </si>
  <si>
    <t>May 1 2014</t>
  </si>
  <si>
    <t>January 1 2016</t>
  </si>
  <si>
    <t>January 1 2017</t>
  </si>
  <si>
    <t>January 1 2018</t>
  </si>
  <si>
    <t>January 1 2019</t>
  </si>
  <si>
    <t>January 1 2020</t>
  </si>
  <si>
    <t>Average Net Change</t>
  </si>
  <si>
    <t>Cumulative Net Change</t>
  </si>
  <si>
    <t>Residential Class Distribution Rate Design -  Proposed 5 Year Transition Period (2016 - 2020)</t>
  </si>
  <si>
    <t>1% Fixed Acquisition Rider</t>
  </si>
  <si>
    <t>1% Volumetric Acquisition Rider</t>
  </si>
  <si>
    <t>Proposed Rate Effective Dates</t>
  </si>
  <si>
    <t>October 31 2015</t>
  </si>
  <si>
    <t>January   1 2016</t>
  </si>
  <si>
    <t>January   1 2017</t>
  </si>
  <si>
    <t>January   1 2018</t>
  </si>
  <si>
    <t>January   1 2019</t>
  </si>
  <si>
    <t>January   1 2020</t>
  </si>
  <si>
    <t>Table 1: Proposed Residential Rates and Acquisition Riders -  Five Year Rate Period  (2016-2020)</t>
  </si>
  <si>
    <t>Total Bill Including HST</t>
  </si>
  <si>
    <t>Woodstock Residential Customer Class TOU</t>
  </si>
  <si>
    <t>Oct 31 2015</t>
  </si>
  <si>
    <t>Jan 1 2016</t>
  </si>
  <si>
    <t>Total Impact $</t>
  </si>
  <si>
    <t>Total Impact %</t>
  </si>
  <si>
    <t>Jan 1 2017</t>
  </si>
  <si>
    <t>Jan 1 2018</t>
  </si>
  <si>
    <t>Jan 1 2019</t>
  </si>
  <si>
    <t>Jan 1 2020</t>
  </si>
  <si>
    <t>800 kWh</t>
  </si>
  <si>
    <t>Total kWh</t>
  </si>
  <si>
    <t>Rate ($)</t>
  </si>
  <si>
    <t>Charge ($)</t>
  </si>
  <si>
    <r>
      <t>January 1 2016 Adjustment</t>
    </r>
    <r>
      <rPr>
        <b/>
        <sz val="9"/>
        <rFont val="Arial"/>
        <family val="2"/>
      </rPr>
      <t xml:space="preserve"> (Filing Requirements Appendix 2-PA)</t>
    </r>
  </si>
  <si>
    <r>
      <t>January 1 2017 Adjustment</t>
    </r>
    <r>
      <rPr>
        <b/>
        <sz val="9"/>
        <rFont val="Arial"/>
        <family val="2"/>
      </rPr>
      <t xml:space="preserve"> (Filing Requirements Appendix 2-PA)</t>
    </r>
  </si>
  <si>
    <r>
      <t>January 1 2018 Adjustment</t>
    </r>
    <r>
      <rPr>
        <b/>
        <sz val="9"/>
        <rFont val="Arial"/>
        <family val="2"/>
      </rPr>
      <t xml:space="preserve"> (Filing Requirements Appendix 2-PA)</t>
    </r>
  </si>
  <si>
    <r>
      <t>January 1 2019 Adjustment</t>
    </r>
    <r>
      <rPr>
        <b/>
        <sz val="9"/>
        <rFont val="Arial"/>
        <family val="2"/>
      </rPr>
      <t xml:space="preserve"> (Filing Requirements Appendix 2-PA)</t>
    </r>
  </si>
  <si>
    <r>
      <t>January 1 2020 Adjustment</t>
    </r>
    <r>
      <rPr>
        <b/>
        <sz val="9"/>
        <rFont val="Arial"/>
        <family val="2"/>
      </rPr>
      <t xml:space="preserve"> (Filing Requirements Appendix 2-PA)</t>
    </r>
  </si>
  <si>
    <t>Table 2: Total Monthly Residential TOU  Bill Impacts -  Five Year Rate Period (2016-2020)</t>
  </si>
  <si>
    <t>1,500 kWh</t>
  </si>
  <si>
    <r>
      <t xml:space="preserve">Total Bill </t>
    </r>
    <r>
      <rPr>
        <sz val="11"/>
        <rFont val="Arial"/>
        <family val="2"/>
      </rPr>
      <t>(including HST)</t>
    </r>
  </si>
  <si>
    <t>285 kWh</t>
  </si>
</sst>
</file>

<file path=xl/styles.xml><?xml version="1.0" encoding="utf-8"?>
<styleSheet xmlns="http://schemas.openxmlformats.org/spreadsheetml/2006/main" xmlns:mc="http://schemas.openxmlformats.org/markup-compatibility/2006" xmlns:x14ac="http://schemas.microsoft.com/office/spreadsheetml/2009/9/ac" mc:Ignorable="x14ac">
  <numFmts count="19">
    <numFmt numFmtId="5" formatCode="&quot;$&quot;#,##0_);\(&quot;$&quot;#,##0\)"/>
    <numFmt numFmtId="164" formatCode="_-&quot;$&quot;* #,##0.00_-;\-&quot;$&quot;* #,##0.00_-;_-&quot;$&quot;* &quot;-&quot;??_-;_-@_-"/>
    <numFmt numFmtId="165" formatCode="_-* #,##0.00_-;\-* #,##0.00_-;_-* &quot;-&quot;??_-;_-@_-"/>
    <numFmt numFmtId="166" formatCode="_-* #,##0_-;\-* #,##0_-;_-* &quot;-&quot;??_-;_-@_-"/>
    <numFmt numFmtId="167" formatCode="_(* #,##0.0_);_(* \(#,##0.0\);_(* &quot;-&quot;??_);_(@_)"/>
    <numFmt numFmtId="168" formatCode="#,##0.0"/>
    <numFmt numFmtId="169" formatCode="mm/dd/yyyy"/>
    <numFmt numFmtId="170" formatCode="0\-0"/>
    <numFmt numFmtId="171" formatCode="##\-#"/>
    <numFmt numFmtId="172" formatCode="_(* #,##0_);_(* \(#,##0\);_(* &quot;-&quot;??_);_(@_)"/>
    <numFmt numFmtId="173" formatCode="&quot;£ &quot;#,##0.00;[Red]\-&quot;£ &quot;#,##0.00"/>
    <numFmt numFmtId="174" formatCode="_-&quot;$&quot;* #,##0.0000_-;\-&quot;$&quot;* #,##0.0000_-;_-&quot;$&quot;* &quot;-&quot;??_-;_-@_-"/>
    <numFmt numFmtId="175" formatCode="#,##0.0000_ ;\-#,##0.0000\ "/>
    <numFmt numFmtId="176" formatCode="_-&quot;$&quot;* #,##0_-;\-&quot;$&quot;* #,##0_-;_-&quot;$&quot;* &quot;-&quot;??_-;_-@_-"/>
    <numFmt numFmtId="177" formatCode="&quot;$&quot;_(* #,##0.00_);&quot;$&quot;_(* \(#,##0.00\);&quot;$&quot;_(* &quot;-&quot;??_);&quot;$&quot;_(@_)"/>
    <numFmt numFmtId="178" formatCode="&quot;$&quot;_(* #,##0.0000_);&quot;$&quot;_(* \(#,##0.0000\);&quot;$&quot;_(* &quot;-&quot;??_);&quot;$&quot;_(@_)"/>
    <numFmt numFmtId="179" formatCode="&quot;$&quot;_(* #,##0.00000_);&quot;$&quot;_(* \(#,##0.00000\);&quot;$&quot;_(* &quot;-&quot;??_);&quot;$&quot;_(@_)"/>
    <numFmt numFmtId="180" formatCode="&quot;$&quot;_(* #,##0_);&quot;$&quot;_(* \(#,##0\);&quot;$&quot;_(* &quot;-&quot;??_);&quot;$&quot;_(@_)"/>
    <numFmt numFmtId="181" formatCode="0.0%;\(0.0\)%"/>
  </numFmts>
  <fonts count="33"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b/>
      <sz val="10"/>
      <name val="Arial"/>
      <family val="2"/>
    </font>
    <font>
      <sz val="8"/>
      <name val="Arial"/>
      <family val="2"/>
    </font>
    <font>
      <b/>
      <sz val="14"/>
      <name val="Arial"/>
      <family val="2"/>
    </font>
    <font>
      <vertAlign val="superscript"/>
      <sz val="10"/>
      <name val="Arial"/>
      <family val="2"/>
    </font>
    <font>
      <b/>
      <vertAlign val="superscript"/>
      <sz val="10"/>
      <name val="Arial"/>
      <family val="2"/>
    </font>
    <font>
      <sz val="11"/>
      <color theme="1"/>
      <name val="Arial"/>
      <family val="2"/>
    </font>
    <font>
      <sz val="10"/>
      <color theme="1"/>
      <name val="Arial"/>
      <family val="2"/>
    </font>
    <font>
      <b/>
      <sz val="10"/>
      <color theme="1"/>
      <name val="Arial"/>
      <family val="2"/>
    </font>
    <font>
      <b/>
      <sz val="11"/>
      <name val="Arial"/>
      <family val="2"/>
    </font>
    <font>
      <sz val="11"/>
      <name val="Arial"/>
      <family val="2"/>
    </font>
    <font>
      <b/>
      <sz val="11"/>
      <color theme="1"/>
      <name val="Arial"/>
      <family val="2"/>
    </font>
    <font>
      <sz val="11"/>
      <color rgb="FFFF0000"/>
      <name val="Arial"/>
      <family val="2"/>
    </font>
    <font>
      <b/>
      <sz val="9"/>
      <name val="Arial"/>
      <family val="2"/>
    </font>
    <font>
      <b/>
      <i/>
      <sz val="11"/>
      <name val="Arial"/>
      <family val="2"/>
    </font>
  </fonts>
  <fills count="4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6" tint="0.79998168889431442"/>
        <bgColor indexed="64"/>
      </patternFill>
    </fill>
    <fill>
      <patternFill patternType="solid">
        <fgColor indexed="22"/>
        <bgColor indexed="64"/>
      </patternFill>
    </fill>
    <fill>
      <patternFill patternType="solid">
        <fgColor indexed="26"/>
        <bgColor indexed="64"/>
      </patternFill>
    </fill>
    <fill>
      <patternFill patternType="solid">
        <fgColor theme="0"/>
        <bgColor indexed="64"/>
      </patternFill>
    </fill>
    <fill>
      <patternFill patternType="solid">
        <fgColor theme="9" tint="0.79998168889431442"/>
        <bgColor indexed="64"/>
      </patternFill>
    </fill>
    <fill>
      <patternFill patternType="solid">
        <fgColor theme="0" tint="-0.499984740745262"/>
        <bgColor indexed="64"/>
      </patternFill>
    </fill>
    <fill>
      <patternFill patternType="solid">
        <fgColor theme="0" tint="-4.9989318521683403E-2"/>
        <bgColor indexed="64"/>
      </patternFill>
    </fill>
  </fills>
  <borders count="5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medium">
        <color indexed="64"/>
      </top>
      <bottom/>
      <diagonal/>
    </border>
  </borders>
  <cellStyleXfs count="96">
    <xf numFmtId="0" fontId="0" fillId="0" borderId="0"/>
    <xf numFmtId="165" fontId="18" fillId="0" borderId="0" applyFont="0" applyFill="0" applyBorder="0" applyAlignment="0" applyProtection="0"/>
    <xf numFmtId="164" fontId="18" fillId="0" borderId="0" applyFont="0" applyFill="0" applyBorder="0" applyAlignment="0" applyProtection="0"/>
    <xf numFmtId="9" fontId="18" fillId="0" borderId="0" applyFont="0" applyFill="0" applyBorder="0" applyAlignment="0" applyProtection="0"/>
    <xf numFmtId="0" fontId="18" fillId="0" borderId="0"/>
    <xf numFmtId="167" fontId="18" fillId="0" borderId="0"/>
    <xf numFmtId="168" fontId="18" fillId="0" borderId="0"/>
    <xf numFmtId="167" fontId="18" fillId="0" borderId="0"/>
    <xf numFmtId="167" fontId="18" fillId="0" borderId="0"/>
    <xf numFmtId="167" fontId="18" fillId="0" borderId="0"/>
    <xf numFmtId="167" fontId="18" fillId="0" borderId="0"/>
    <xf numFmtId="169" fontId="18" fillId="0" borderId="0"/>
    <xf numFmtId="170" fontId="18" fillId="0" borderId="0"/>
    <xf numFmtId="169"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7" fillId="12" borderId="0" applyNumberFormat="0" applyBorder="0" applyAlignment="0" applyProtection="0"/>
    <xf numFmtId="0" fontId="17" fillId="16"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32" borderId="0" applyNumberFormat="0" applyBorder="0" applyAlignment="0" applyProtection="0"/>
    <xf numFmtId="0" fontId="17" fillId="9" borderId="0" applyNumberFormat="0" applyBorder="0" applyAlignment="0" applyProtection="0"/>
    <xf numFmtId="0" fontId="17" fillId="13" borderId="0" applyNumberFormat="0" applyBorder="0" applyAlignment="0" applyProtection="0"/>
    <xf numFmtId="0" fontId="17" fillId="17" borderId="0" applyNumberFormat="0" applyBorder="0" applyAlignment="0" applyProtection="0"/>
    <xf numFmtId="0" fontId="17" fillId="21" borderId="0" applyNumberFormat="0" applyBorder="0" applyAlignment="0" applyProtection="0"/>
    <xf numFmtId="0" fontId="17" fillId="25" borderId="0" applyNumberFormat="0" applyBorder="0" applyAlignment="0" applyProtection="0"/>
    <xf numFmtId="0" fontId="17" fillId="29" borderId="0" applyNumberFormat="0" applyBorder="0" applyAlignment="0" applyProtection="0"/>
    <xf numFmtId="0" fontId="7" fillId="3" borderId="0" applyNumberFormat="0" applyBorder="0" applyAlignment="0" applyProtection="0"/>
    <xf numFmtId="0" fontId="11" fillId="6" borderId="4" applyNumberFormat="0" applyAlignment="0" applyProtection="0"/>
    <xf numFmtId="0" fontId="13" fillId="7" borderId="7" applyNumberFormat="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3" fontId="18" fillId="0" borderId="0" applyFont="0" applyFill="0" applyBorder="0" applyAlignment="0" applyProtection="0"/>
    <xf numFmtId="164" fontId="1" fillId="0" borderId="0" applyFont="0" applyFill="0" applyBorder="0" applyAlignment="0" applyProtection="0"/>
    <xf numFmtId="164" fontId="18" fillId="0" borderId="0" applyFont="0" applyFill="0" applyBorder="0" applyAlignment="0" applyProtection="0"/>
    <xf numFmtId="5" fontId="18" fillId="0" borderId="0" applyFont="0" applyFill="0" applyBorder="0" applyAlignment="0" applyProtection="0"/>
    <xf numFmtId="14" fontId="18" fillId="0" borderId="0" applyFont="0" applyFill="0" applyBorder="0" applyAlignment="0" applyProtection="0"/>
    <xf numFmtId="0" fontId="15" fillId="0" borderId="0" applyNumberFormat="0" applyFill="0" applyBorder="0" applyAlignment="0" applyProtection="0"/>
    <xf numFmtId="2" fontId="18" fillId="0" borderId="0" applyFont="0" applyFill="0" applyBorder="0" applyAlignment="0" applyProtection="0"/>
    <xf numFmtId="0" fontId="6" fillId="2" borderId="0" applyNumberFormat="0" applyBorder="0" applyAlignment="0" applyProtection="0"/>
    <xf numFmtId="38" fontId="20" fillId="34" borderId="0" applyNumberFormat="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10" fontId="20" fillId="35" borderId="23" applyNumberFormat="0" applyBorder="0" applyAlignment="0" applyProtection="0"/>
    <xf numFmtId="0" fontId="9" fillId="5" borderId="4" applyNumberFormat="0" applyAlignment="0" applyProtection="0"/>
    <xf numFmtId="0" fontId="12" fillId="0" borderId="6" applyNumberFormat="0" applyFill="0" applyAlignment="0" applyProtection="0"/>
    <xf numFmtId="171" fontId="18" fillId="0" borderId="0"/>
    <xf numFmtId="172" fontId="18" fillId="0" borderId="0"/>
    <xf numFmtId="171" fontId="18" fillId="0" borderId="0"/>
    <xf numFmtId="171" fontId="18" fillId="0" borderId="0"/>
    <xf numFmtId="171" fontId="18" fillId="0" borderId="0"/>
    <xf numFmtId="171" fontId="18" fillId="0" borderId="0"/>
    <xf numFmtId="0" fontId="8" fillId="4" borderId="0" applyNumberFormat="0" applyBorder="0" applyAlignment="0" applyProtection="0"/>
    <xf numFmtId="173" fontId="18"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0" fillId="6" borderId="5" applyNumberFormat="0" applyAlignment="0" applyProtection="0"/>
    <xf numFmtId="10" fontId="1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16" fillId="0" borderId="9" applyNumberFormat="0" applyFill="0" applyAlignment="0" applyProtection="0"/>
    <xf numFmtId="0" fontId="14" fillId="0" borderId="0" applyNumberFormat="0" applyFill="0" applyBorder="0" applyAlignment="0" applyProtection="0"/>
    <xf numFmtId="9" fontId="1" fillId="0" borderId="0" applyFont="0" applyFill="0" applyBorder="0" applyAlignment="0" applyProtection="0"/>
    <xf numFmtId="164" fontId="18" fillId="0" borderId="0" applyFont="0" applyFill="0" applyBorder="0" applyAlignment="0" applyProtection="0"/>
    <xf numFmtId="9" fontId="18" fillId="0" borderId="0" applyFont="0" applyFill="0" applyBorder="0" applyAlignment="0" applyProtection="0"/>
    <xf numFmtId="9" fontId="1" fillId="0" borderId="0" applyFont="0" applyFill="0" applyBorder="0" applyAlignment="0" applyProtection="0"/>
    <xf numFmtId="165" fontId="18" fillId="0" borderId="0" applyFont="0" applyFill="0" applyBorder="0" applyAlignment="0" applyProtection="0"/>
    <xf numFmtId="167" fontId="18" fillId="0" borderId="0"/>
    <xf numFmtId="171" fontId="18" fillId="0" borderId="0"/>
    <xf numFmtId="167" fontId="18" fillId="0" borderId="0"/>
    <xf numFmtId="171" fontId="18" fillId="0" borderId="0"/>
    <xf numFmtId="167" fontId="18" fillId="0" borderId="0"/>
    <xf numFmtId="171" fontId="18" fillId="0" borderId="0"/>
    <xf numFmtId="9" fontId="1" fillId="0" borderId="0" applyFont="0" applyFill="0" applyBorder="0" applyAlignment="0" applyProtection="0"/>
  </cellStyleXfs>
  <cellXfs count="261">
    <xf numFmtId="0" fontId="0" fillId="0" borderId="0" xfId="0"/>
    <xf numFmtId="0" fontId="18" fillId="0" borderId="0" xfId="4" applyProtection="1">
      <protection locked="0"/>
    </xf>
    <xf numFmtId="0" fontId="19" fillId="0" borderId="0" xfId="4" applyFont="1" applyAlignment="1" applyProtection="1">
      <alignment horizontal="left"/>
      <protection locked="0"/>
    </xf>
    <xf numFmtId="0" fontId="20" fillId="0" borderId="0" xfId="4" applyFont="1" applyAlignment="1" applyProtection="1">
      <alignment horizontal="right" vertical="top"/>
      <protection locked="0"/>
    </xf>
    <xf numFmtId="0" fontId="18" fillId="0" borderId="0" xfId="4" applyFont="1" applyProtection="1">
      <protection locked="0"/>
    </xf>
    <xf numFmtId="0" fontId="19" fillId="0" borderId="0" xfId="4" applyFont="1" applyProtection="1">
      <protection locked="0"/>
    </xf>
    <xf numFmtId="0" fontId="18" fillId="0" borderId="12" xfId="4" applyFont="1" applyBorder="1" applyProtection="1">
      <protection locked="0"/>
    </xf>
    <xf numFmtId="166" fontId="18" fillId="33" borderId="13" xfId="1" applyNumberFormat="1" applyFont="1" applyFill="1" applyBorder="1" applyAlignment="1" applyProtection="1">
      <alignment horizontal="right" vertical="top"/>
      <protection locked="0"/>
    </xf>
    <xf numFmtId="0" fontId="18" fillId="0" borderId="14" xfId="4" applyFont="1" applyBorder="1" applyProtection="1">
      <protection locked="0"/>
    </xf>
    <xf numFmtId="166" fontId="18" fillId="33" borderId="15" xfId="1" applyNumberFormat="1" applyFont="1" applyFill="1" applyBorder="1" applyAlignment="1" applyProtection="1">
      <alignment horizontal="right" vertical="top"/>
      <protection locked="0"/>
    </xf>
    <xf numFmtId="0" fontId="18" fillId="0" borderId="16" xfId="4" applyFont="1" applyBorder="1" applyAlignment="1" applyProtection="1">
      <alignment wrapText="1"/>
      <protection locked="0"/>
    </xf>
    <xf numFmtId="164" fontId="18" fillId="33" borderId="17" xfId="2" applyFont="1" applyFill="1" applyBorder="1" applyAlignment="1" applyProtection="1">
      <alignment horizontal="right" vertical="top"/>
      <protection locked="0"/>
    </xf>
    <xf numFmtId="0" fontId="18" fillId="33" borderId="13" xfId="4" applyFont="1" applyFill="1" applyBorder="1" applyAlignment="1" applyProtection="1">
      <alignment horizontal="right" vertical="top"/>
      <protection locked="0"/>
    </xf>
    <xf numFmtId="0" fontId="18" fillId="33" borderId="15" xfId="4" applyFont="1" applyFill="1" applyBorder="1" applyAlignment="1" applyProtection="1">
      <alignment horizontal="right" vertical="top"/>
      <protection locked="0"/>
    </xf>
    <xf numFmtId="0" fontId="18" fillId="0" borderId="18" xfId="4" applyBorder="1" applyAlignment="1" applyProtection="1">
      <alignment horizontal="center"/>
      <protection locked="0"/>
    </xf>
    <xf numFmtId="0" fontId="19" fillId="0" borderId="19" xfId="4" applyFont="1" applyBorder="1" applyAlignment="1" applyProtection="1">
      <alignment horizontal="center"/>
      <protection locked="0"/>
    </xf>
    <xf numFmtId="0" fontId="19" fillId="0" borderId="20" xfId="4" applyFont="1" applyBorder="1" applyAlignment="1" applyProtection="1">
      <alignment horizontal="center"/>
      <protection locked="0"/>
    </xf>
    <xf numFmtId="0" fontId="19" fillId="0" borderId="21" xfId="4" applyFont="1" applyBorder="1" applyAlignment="1" applyProtection="1">
      <alignment horizontal="center"/>
      <protection locked="0"/>
    </xf>
    <xf numFmtId="0" fontId="19" fillId="0" borderId="22" xfId="4" applyFont="1" applyBorder="1" applyAlignment="1" applyProtection="1">
      <alignment horizontal="center"/>
      <protection locked="0"/>
    </xf>
    <xf numFmtId="0" fontId="18" fillId="0" borderId="23" xfId="4" applyBorder="1" applyProtection="1">
      <protection locked="0"/>
    </xf>
    <xf numFmtId="166" fontId="0" fillId="0" borderId="24" xfId="1" applyNumberFormat="1" applyFont="1" applyBorder="1" applyProtection="1">
      <protection locked="0"/>
    </xf>
    <xf numFmtId="164" fontId="0" fillId="0" borderId="23" xfId="2" applyFont="1" applyBorder="1" applyProtection="1">
      <protection locked="0"/>
    </xf>
    <xf numFmtId="10" fontId="0" fillId="0" borderId="13" xfId="3" applyNumberFormat="1" applyFont="1" applyBorder="1" applyProtection="1">
      <protection locked="0"/>
    </xf>
    <xf numFmtId="166" fontId="0" fillId="0" borderId="25" xfId="1" applyNumberFormat="1" applyFont="1" applyBorder="1" applyProtection="1">
      <protection locked="0"/>
    </xf>
    <xf numFmtId="0" fontId="19" fillId="0" borderId="14" xfId="4" applyFont="1" applyBorder="1" applyProtection="1">
      <protection locked="0"/>
    </xf>
    <xf numFmtId="0" fontId="18" fillId="0" borderId="26" xfId="4" applyFont="1" applyBorder="1" applyAlignment="1" applyProtection="1">
      <alignment horizontal="center"/>
      <protection locked="0"/>
    </xf>
    <xf numFmtId="166" fontId="18" fillId="0" borderId="27" xfId="1" applyNumberFormat="1" applyFont="1" applyBorder="1" applyAlignment="1" applyProtection="1">
      <alignment horizontal="center"/>
      <protection locked="0"/>
    </xf>
    <xf numFmtId="164" fontId="0" fillId="0" borderId="28" xfId="2" applyFont="1" applyBorder="1" applyProtection="1">
      <protection locked="0"/>
    </xf>
    <xf numFmtId="0" fontId="18" fillId="0" borderId="15" xfId="4" applyFont="1" applyBorder="1" applyAlignment="1" applyProtection="1">
      <alignment horizontal="center"/>
      <protection locked="0"/>
    </xf>
    <xf numFmtId="0" fontId="19" fillId="0" borderId="0" xfId="4" applyFont="1" applyFill="1" applyBorder="1" applyProtection="1">
      <protection locked="0"/>
    </xf>
    <xf numFmtId="0" fontId="18" fillId="0" borderId="16" xfId="4" applyFont="1" applyFill="1" applyBorder="1" applyAlignment="1" applyProtection="1">
      <alignment wrapText="1"/>
      <protection locked="0"/>
    </xf>
    <xf numFmtId="0" fontId="18" fillId="33" borderId="17" xfId="4" applyFont="1" applyFill="1" applyBorder="1" applyAlignment="1" applyProtection="1">
      <alignment horizontal="center" vertical="center"/>
      <protection locked="0"/>
    </xf>
    <xf numFmtId="0" fontId="18" fillId="0" borderId="18" xfId="4" applyFont="1" applyBorder="1" applyProtection="1">
      <protection locked="0"/>
    </xf>
    <xf numFmtId="0" fontId="19" fillId="0" borderId="20" xfId="4" applyFont="1" applyBorder="1" applyAlignment="1" applyProtection="1">
      <alignment horizontal="center" vertical="center" wrapText="1"/>
      <protection locked="0"/>
    </xf>
    <xf numFmtId="0" fontId="19" fillId="0" borderId="19" xfId="4" applyFont="1" applyBorder="1" applyAlignment="1" applyProtection="1">
      <alignment horizontal="center" vertical="center" wrapText="1"/>
      <protection locked="0"/>
    </xf>
    <xf numFmtId="0" fontId="19" fillId="0" borderId="29" xfId="4" applyFont="1" applyBorder="1" applyAlignment="1" applyProtection="1">
      <alignment horizontal="center" wrapText="1"/>
      <protection locked="0"/>
    </xf>
    <xf numFmtId="0" fontId="18" fillId="0" borderId="30" xfId="4" applyBorder="1" applyProtection="1">
      <protection locked="0"/>
    </xf>
    <xf numFmtId="164" fontId="0" fillId="0" borderId="13" xfId="2" applyFont="1" applyBorder="1" applyProtection="1">
      <protection locked="0"/>
    </xf>
    <xf numFmtId="0" fontId="18" fillId="0" borderId="31" xfId="4" applyFont="1" applyBorder="1" applyProtection="1">
      <protection locked="0"/>
    </xf>
    <xf numFmtId="164" fontId="0" fillId="0" borderId="25" xfId="2" applyFont="1" applyBorder="1" applyProtection="1">
      <protection locked="0"/>
    </xf>
    <xf numFmtId="0" fontId="18" fillId="0" borderId="32" xfId="4" applyBorder="1" applyProtection="1">
      <protection locked="0"/>
    </xf>
    <xf numFmtId="0" fontId="18" fillId="0" borderId="33" xfId="4" applyFont="1" applyFill="1" applyBorder="1" applyProtection="1">
      <protection locked="0"/>
    </xf>
    <xf numFmtId="164" fontId="0" fillId="0" borderId="27" xfId="2" applyFont="1" applyBorder="1" applyProtection="1">
      <protection locked="0"/>
    </xf>
    <xf numFmtId="0" fontId="18" fillId="0" borderId="34" xfId="4" applyBorder="1" applyAlignment="1" applyProtection="1">
      <alignment horizontal="center"/>
      <protection locked="0"/>
    </xf>
    <xf numFmtId="164" fontId="0" fillId="0" borderId="35" xfId="2" applyFont="1" applyBorder="1" applyProtection="1">
      <protection locked="0"/>
    </xf>
    <xf numFmtId="0" fontId="19" fillId="0" borderId="20" xfId="4" applyFont="1" applyBorder="1" applyAlignment="1" applyProtection="1">
      <alignment horizontal="center" wrapText="1"/>
      <protection locked="0"/>
    </xf>
    <xf numFmtId="0" fontId="19" fillId="0" borderId="19" xfId="4" applyFont="1" applyBorder="1" applyAlignment="1" applyProtection="1">
      <alignment horizontal="center" wrapText="1"/>
      <protection locked="0"/>
    </xf>
    <xf numFmtId="0" fontId="19" fillId="0" borderId="22" xfId="4" applyFont="1" applyBorder="1" applyAlignment="1" applyProtection="1">
      <alignment horizontal="center" wrapText="1"/>
      <protection locked="0"/>
    </xf>
    <xf numFmtId="10" fontId="0" fillId="0" borderId="23" xfId="3" applyNumberFormat="1" applyFont="1" applyBorder="1" applyProtection="1">
      <protection locked="0"/>
    </xf>
    <xf numFmtId="164" fontId="18" fillId="0" borderId="23" xfId="4" applyNumberFormat="1" applyBorder="1" applyProtection="1">
      <protection locked="0"/>
    </xf>
    <xf numFmtId="10" fontId="0" fillId="0" borderId="25" xfId="3" applyNumberFormat="1" applyFont="1" applyBorder="1" applyProtection="1">
      <protection locked="0"/>
    </xf>
    <xf numFmtId="164" fontId="18" fillId="0" borderId="25" xfId="4" applyNumberFormat="1" applyBorder="1" applyProtection="1">
      <protection locked="0"/>
    </xf>
    <xf numFmtId="164" fontId="0" fillId="0" borderId="36" xfId="2" applyFont="1" applyBorder="1" applyProtection="1">
      <protection locked="0"/>
    </xf>
    <xf numFmtId="0" fontId="18" fillId="0" borderId="27" xfId="4" applyBorder="1" applyAlignment="1" applyProtection="1">
      <alignment horizontal="center"/>
      <protection locked="0"/>
    </xf>
    <xf numFmtId="164" fontId="0" fillId="0" borderId="15" xfId="2" applyFont="1" applyBorder="1" applyProtection="1">
      <protection locked="0"/>
    </xf>
    <xf numFmtId="10" fontId="0" fillId="0" borderId="15" xfId="3" applyNumberFormat="1" applyFont="1" applyBorder="1" applyProtection="1">
      <protection locked="0"/>
    </xf>
    <xf numFmtId="0" fontId="18" fillId="0" borderId="0" xfId="4" applyFont="1" applyFill="1" applyAlignment="1" applyProtection="1">
      <alignment vertical="top" wrapText="1"/>
      <protection locked="0"/>
    </xf>
    <xf numFmtId="0" fontId="18" fillId="0" borderId="0" xfId="4" applyFont="1" applyFill="1" applyAlignment="1" applyProtection="1">
      <alignment horizontal="left" vertical="top" wrapText="1"/>
      <protection locked="0"/>
    </xf>
    <xf numFmtId="0" fontId="18" fillId="0" borderId="0" xfId="4" applyFill="1" applyAlignment="1" applyProtection="1">
      <alignment horizontal="left" vertical="top" wrapText="1"/>
      <protection locked="0"/>
    </xf>
    <xf numFmtId="0" fontId="18" fillId="0" borderId="0" xfId="4" applyFont="1" applyFill="1" applyAlignment="1" applyProtection="1">
      <alignment horizontal="left" vertical="top" wrapText="1"/>
      <protection locked="0"/>
    </xf>
    <xf numFmtId="0" fontId="19" fillId="0" borderId="22" xfId="4" applyFont="1" applyBorder="1" applyAlignment="1" applyProtection="1">
      <alignment horizontal="center"/>
      <protection locked="0"/>
    </xf>
    <xf numFmtId="166" fontId="18" fillId="0" borderId="0" xfId="4" applyNumberFormat="1" applyProtection="1">
      <protection locked="0"/>
    </xf>
    <xf numFmtId="10" fontId="18" fillId="0" borderId="0" xfId="3" applyNumberFormat="1" applyProtection="1">
      <protection locked="0"/>
    </xf>
    <xf numFmtId="164" fontId="24" fillId="37" borderId="45" xfId="85" applyFont="1" applyFill="1" applyBorder="1" applyAlignment="1" applyProtection="1">
      <alignment horizontal="right" vertical="center"/>
    </xf>
    <xf numFmtId="174" fontId="24" fillId="37" borderId="23" xfId="85" applyNumberFormat="1" applyFont="1" applyFill="1" applyBorder="1" applyAlignment="1" applyProtection="1">
      <alignment horizontal="right" vertical="center"/>
      <protection locked="0"/>
    </xf>
    <xf numFmtId="0" fontId="28" fillId="0" borderId="0" xfId="4" applyFont="1" applyFill="1" applyAlignment="1" applyProtection="1">
      <alignment horizontal="right" vertical="center"/>
      <protection locked="0"/>
    </xf>
    <xf numFmtId="0" fontId="27" fillId="0" borderId="0" xfId="4" applyFont="1" applyFill="1" applyAlignment="1" applyProtection="1">
      <alignment horizontal="right" vertical="center"/>
      <protection locked="0"/>
    </xf>
    <xf numFmtId="177" fontId="24" fillId="36" borderId="43" xfId="46" applyNumberFormat="1" applyFont="1" applyFill="1" applyBorder="1" applyAlignment="1" applyProtection="1">
      <alignment horizontal="right" vertical="center"/>
      <protection locked="0"/>
    </xf>
    <xf numFmtId="10" fontId="29" fillId="0" borderId="42" xfId="86" applyNumberFormat="1" applyFont="1" applyBorder="1" applyAlignment="1" applyProtection="1">
      <alignment horizontal="right" vertical="center"/>
    </xf>
    <xf numFmtId="164" fontId="28" fillId="36" borderId="43" xfId="85" applyNumberFormat="1" applyFont="1" applyFill="1" applyBorder="1" applyAlignment="1" applyProtection="1">
      <alignment horizontal="right" vertical="center"/>
      <protection locked="0"/>
    </xf>
    <xf numFmtId="178" fontId="24" fillId="36" borderId="43" xfId="46" applyNumberFormat="1" applyFont="1" applyFill="1" applyBorder="1" applyAlignment="1" applyProtection="1">
      <alignment horizontal="right" vertical="center"/>
      <protection locked="0"/>
    </xf>
    <xf numFmtId="0" fontId="25" fillId="0" borderId="0" xfId="0" applyFont="1"/>
    <xf numFmtId="0" fontId="18" fillId="0" borderId="0" xfId="4" applyProtection="1">
      <protection locked="0"/>
    </xf>
    <xf numFmtId="0" fontId="19" fillId="0" borderId="0" xfId="4" applyFont="1" applyProtection="1">
      <protection locked="0"/>
    </xf>
    <xf numFmtId="0" fontId="28" fillId="0" borderId="43" xfId="4" applyFont="1" applyFill="1" applyBorder="1" applyAlignment="1" applyProtection="1">
      <alignment horizontal="right" vertical="center"/>
    </xf>
    <xf numFmtId="0" fontId="28" fillId="0" borderId="0" xfId="4" applyFont="1" applyBorder="1" applyAlignment="1" applyProtection="1">
      <alignment horizontal="right" vertical="center"/>
      <protection locked="0"/>
    </xf>
    <xf numFmtId="166" fontId="28" fillId="0" borderId="43" xfId="4" applyNumberFormat="1" applyFont="1" applyFill="1" applyBorder="1" applyAlignment="1" applyProtection="1">
      <alignment horizontal="right" vertical="center"/>
      <protection locked="0"/>
    </xf>
    <xf numFmtId="0" fontId="28" fillId="36" borderId="0" xfId="4" applyFont="1" applyFill="1" applyAlignment="1" applyProtection="1">
      <alignment horizontal="right" vertical="center"/>
      <protection locked="0"/>
    </xf>
    <xf numFmtId="166" fontId="28" fillId="0" borderId="43" xfId="41" applyNumberFormat="1" applyFont="1" applyFill="1" applyBorder="1" applyAlignment="1" applyProtection="1">
      <alignment horizontal="right" vertical="center"/>
      <protection locked="0"/>
    </xf>
    <xf numFmtId="0" fontId="28" fillId="0" borderId="0" xfId="4" applyFont="1" applyAlignment="1" applyProtection="1">
      <alignment horizontal="right" vertical="center"/>
      <protection locked="0"/>
    </xf>
    <xf numFmtId="0" fontId="28" fillId="37" borderId="23" xfId="4" applyFont="1" applyFill="1" applyBorder="1" applyAlignment="1" applyProtection="1">
      <alignment horizontal="right" vertical="center"/>
      <protection locked="0"/>
    </xf>
    <xf numFmtId="166" fontId="28" fillId="36" borderId="43" xfId="41" applyNumberFormat="1" applyFont="1" applyFill="1" applyBorder="1" applyAlignment="1" applyProtection="1">
      <alignment horizontal="right" vertical="center"/>
      <protection locked="0"/>
    </xf>
    <xf numFmtId="0" fontId="27" fillId="36" borderId="0" xfId="4" applyFont="1" applyFill="1" applyAlignment="1" applyProtection="1">
      <alignment horizontal="right" vertical="center"/>
      <protection locked="0"/>
    </xf>
    <xf numFmtId="174" fontId="28" fillId="0" borderId="43" xfId="85" applyNumberFormat="1" applyFont="1" applyFill="1" applyBorder="1" applyAlignment="1" applyProtection="1">
      <alignment horizontal="right" vertical="center"/>
      <protection locked="0"/>
    </xf>
    <xf numFmtId="0" fontId="28" fillId="38" borderId="39" xfId="4" applyFont="1" applyFill="1" applyBorder="1" applyAlignment="1" applyProtection="1">
      <alignment horizontal="right" vertical="center"/>
      <protection locked="0"/>
    </xf>
    <xf numFmtId="0" fontId="27" fillId="0" borderId="0" xfId="4" applyFont="1" applyFill="1" applyBorder="1" applyAlignment="1" applyProtection="1">
      <alignment horizontal="right" vertical="center"/>
      <protection locked="0"/>
    </xf>
    <xf numFmtId="0" fontId="28" fillId="0" borderId="0" xfId="4" applyFont="1" applyFill="1" applyBorder="1" applyAlignment="1" applyProtection="1">
      <alignment horizontal="right" vertical="center"/>
      <protection locked="0"/>
    </xf>
    <xf numFmtId="174" fontId="24" fillId="36" borderId="43" xfId="85" applyNumberFormat="1" applyFont="1" applyFill="1" applyBorder="1" applyAlignment="1" applyProtection="1">
      <alignment horizontal="right" vertical="center"/>
      <protection locked="0"/>
    </xf>
    <xf numFmtId="174" fontId="28" fillId="36" borderId="43" xfId="85" applyNumberFormat="1" applyFont="1" applyFill="1" applyBorder="1" applyAlignment="1" applyProtection="1">
      <alignment horizontal="right" vertical="center"/>
      <protection locked="0"/>
    </xf>
    <xf numFmtId="164" fontId="24" fillId="0" borderId="42" xfId="85" applyFont="1" applyBorder="1" applyAlignment="1" applyProtection="1">
      <alignment horizontal="right" vertical="center"/>
    </xf>
    <xf numFmtId="164" fontId="27" fillId="37" borderId="45" xfId="4" applyNumberFormat="1" applyFont="1" applyFill="1" applyBorder="1" applyAlignment="1" applyProtection="1">
      <alignment horizontal="right" vertical="center"/>
    </xf>
    <xf numFmtId="164" fontId="28" fillId="38" borderId="39" xfId="85" applyFont="1" applyFill="1" applyBorder="1" applyAlignment="1" applyProtection="1">
      <alignment horizontal="right" vertical="center"/>
    </xf>
    <xf numFmtId="164" fontId="27" fillId="0" borderId="41" xfId="4" applyNumberFormat="1" applyFont="1" applyFill="1" applyBorder="1" applyAlignment="1" applyProtection="1">
      <alignment horizontal="right" vertical="center"/>
    </xf>
    <xf numFmtId="164" fontId="28" fillId="0" borderId="41" xfId="4" applyNumberFormat="1" applyFont="1" applyFill="1" applyBorder="1" applyAlignment="1" applyProtection="1">
      <alignment horizontal="right" vertical="center"/>
    </xf>
    <xf numFmtId="164" fontId="30" fillId="0" borderId="41" xfId="4" applyNumberFormat="1" applyFont="1" applyFill="1" applyBorder="1" applyAlignment="1" applyProtection="1">
      <alignment horizontal="right" vertical="center"/>
    </xf>
    <xf numFmtId="164" fontId="28" fillId="0" borderId="43" xfId="4" applyNumberFormat="1" applyFont="1" applyBorder="1" applyAlignment="1" applyProtection="1">
      <alignment horizontal="right" vertical="center"/>
    </xf>
    <xf numFmtId="10" fontId="24" fillId="0" borderId="42" xfId="86" applyNumberFormat="1" applyFont="1" applyBorder="1" applyAlignment="1" applyProtection="1">
      <alignment horizontal="right" vertical="center"/>
    </xf>
    <xf numFmtId="10" fontId="27" fillId="37" borderId="45" xfId="86" applyNumberFormat="1" applyFont="1" applyFill="1" applyBorder="1" applyAlignment="1" applyProtection="1">
      <alignment horizontal="right" vertical="center"/>
    </xf>
    <xf numFmtId="10" fontId="28" fillId="38" borderId="40" xfId="86" applyNumberFormat="1" applyFont="1" applyFill="1" applyBorder="1" applyAlignment="1" applyProtection="1">
      <alignment horizontal="right" vertical="center"/>
    </xf>
    <xf numFmtId="164" fontId="27" fillId="0" borderId="43" xfId="4" applyNumberFormat="1" applyFont="1" applyFill="1" applyBorder="1" applyAlignment="1" applyProtection="1">
      <alignment horizontal="right" vertical="center"/>
    </xf>
    <xf numFmtId="164" fontId="28" fillId="0" borderId="43" xfId="4" applyNumberFormat="1" applyFont="1" applyFill="1" applyBorder="1" applyAlignment="1" applyProtection="1">
      <alignment horizontal="right" vertical="center"/>
    </xf>
    <xf numFmtId="164" fontId="30" fillId="0" borderId="43" xfId="4" applyNumberFormat="1" applyFont="1" applyFill="1" applyBorder="1" applyAlignment="1" applyProtection="1">
      <alignment horizontal="right" vertical="center"/>
    </xf>
    <xf numFmtId="9" fontId="28" fillId="0" borderId="43" xfId="4" applyNumberFormat="1" applyFont="1" applyFill="1" applyBorder="1" applyAlignment="1" applyProtection="1">
      <alignment horizontal="right" vertical="center"/>
    </xf>
    <xf numFmtId="9" fontId="28" fillId="0" borderId="0" xfId="4" applyNumberFormat="1" applyFont="1" applyFill="1" applyBorder="1" applyAlignment="1" applyProtection="1">
      <alignment horizontal="right" vertical="center"/>
    </xf>
    <xf numFmtId="0" fontId="27" fillId="0" borderId="43" xfId="4" applyFont="1" applyFill="1" applyBorder="1" applyAlignment="1" applyProtection="1">
      <alignment horizontal="right" vertical="center"/>
    </xf>
    <xf numFmtId="9" fontId="27" fillId="0" borderId="43" xfId="4" applyNumberFormat="1" applyFont="1" applyFill="1" applyBorder="1" applyAlignment="1" applyProtection="1">
      <alignment horizontal="right" vertical="center"/>
    </xf>
    <xf numFmtId="0" fontId="28" fillId="0" borderId="0" xfId="4" applyFont="1" applyFill="1" applyBorder="1" applyAlignment="1" applyProtection="1">
      <alignment horizontal="right" vertical="center"/>
    </xf>
    <xf numFmtId="164" fontId="24" fillId="36" borderId="43" xfId="85" applyNumberFormat="1" applyFont="1" applyFill="1" applyBorder="1" applyAlignment="1" applyProtection="1">
      <alignment horizontal="right" vertical="center"/>
      <protection locked="0"/>
    </xf>
    <xf numFmtId="175" fontId="24" fillId="36" borderId="43" xfId="85" applyNumberFormat="1" applyFont="1" applyFill="1" applyBorder="1" applyAlignment="1" applyProtection="1">
      <alignment horizontal="right" vertical="center"/>
      <protection locked="0"/>
    </xf>
    <xf numFmtId="0" fontId="28" fillId="0" borderId="43" xfId="4" applyFont="1" applyFill="1" applyBorder="1" applyAlignment="1" applyProtection="1">
      <alignment horizontal="right" vertical="center"/>
      <protection locked="0"/>
    </xf>
    <xf numFmtId="0" fontId="25" fillId="0" borderId="23" xfId="0" applyFont="1" applyBorder="1"/>
    <xf numFmtId="177" fontId="25" fillId="36" borderId="23" xfId="46" applyNumberFormat="1" applyFont="1" applyFill="1" applyBorder="1" applyAlignment="1" applyProtection="1">
      <alignment horizontal="right" vertical="center"/>
      <protection locked="0"/>
    </xf>
    <xf numFmtId="178" fontId="25" fillId="36" borderId="23" xfId="46" applyNumberFormat="1" applyFont="1" applyFill="1" applyBorder="1" applyAlignment="1" applyProtection="1">
      <alignment horizontal="right" vertical="center"/>
      <protection locked="0"/>
    </xf>
    <xf numFmtId="176" fontId="25" fillId="0" borderId="23" xfId="2" applyNumberFormat="1" applyFont="1" applyBorder="1"/>
    <xf numFmtId="180" fontId="25" fillId="36" borderId="23" xfId="46" applyNumberFormat="1" applyFont="1" applyFill="1" applyBorder="1" applyAlignment="1" applyProtection="1">
      <alignment horizontal="right" vertical="center"/>
      <protection locked="0"/>
    </xf>
    <xf numFmtId="0" fontId="26" fillId="39" borderId="32" xfId="0" applyFont="1" applyFill="1" applyBorder="1" applyAlignment="1">
      <alignment horizontal="centerContinuous"/>
    </xf>
    <xf numFmtId="0" fontId="26" fillId="39" borderId="47" xfId="0" applyFont="1" applyFill="1" applyBorder="1" applyAlignment="1">
      <alignment horizontal="centerContinuous"/>
    </xf>
    <xf numFmtId="0" fontId="26" fillId="39" borderId="46" xfId="0" applyFont="1" applyFill="1" applyBorder="1" applyAlignment="1">
      <alignment horizontal="centerContinuous"/>
    </xf>
    <xf numFmtId="0" fontId="26" fillId="0" borderId="30" xfId="0" applyFont="1" applyBorder="1" applyAlignment="1">
      <alignment wrapText="1"/>
    </xf>
    <xf numFmtId="0" fontId="26" fillId="0" borderId="50" xfId="0" applyFont="1" applyBorder="1" applyAlignment="1">
      <alignment wrapText="1"/>
    </xf>
    <xf numFmtId="177" fontId="26" fillId="0" borderId="45" xfId="0" applyNumberFormat="1" applyFont="1" applyBorder="1" applyAlignment="1">
      <alignment wrapText="1"/>
    </xf>
    <xf numFmtId="180" fontId="26" fillId="0" borderId="45" xfId="0" applyNumberFormat="1" applyFont="1" applyBorder="1" applyAlignment="1">
      <alignment wrapText="1"/>
    </xf>
    <xf numFmtId="0" fontId="26" fillId="39" borderId="23" xfId="0" applyFont="1" applyFill="1" applyBorder="1" applyAlignment="1">
      <alignment horizontal="center" wrapText="1"/>
    </xf>
    <xf numFmtId="179" fontId="25" fillId="0" borderId="0" xfId="0" applyNumberFormat="1" applyFont="1"/>
    <xf numFmtId="0" fontId="26" fillId="39" borderId="32" xfId="0" applyFont="1" applyFill="1" applyBorder="1" applyAlignment="1">
      <alignment horizontal="centerContinuous" wrapText="1"/>
    </xf>
    <xf numFmtId="0" fontId="26" fillId="39" borderId="47" xfId="0" applyFont="1" applyFill="1" applyBorder="1" applyAlignment="1">
      <alignment horizontal="centerContinuous" wrapText="1"/>
    </xf>
    <xf numFmtId="0" fontId="26" fillId="39" borderId="30" xfId="0" applyFont="1" applyFill="1" applyBorder="1" applyAlignment="1">
      <alignment horizontal="centerContinuous" wrapText="1"/>
    </xf>
    <xf numFmtId="0" fontId="26" fillId="39" borderId="50" xfId="0" applyFont="1" applyFill="1" applyBorder="1" applyAlignment="1">
      <alignment horizontal="centerContinuous" wrapText="1"/>
    </xf>
    <xf numFmtId="0" fontId="26" fillId="39" borderId="45" xfId="0" applyFont="1" applyFill="1" applyBorder="1" applyAlignment="1">
      <alignment horizontal="centerContinuous" wrapText="1"/>
    </xf>
    <xf numFmtId="0" fontId="26" fillId="39" borderId="23" xfId="0" applyFont="1" applyFill="1" applyBorder="1" applyAlignment="1">
      <alignment wrapText="1"/>
    </xf>
    <xf numFmtId="9" fontId="28" fillId="0" borderId="25" xfId="4" applyNumberFormat="1" applyFont="1" applyFill="1" applyBorder="1" applyAlignment="1" applyProtection="1">
      <alignment horizontal="right" vertical="center"/>
    </xf>
    <xf numFmtId="9" fontId="28" fillId="0" borderId="47" xfId="4" applyNumberFormat="1" applyFont="1" applyFill="1" applyBorder="1" applyAlignment="1" applyProtection="1">
      <alignment horizontal="right" vertical="center"/>
    </xf>
    <xf numFmtId="164" fontId="27" fillId="0" borderId="32" xfId="4" applyNumberFormat="1" applyFont="1" applyFill="1" applyBorder="1" applyAlignment="1" applyProtection="1">
      <alignment horizontal="right" vertical="center"/>
    </xf>
    <xf numFmtId="0" fontId="27" fillId="0" borderId="25" xfId="4" applyFont="1" applyFill="1" applyBorder="1" applyAlignment="1" applyProtection="1">
      <alignment horizontal="right" vertical="center"/>
    </xf>
    <xf numFmtId="9" fontId="27" fillId="0" borderId="25" xfId="4" applyNumberFormat="1" applyFont="1" applyFill="1" applyBorder="1" applyAlignment="1" applyProtection="1">
      <alignment horizontal="right" vertical="center"/>
    </xf>
    <xf numFmtId="0" fontId="27" fillId="0" borderId="47" xfId="4" applyFont="1" applyFill="1" applyBorder="1" applyAlignment="1" applyProtection="1">
      <alignment horizontal="right" vertical="center"/>
      <protection locked="0"/>
    </xf>
    <xf numFmtId="164" fontId="27" fillId="0" borderId="25" xfId="4" applyNumberFormat="1" applyFont="1" applyFill="1" applyBorder="1" applyAlignment="1" applyProtection="1">
      <alignment horizontal="right" vertical="center"/>
    </xf>
    <xf numFmtId="174" fontId="28" fillId="38" borderId="39" xfId="85" applyNumberFormat="1" applyFont="1" applyFill="1" applyBorder="1" applyAlignment="1" applyProtection="1">
      <alignment horizontal="right" vertical="center"/>
      <protection locked="0"/>
    </xf>
    <xf numFmtId="164" fontId="28" fillId="38" borderId="39" xfId="4" applyNumberFormat="1" applyFont="1" applyFill="1" applyBorder="1" applyAlignment="1" applyProtection="1">
      <alignment horizontal="right" vertical="center"/>
    </xf>
    <xf numFmtId="164" fontId="27" fillId="0" borderId="53" xfId="4" applyNumberFormat="1" applyFont="1" applyFill="1" applyBorder="1" applyAlignment="1" applyProtection="1">
      <alignment horizontal="right" vertical="center"/>
    </xf>
    <xf numFmtId="177" fontId="29" fillId="36" borderId="43" xfId="46" applyNumberFormat="1" applyFont="1" applyFill="1" applyBorder="1" applyAlignment="1" applyProtection="1">
      <alignment horizontal="right" vertical="center"/>
      <protection locked="0"/>
    </xf>
    <xf numFmtId="177" fontId="29" fillId="37" borderId="23" xfId="46" applyNumberFormat="1" applyFont="1" applyFill="1" applyBorder="1" applyAlignment="1" applyProtection="1">
      <alignment horizontal="right" vertical="center"/>
      <protection locked="0"/>
    </xf>
    <xf numFmtId="0" fontId="28" fillId="37" borderId="27" xfId="4" applyFont="1" applyFill="1" applyBorder="1" applyAlignment="1" applyProtection="1">
      <alignment horizontal="right" vertical="center"/>
    </xf>
    <xf numFmtId="0" fontId="28" fillId="37" borderId="34" xfId="4" applyFont="1" applyFill="1" applyBorder="1" applyAlignment="1" applyProtection="1">
      <alignment horizontal="right" vertical="center"/>
    </xf>
    <xf numFmtId="164" fontId="27" fillId="37" borderId="26" xfId="4" applyNumberFormat="1" applyFont="1" applyFill="1" applyBorder="1" applyAlignment="1" applyProtection="1">
      <alignment horizontal="right" vertical="center"/>
    </xf>
    <xf numFmtId="0" fontId="27" fillId="37" borderId="27" xfId="4" applyFont="1" applyFill="1" applyBorder="1" applyAlignment="1" applyProtection="1">
      <alignment horizontal="right" vertical="center"/>
    </xf>
    <xf numFmtId="0" fontId="27" fillId="37" borderId="34" xfId="4" applyFont="1" applyFill="1" applyBorder="1" applyAlignment="1" applyProtection="1">
      <alignment horizontal="right" vertical="center"/>
      <protection locked="0"/>
    </xf>
    <xf numFmtId="177" fontId="29" fillId="37" borderId="27" xfId="46" applyNumberFormat="1" applyFont="1" applyFill="1" applyBorder="1" applyAlignment="1" applyProtection="1">
      <alignment horizontal="right" vertical="center"/>
      <protection locked="0"/>
    </xf>
    <xf numFmtId="10" fontId="29" fillId="37" borderId="28" xfId="86" applyNumberFormat="1" applyFont="1" applyFill="1" applyBorder="1" applyAlignment="1" applyProtection="1">
      <alignment horizontal="right" vertical="center"/>
    </xf>
    <xf numFmtId="164" fontId="27" fillId="37" borderId="27" xfId="4" applyNumberFormat="1" applyFont="1" applyFill="1" applyBorder="1" applyAlignment="1" applyProtection="1">
      <alignment horizontal="right" vertical="center"/>
    </xf>
    <xf numFmtId="0" fontId="25" fillId="0" borderId="0" xfId="0" applyFont="1" applyAlignment="1">
      <alignment wrapText="1"/>
    </xf>
    <xf numFmtId="177" fontId="25" fillId="36" borderId="43" xfId="46" applyNumberFormat="1" applyFont="1" applyFill="1" applyBorder="1" applyAlignment="1" applyProtection="1">
      <alignment horizontal="right" vertical="center"/>
      <protection locked="0"/>
    </xf>
    <xf numFmtId="177" fontId="25" fillId="36" borderId="25" xfId="46" applyNumberFormat="1" applyFont="1" applyFill="1" applyBorder="1" applyAlignment="1" applyProtection="1">
      <alignment horizontal="right" vertical="center"/>
      <protection locked="0"/>
    </xf>
    <xf numFmtId="0" fontId="25" fillId="0" borderId="41" xfId="0" applyFont="1" applyBorder="1"/>
    <xf numFmtId="0" fontId="25" fillId="0" borderId="0" xfId="0" applyFont="1" applyBorder="1"/>
    <xf numFmtId="177" fontId="25" fillId="36" borderId="24" xfId="46" applyNumberFormat="1" applyFont="1" applyFill="1" applyBorder="1" applyAlignment="1" applyProtection="1">
      <alignment horizontal="right" vertical="center"/>
      <protection locked="0"/>
    </xf>
    <xf numFmtId="0" fontId="25" fillId="0" borderId="25" xfId="0" applyFont="1" applyBorder="1"/>
    <xf numFmtId="0" fontId="25" fillId="0" borderId="43" xfId="0" applyFont="1" applyBorder="1"/>
    <xf numFmtId="0" fontId="25" fillId="0" borderId="24" xfId="0" applyFont="1" applyBorder="1"/>
    <xf numFmtId="164" fontId="25" fillId="0" borderId="32" xfId="0" applyNumberFormat="1" applyFont="1" applyBorder="1"/>
    <xf numFmtId="164" fontId="25" fillId="0" borderId="41" xfId="0" applyNumberFormat="1" applyFont="1" applyBorder="1"/>
    <xf numFmtId="164" fontId="25" fillId="0" borderId="48" xfId="0" applyNumberFormat="1" applyFont="1" applyBorder="1"/>
    <xf numFmtId="0" fontId="26" fillId="39" borderId="46" xfId="0" applyFont="1" applyFill="1" applyBorder="1" applyAlignment="1">
      <alignment horizontal="centerContinuous" wrapText="1"/>
    </xf>
    <xf numFmtId="0" fontId="25" fillId="0" borderId="42" xfId="0" applyFont="1" applyBorder="1"/>
    <xf numFmtId="181" fontId="25" fillId="0" borderId="25" xfId="3" applyNumberFormat="1" applyFont="1" applyBorder="1"/>
    <xf numFmtId="181" fontId="25" fillId="0" borderId="43" xfId="3" applyNumberFormat="1" applyFont="1" applyBorder="1"/>
    <xf numFmtId="181" fontId="25" fillId="0" borderId="24" xfId="3" applyNumberFormat="1" applyFont="1" applyBorder="1"/>
    <xf numFmtId="0" fontId="26" fillId="39" borderId="25" xfId="0" applyFont="1" applyFill="1" applyBorder="1" applyAlignment="1">
      <alignment wrapText="1"/>
    </xf>
    <xf numFmtId="177" fontId="25" fillId="0" borderId="32" xfId="0" applyNumberFormat="1" applyFont="1" applyBorder="1"/>
    <xf numFmtId="177" fontId="25" fillId="0" borderId="41" xfId="0" applyNumberFormat="1" applyFont="1" applyBorder="1"/>
    <xf numFmtId="177" fontId="25" fillId="0" borderId="48" xfId="0" applyNumberFormat="1" applyFont="1" applyBorder="1"/>
    <xf numFmtId="177" fontId="25" fillId="0" borderId="25" xfId="0" applyNumberFormat="1" applyFont="1" applyBorder="1"/>
    <xf numFmtId="177" fontId="25" fillId="0" borderId="43" xfId="0" applyNumberFormat="1" applyFont="1" applyBorder="1"/>
    <xf numFmtId="177" fontId="25" fillId="0" borderId="24" xfId="0" applyNumberFormat="1" applyFont="1" applyBorder="1"/>
    <xf numFmtId="177" fontId="25" fillId="0" borderId="25" xfId="0" applyNumberFormat="1" applyFont="1" applyBorder="1" applyAlignment="1">
      <alignment wrapText="1"/>
    </xf>
    <xf numFmtId="177" fontId="25" fillId="0" borderId="43" xfId="0" applyNumberFormat="1" applyFont="1" applyBorder="1" applyAlignment="1">
      <alignment wrapText="1"/>
    </xf>
    <xf numFmtId="177" fontId="25" fillId="0" borderId="24" xfId="0" applyNumberFormat="1" applyFont="1" applyBorder="1" applyAlignment="1">
      <alignment wrapText="1"/>
    </xf>
    <xf numFmtId="0" fontId="25" fillId="0" borderId="41" xfId="0" applyFont="1" applyBorder="1" applyAlignment="1">
      <alignment wrapText="1"/>
    </xf>
    <xf numFmtId="0" fontId="19" fillId="0" borderId="0" xfId="4" applyFont="1" applyFill="1" applyAlignment="1" applyProtection="1">
      <alignment horizontal="left"/>
      <protection locked="0"/>
    </xf>
    <xf numFmtId="0" fontId="20" fillId="0" borderId="0" xfId="4" applyFont="1" applyFill="1" applyAlignment="1" applyProtection="1">
      <alignment horizontal="right" vertical="top"/>
      <protection locked="0"/>
    </xf>
    <xf numFmtId="178" fontId="26" fillId="0" borderId="23" xfId="0" applyNumberFormat="1" applyFont="1" applyBorder="1" applyAlignment="1">
      <alignment wrapText="1"/>
    </xf>
    <xf numFmtId="0" fontId="26" fillId="39" borderId="25" xfId="0" applyFont="1" applyFill="1" applyBorder="1" applyAlignment="1">
      <alignment horizontal="center" wrapText="1"/>
    </xf>
    <xf numFmtId="0" fontId="26" fillId="39" borderId="32" xfId="0" applyFont="1" applyFill="1" applyBorder="1" applyAlignment="1">
      <alignment horizontal="center" wrapText="1"/>
    </xf>
    <xf numFmtId="0" fontId="28" fillId="0" borderId="0" xfId="4" applyFont="1" applyProtection="1">
      <protection locked="0"/>
    </xf>
    <xf numFmtId="0" fontId="27" fillId="0" borderId="0" xfId="4" applyFont="1" applyAlignment="1" applyProtection="1">
      <alignment horizontal="left"/>
      <protection locked="0"/>
    </xf>
    <xf numFmtId="0" fontId="28" fillId="0" borderId="0" xfId="4" applyFont="1" applyAlignment="1" applyProtection="1">
      <alignment horizontal="right" vertical="top"/>
      <protection locked="0"/>
    </xf>
    <xf numFmtId="0" fontId="1" fillId="0" borderId="0" xfId="0" applyFont="1"/>
    <xf numFmtId="0" fontId="28" fillId="0" borderId="0" xfId="4" applyFont="1" applyProtection="1"/>
    <xf numFmtId="0" fontId="27" fillId="0" borderId="0" xfId="4" applyFont="1" applyAlignment="1" applyProtection="1"/>
    <xf numFmtId="0" fontId="27" fillId="0" borderId="0" xfId="4" applyFont="1" applyAlignment="1" applyProtection="1">
      <alignment horizontal="center"/>
    </xf>
    <xf numFmtId="0" fontId="27" fillId="0" borderId="23" xfId="4" applyFont="1" applyBorder="1" applyAlignment="1" applyProtection="1">
      <alignment horizontal="center"/>
    </xf>
    <xf numFmtId="0" fontId="27" fillId="0" borderId="45" xfId="4" applyFont="1" applyBorder="1" applyAlignment="1" applyProtection="1">
      <alignment horizontal="center"/>
    </xf>
    <xf numFmtId="0" fontId="27" fillId="0" borderId="43" xfId="4" applyFont="1" applyFill="1" applyBorder="1" applyAlignment="1" applyProtection="1">
      <alignment horizontal="center" wrapText="1"/>
    </xf>
    <xf numFmtId="0" fontId="27" fillId="0" borderId="42" xfId="4" applyFont="1" applyFill="1" applyBorder="1" applyAlignment="1" applyProtection="1">
      <alignment horizontal="center" wrapText="1"/>
    </xf>
    <xf numFmtId="0" fontId="28" fillId="0" borderId="32" xfId="4" applyFont="1" applyBorder="1" applyAlignment="1" applyProtection="1">
      <alignment vertical="top"/>
    </xf>
    <xf numFmtId="0" fontId="28" fillId="0" borderId="25" xfId="4" applyFont="1" applyFill="1" applyBorder="1" applyAlignment="1" applyProtection="1">
      <alignment vertical="top"/>
      <protection locked="0"/>
    </xf>
    <xf numFmtId="0" fontId="28" fillId="0" borderId="41" xfId="4" applyFont="1" applyBorder="1" applyAlignment="1" applyProtection="1">
      <alignment vertical="top"/>
    </xf>
    <xf numFmtId="0" fontId="28" fillId="0" borderId="43" xfId="4" applyFont="1" applyFill="1" applyBorder="1" applyAlignment="1" applyProtection="1">
      <alignment vertical="top"/>
      <protection locked="0"/>
    </xf>
    <xf numFmtId="0" fontId="28" fillId="0" borderId="41" xfId="4" applyFont="1" applyFill="1" applyBorder="1" applyAlignment="1" applyProtection="1">
      <alignment vertical="top"/>
    </xf>
    <xf numFmtId="0" fontId="27" fillId="37" borderId="30" xfId="4" applyFont="1" applyFill="1" applyBorder="1" applyAlignment="1" applyProtection="1">
      <alignment vertical="top"/>
    </xf>
    <xf numFmtId="0" fontId="28" fillId="37" borderId="23" xfId="4" applyFont="1" applyFill="1" applyBorder="1" applyAlignment="1" applyProtection="1">
      <alignment vertical="top"/>
      <protection locked="0"/>
    </xf>
    <xf numFmtId="0" fontId="28" fillId="0" borderId="41" xfId="4" applyFont="1" applyFill="1" applyBorder="1" applyAlignment="1" applyProtection="1">
      <alignment vertical="top" wrapText="1"/>
    </xf>
    <xf numFmtId="0" fontId="27" fillId="37" borderId="30" xfId="4" applyFont="1" applyFill="1" applyBorder="1" applyAlignment="1" applyProtection="1">
      <alignment vertical="top" wrapText="1"/>
    </xf>
    <xf numFmtId="0" fontId="28" fillId="37" borderId="23" xfId="4" applyFont="1" applyFill="1" applyBorder="1" applyProtection="1">
      <protection locked="0"/>
    </xf>
    <xf numFmtId="0" fontId="28" fillId="0" borderId="41" xfId="4" applyFont="1" applyBorder="1" applyAlignment="1" applyProtection="1">
      <alignment vertical="center"/>
    </xf>
    <xf numFmtId="0" fontId="28" fillId="0" borderId="48" xfId="4" applyFont="1" applyBorder="1" applyAlignment="1" applyProtection="1">
      <alignment horizontal="left" vertical="center" wrapText="1"/>
    </xf>
    <xf numFmtId="0" fontId="28" fillId="0" borderId="41" xfId="4" applyFont="1" applyBorder="1" applyAlignment="1" applyProtection="1">
      <alignment vertical="top" wrapText="1"/>
    </xf>
    <xf numFmtId="0" fontId="28" fillId="0" borderId="52" xfId="4" applyFont="1" applyBorder="1" applyProtection="1"/>
    <xf numFmtId="0" fontId="28" fillId="0" borderId="51" xfId="4" applyFont="1" applyFill="1" applyBorder="1" applyAlignment="1" applyProtection="1">
      <alignment vertical="top"/>
      <protection locked="0"/>
    </xf>
    <xf numFmtId="0" fontId="28" fillId="38" borderId="38" xfId="4" applyFont="1" applyFill="1" applyBorder="1" applyProtection="1"/>
    <xf numFmtId="0" fontId="28" fillId="38" borderId="39" xfId="4" applyFont="1" applyFill="1" applyBorder="1" applyAlignment="1" applyProtection="1">
      <alignment vertical="top"/>
      <protection locked="0"/>
    </xf>
    <xf numFmtId="0" fontId="27" fillId="0" borderId="0" xfId="4" applyFont="1" applyFill="1" applyAlignment="1" applyProtection="1">
      <alignment vertical="top"/>
    </xf>
    <xf numFmtId="0" fontId="28" fillId="0" borderId="53" xfId="4" applyFont="1" applyBorder="1" applyAlignment="1" applyProtection="1">
      <alignment vertical="top"/>
      <protection locked="0"/>
    </xf>
    <xf numFmtId="0" fontId="28" fillId="0" borderId="0" xfId="4" applyFont="1" applyFill="1" applyAlignment="1" applyProtection="1">
      <alignment horizontal="left" vertical="top" indent="1"/>
    </xf>
    <xf numFmtId="0" fontId="28" fillId="0" borderId="43" xfId="4" applyFont="1" applyBorder="1" applyAlignment="1" applyProtection="1">
      <alignment vertical="top"/>
      <protection locked="0"/>
    </xf>
    <xf numFmtId="0" fontId="27" fillId="0" borderId="0" xfId="4" applyFont="1" applyAlignment="1" applyProtection="1">
      <alignment horizontal="left" vertical="top" wrapText="1" indent="1"/>
    </xf>
    <xf numFmtId="0" fontId="32" fillId="0" borderId="0" xfId="4" applyFont="1" applyAlignment="1" applyProtection="1">
      <alignment horizontal="left" vertical="top" wrapText="1" indent="1"/>
    </xf>
    <xf numFmtId="0" fontId="27" fillId="37" borderId="26" xfId="4" applyFont="1" applyFill="1" applyBorder="1" applyAlignment="1" applyProtection="1">
      <alignment horizontal="left" vertical="top" wrapText="1"/>
    </xf>
    <xf numFmtId="0" fontId="28" fillId="37" borderId="27" xfId="4" applyFont="1" applyFill="1" applyBorder="1" applyAlignment="1" applyProtection="1">
      <alignment vertical="top"/>
      <protection locked="0"/>
    </xf>
    <xf numFmtId="0" fontId="28" fillId="0" borderId="50" xfId="4" applyFont="1" applyBorder="1" applyProtection="1"/>
    <xf numFmtId="0" fontId="27" fillId="0" borderId="23" xfId="4" applyFont="1" applyFill="1" applyBorder="1" applyAlignment="1" applyProtection="1">
      <alignment horizontal="center" wrapText="1"/>
    </xf>
    <xf numFmtId="0" fontId="27" fillId="0" borderId="45" xfId="4" applyFont="1" applyFill="1" applyBorder="1" applyAlignment="1" applyProtection="1">
      <alignment horizontal="center" wrapText="1"/>
    </xf>
    <xf numFmtId="0" fontId="28" fillId="0" borderId="0" xfId="4" applyFont="1" applyAlignment="1" applyProtection="1">
      <alignment vertical="top"/>
      <protection locked="0"/>
    </xf>
    <xf numFmtId="0" fontId="27" fillId="0" borderId="32" xfId="4" applyFont="1" applyFill="1" applyBorder="1" applyAlignment="1" applyProtection="1">
      <alignment vertical="top"/>
    </xf>
    <xf numFmtId="0" fontId="28" fillId="0" borderId="47" xfId="4" applyFont="1" applyBorder="1" applyAlignment="1" applyProtection="1">
      <alignment vertical="top"/>
      <protection locked="0"/>
    </xf>
    <xf numFmtId="0" fontId="28" fillId="0" borderId="41" xfId="4" applyFont="1" applyFill="1" applyBorder="1" applyAlignment="1" applyProtection="1">
      <alignment horizontal="left" vertical="top" indent="1"/>
    </xf>
    <xf numFmtId="0" fontId="28" fillId="0" borderId="0" xfId="4" applyFont="1" applyBorder="1" applyAlignment="1" applyProtection="1">
      <alignment vertical="top"/>
      <protection locked="0"/>
    </xf>
    <xf numFmtId="0" fontId="27" fillId="0" borderId="41" xfId="4" applyFont="1" applyBorder="1" applyAlignment="1" applyProtection="1">
      <alignment horizontal="left" vertical="top" wrapText="1" indent="1"/>
    </xf>
    <xf numFmtId="0" fontId="32" fillId="0" borderId="41" xfId="4" applyFont="1" applyBorder="1" applyAlignment="1" applyProtection="1">
      <alignment horizontal="left" vertical="top" wrapText="1" indent="1"/>
    </xf>
    <xf numFmtId="0" fontId="24" fillId="0" borderId="32" xfId="0" applyFont="1" applyBorder="1"/>
    <xf numFmtId="0" fontId="24" fillId="0" borderId="47" xfId="0" applyFont="1" applyBorder="1"/>
    <xf numFmtId="0" fontId="24" fillId="0" borderId="46" xfId="0" applyFont="1" applyBorder="1"/>
    <xf numFmtId="0" fontId="24" fillId="0" borderId="0" xfId="0" applyFont="1"/>
    <xf numFmtId="0" fontId="24" fillId="0" borderId="41" xfId="0" applyFont="1" applyBorder="1"/>
    <xf numFmtId="0" fontId="24" fillId="0" borderId="0" xfId="0" applyFont="1" applyBorder="1"/>
    <xf numFmtId="0" fontId="24" fillId="0" borderId="42" xfId="0" applyFont="1" applyBorder="1"/>
    <xf numFmtId="0" fontId="29" fillId="33" borderId="42" xfId="0" applyNumberFormat="1" applyFont="1" applyFill="1" applyBorder="1"/>
    <xf numFmtId="0" fontId="24" fillId="0" borderId="48" xfId="0" applyFont="1" applyBorder="1"/>
    <xf numFmtId="0" fontId="24" fillId="0" borderId="49" xfId="0" applyFont="1" applyBorder="1"/>
    <xf numFmtId="0" fontId="24" fillId="0" borderId="44" xfId="0" applyFont="1" applyBorder="1"/>
    <xf numFmtId="0" fontId="29" fillId="0" borderId="42" xfId="0" applyNumberFormat="1" applyFont="1" applyBorder="1"/>
    <xf numFmtId="0" fontId="24" fillId="0" borderId="44" xfId="0" applyNumberFormat="1" applyFont="1" applyBorder="1"/>
    <xf numFmtId="0" fontId="27" fillId="0" borderId="0" xfId="4" applyFont="1" applyAlignment="1" applyProtection="1">
      <alignment horizontal="right" vertical="top"/>
      <protection locked="0"/>
    </xf>
    <xf numFmtId="164" fontId="18" fillId="0" borderId="0" xfId="4" applyNumberFormat="1" applyProtection="1">
      <protection locked="0"/>
    </xf>
    <xf numFmtId="179" fontId="25" fillId="36" borderId="23" xfId="46" applyNumberFormat="1" applyFont="1" applyFill="1" applyBorder="1" applyAlignment="1" applyProtection="1">
      <alignment horizontal="right" vertical="center"/>
      <protection locked="0"/>
    </xf>
    <xf numFmtId="179" fontId="24" fillId="36" borderId="43" xfId="46" applyNumberFormat="1" applyFont="1" applyFill="1" applyBorder="1" applyAlignment="1" applyProtection="1">
      <alignment horizontal="right" vertical="center"/>
      <protection locked="0"/>
    </xf>
    <xf numFmtId="0" fontId="19" fillId="0" borderId="0" xfId="4" applyFont="1" applyFill="1" applyAlignment="1" applyProtection="1">
      <alignment horizontal="left" vertical="center" wrapText="1"/>
      <protection locked="0"/>
    </xf>
    <xf numFmtId="0" fontId="18" fillId="0" borderId="0" xfId="4" applyFont="1" applyFill="1" applyAlignment="1" applyProtection="1">
      <alignment horizontal="left" vertical="top" wrapText="1"/>
      <protection locked="0"/>
    </xf>
    <xf numFmtId="0" fontId="21" fillId="0" borderId="0" xfId="4" applyFont="1" applyAlignment="1" applyProtection="1">
      <alignment horizontal="center"/>
      <protection locked="0"/>
    </xf>
    <xf numFmtId="0" fontId="19" fillId="0" borderId="10" xfId="4" applyFont="1" applyBorder="1" applyAlignment="1" applyProtection="1">
      <alignment horizontal="center"/>
      <protection locked="0"/>
    </xf>
    <xf numFmtId="0" fontId="19" fillId="0" borderId="11" xfId="4" applyFont="1" applyBorder="1" applyAlignment="1" applyProtection="1">
      <alignment horizontal="center"/>
      <protection locked="0"/>
    </xf>
    <xf numFmtId="0" fontId="19" fillId="0" borderId="18" xfId="4" applyFont="1" applyBorder="1" applyAlignment="1" applyProtection="1">
      <alignment horizontal="center"/>
      <protection locked="0"/>
    </xf>
    <xf numFmtId="0" fontId="19" fillId="0" borderId="22" xfId="4" applyFont="1" applyBorder="1" applyAlignment="1" applyProtection="1">
      <alignment horizontal="center"/>
      <protection locked="0"/>
    </xf>
    <xf numFmtId="0" fontId="18" fillId="0" borderId="31" xfId="4" applyFont="1" applyBorder="1" applyAlignment="1" applyProtection="1">
      <alignment wrapText="1"/>
      <protection locked="0"/>
    </xf>
    <xf numFmtId="0" fontId="18" fillId="0" borderId="37" xfId="4" applyFont="1" applyBorder="1" applyAlignment="1" applyProtection="1">
      <alignment wrapText="1"/>
      <protection locked="0"/>
    </xf>
    <xf numFmtId="0" fontId="27" fillId="0" borderId="32" xfId="4" applyFont="1" applyBorder="1" applyAlignment="1" applyProtection="1">
      <alignment horizontal="center"/>
    </xf>
    <xf numFmtId="0" fontId="27" fillId="0" borderId="47" xfId="4" applyFont="1" applyBorder="1" applyAlignment="1" applyProtection="1">
      <alignment horizontal="center"/>
    </xf>
    <xf numFmtId="0" fontId="27" fillId="0" borderId="46" xfId="4" applyFont="1" applyBorder="1" applyAlignment="1" applyProtection="1">
      <alignment horizontal="center"/>
    </xf>
    <xf numFmtId="0" fontId="27" fillId="0" borderId="30" xfId="4" applyFont="1" applyBorder="1" applyAlignment="1" applyProtection="1">
      <alignment horizontal="center"/>
    </xf>
    <xf numFmtId="0" fontId="27" fillId="0" borderId="50" xfId="4" applyFont="1" applyBorder="1" applyAlignment="1" applyProtection="1">
      <alignment horizontal="center"/>
    </xf>
    <xf numFmtId="0" fontId="27" fillId="0" borderId="45" xfId="4" applyFont="1" applyBorder="1" applyAlignment="1" applyProtection="1">
      <alignment horizontal="center"/>
    </xf>
  </cellXfs>
  <cellStyles count="96">
    <cellStyle name="$" xfId="5"/>
    <cellStyle name="$.00" xfId="6"/>
    <cellStyle name="$_9. Rev2Cost_GDPIPI" xfId="7"/>
    <cellStyle name="$_9. Rev2Cost_GDPIPI 2" xfId="91"/>
    <cellStyle name="$_lists" xfId="8"/>
    <cellStyle name="$_lists 2" xfId="89"/>
    <cellStyle name="$_lists_4. Current Monthly Fixed Charge" xfId="9"/>
    <cellStyle name="$_Sheet4" xfId="10"/>
    <cellStyle name="$_Sheet4 2" xfId="93"/>
    <cellStyle name="$M" xfId="11"/>
    <cellStyle name="$M.00" xfId="12"/>
    <cellStyle name="$M_9. Rev2Cost_GDPIPI" xfId="13"/>
    <cellStyle name="20% - Accent1 2" xfId="14"/>
    <cellStyle name="20% - Accent2 2" xfId="15"/>
    <cellStyle name="20% - Accent3 2" xfId="16"/>
    <cellStyle name="20% - Accent4 2" xfId="17"/>
    <cellStyle name="20% - Accent5 2" xfId="18"/>
    <cellStyle name="20% - Accent6 2" xfId="19"/>
    <cellStyle name="40% - Accent1 2" xfId="20"/>
    <cellStyle name="40% - Accent2 2" xfId="21"/>
    <cellStyle name="40% - Accent3 2" xfId="22"/>
    <cellStyle name="40% - Accent4 2" xfId="23"/>
    <cellStyle name="40% - Accent5 2" xfId="24"/>
    <cellStyle name="40% - Accent6 2" xfId="25"/>
    <cellStyle name="60% - Accent1 2" xfId="26"/>
    <cellStyle name="60% - Accent2 2" xfId="27"/>
    <cellStyle name="60% - Accent3 2" xfId="28"/>
    <cellStyle name="60% - Accent4 2" xfId="29"/>
    <cellStyle name="60% - Accent5 2" xfId="30"/>
    <cellStyle name="60% - Accent6 2" xfId="31"/>
    <cellStyle name="Accent1 2" xfId="32"/>
    <cellStyle name="Accent2 2" xfId="33"/>
    <cellStyle name="Accent3 2" xfId="34"/>
    <cellStyle name="Accent4 2" xfId="35"/>
    <cellStyle name="Accent5 2" xfId="36"/>
    <cellStyle name="Accent6 2" xfId="37"/>
    <cellStyle name="Bad 2" xfId="38"/>
    <cellStyle name="Calculation 2" xfId="39"/>
    <cellStyle name="Check Cell 2" xfId="40"/>
    <cellStyle name="Comma" xfId="1" builtinId="3"/>
    <cellStyle name="Comma 2" xfId="41"/>
    <cellStyle name="Comma 3" xfId="42"/>
    <cellStyle name="Comma 3 2" xfId="43"/>
    <cellStyle name="Comma 4" xfId="44"/>
    <cellStyle name="Comma 4 2" xfId="88"/>
    <cellStyle name="Comma0" xfId="45"/>
    <cellStyle name="Currency" xfId="2" builtinId="4"/>
    <cellStyle name="Currency 2" xfId="46"/>
    <cellStyle name="Currency 2 2" xfId="85"/>
    <cellStyle name="Currency 3" xfId="47"/>
    <cellStyle name="Currency0" xfId="48"/>
    <cellStyle name="Date" xfId="49"/>
    <cellStyle name="Explanatory Text 2" xfId="50"/>
    <cellStyle name="Fixed" xfId="51"/>
    <cellStyle name="Good 2" xfId="52"/>
    <cellStyle name="Grey" xfId="53"/>
    <cellStyle name="Heading 1 2" xfId="54"/>
    <cellStyle name="Heading 2 2" xfId="55"/>
    <cellStyle name="Heading 3 2" xfId="56"/>
    <cellStyle name="Heading 4 2" xfId="57"/>
    <cellStyle name="Input [yellow]" xfId="58"/>
    <cellStyle name="Input 2" xfId="59"/>
    <cellStyle name="Linked Cell 2" xfId="60"/>
    <cellStyle name="M" xfId="61"/>
    <cellStyle name="M.00" xfId="62"/>
    <cellStyle name="M_9. Rev2Cost_GDPIPI" xfId="63"/>
    <cellStyle name="M_9. Rev2Cost_GDPIPI 2" xfId="92"/>
    <cellStyle name="M_lists" xfId="64"/>
    <cellStyle name="M_lists 2" xfId="90"/>
    <cellStyle name="M_lists_4. Current Monthly Fixed Charge" xfId="65"/>
    <cellStyle name="M_Sheet4" xfId="66"/>
    <cellStyle name="M_Sheet4 2" xfId="94"/>
    <cellStyle name="Neutral 2" xfId="67"/>
    <cellStyle name="Normal" xfId="0" builtinId="0"/>
    <cellStyle name="Normal - Style1" xfId="68"/>
    <cellStyle name="Normal 2" xfId="4"/>
    <cellStyle name="Normal 3" xfId="69"/>
    <cellStyle name="Normal 4" xfId="70"/>
    <cellStyle name="Normal 5" xfId="71"/>
    <cellStyle name="Normal 5 2" xfId="72"/>
    <cellStyle name="Normal 6" xfId="73"/>
    <cellStyle name="Note 2" xfId="74"/>
    <cellStyle name="Output 2" xfId="75"/>
    <cellStyle name="Percent" xfId="3" builtinId="5"/>
    <cellStyle name="Percent [2]" xfId="76"/>
    <cellStyle name="Percent 2" xfId="77"/>
    <cellStyle name="Percent 2 2" xfId="86"/>
    <cellStyle name="Percent 3" xfId="78"/>
    <cellStyle name="Percent 3 2" xfId="79"/>
    <cellStyle name="Percent 4" xfId="80"/>
    <cellStyle name="Percent 5" xfId="84"/>
    <cellStyle name="Percent 6" xfId="87"/>
    <cellStyle name="Percent 7" xfId="95"/>
    <cellStyle name="Title 2" xfId="81"/>
    <cellStyle name="Total 2" xfId="82"/>
    <cellStyle name="Warning Text 2" xfId="8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5.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4.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externalLink" Target="externalLinks/externalLink7.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styles" Target="styles.xml"/><Relationship Id="rId27"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Applications%20Department\Department%20Applications\Application%20Review%20Process\Rec%20%231%20-%20Application%20Filing%20Requirements\Testing%20Protocols%20for%20Models%20and%20Appendices\2014%20IRM%20Rate%20Generator_V2.3_FOR%20TESTING.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AbramoMa\AppData\Local\Microsoft\Windows\Temporary%20Internet%20Files\Content.Outlook\B6TDOTQJ\2016_Filing_Requirements_Chapter2_Appendices_Accounting%20Updated_kcr_sv.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180164\Downloads\Woodstock%202016_Filing_Requirements_Chapter2_Appendices.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nts1\amar$\My%20Documents\EXCEL\COSA\COSA_Unbundling%20(MEA)\Mea_UCA_test.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Applications%20Department\Department%20Applications\Rates\2013%20Electricity%20Rates\$Models\Final%202013%20IRM%20RG.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Home\Market%20Operations\Department%20Applications\Reports\Rates\Electricity%20Rates%20-%20Billing%20Determinants%20Database\2012%20IRM%20DEVELOPMENT\2012%20IRM%20MODEL%20(2ND%20AND%203RD).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nts1\eichsteller$\My%20Documents\EXCEL\COSA\COSA_Unbundling%20(MEA)\Mea_UCA_tes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rmation Sheet"/>
      <sheetName val="2. Table of Contents"/>
      <sheetName val="3. Rate Class Selection"/>
      <sheetName val="4. Current Tariff Schedule"/>
      <sheetName val="4. Hidden"/>
      <sheetName val="5. 2014 Continuity Schedule"/>
      <sheetName val="6. Billing Det. for Def-Var"/>
      <sheetName val="6. hidden"/>
      <sheetName val="7. Allocating Def-Var Balances"/>
      <sheetName val="8. Calculation of Def-Var RR"/>
      <sheetName val="9. Rev2Cost_GDPIPI"/>
      <sheetName val="9. hidden"/>
      <sheetName val="10. Other Charges &amp; LF"/>
      <sheetName val="11. Proposed Rates"/>
      <sheetName val="11. Hidden"/>
      <sheetName val="12. Summary Sheet"/>
      <sheetName val="13. Final Tariff Schedule"/>
      <sheetName val="14. Bill Impacts"/>
      <sheetName val="14. Bill Impacts1"/>
      <sheetName val="lists"/>
    </sheetNames>
    <sheetDataSet>
      <sheetData sheetId="0"/>
      <sheetData sheetId="1"/>
      <sheetData sheetId="2">
        <row r="19">
          <cell r="B19" t="str">
            <v>UNMETERED SCATTERED LOAD</v>
          </cell>
        </row>
        <row r="20">
          <cell r="B20" t="str">
            <v>RESIDENTIAL URBAN</v>
          </cell>
        </row>
        <row r="21">
          <cell r="B21" t="str">
            <v>microFIT</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Table of Contents"/>
      <sheetName val="COS Flowchart"/>
      <sheetName val="List of Key References"/>
      <sheetName val="App.2-AA_Capital Projects"/>
      <sheetName val="App.2-AB_Capital Expenditures"/>
      <sheetName val="App. 2-AC_Customer Engagement"/>
      <sheetName val="App.2-B_Acct Instructions"/>
      <sheetName val="App.2-BA_Fixed Asset Cont"/>
      <sheetName val="Appendix 2-BB Service Life  "/>
      <sheetName val="App.2-CA_OldCGAAP_DepExp_2012"/>
      <sheetName val="App.2-CB_NewCGAAP_DepExp_2012"/>
      <sheetName val="App.2-CC_NewCGAAP_DepExp_2013"/>
      <sheetName val="App.2-CD_MIFRS_DepExp_2014"/>
      <sheetName val="App.2-CE_MIFRS_DepExp_2015"/>
      <sheetName val="App.2-CF_MIFRS_DepExp_2016"/>
      <sheetName val="App.2-CG_OldCGAAP_DepExp_2013"/>
      <sheetName val="App.2-CH_NewCGAAP_DepExp_2013"/>
      <sheetName val="App.2-CI_MIFRS_DepExp_2014"/>
      <sheetName val="App.2-CJ MIFRS_DepExp_2015"/>
      <sheetName val="App.2-CK MIFRS_DepExp_2016"/>
      <sheetName val="App.2-D_Overhead"/>
      <sheetName val="App.2-EA_Account 1575 (2015)"/>
      <sheetName val="App.2-EB_Account 1576 (2012)"/>
      <sheetName val="App.2-EC_Account 1576 (2013)"/>
      <sheetName val="App.2-FA Proposed REG Invest."/>
      <sheetName val="App.2-FB Calc of REG Improvemnt"/>
      <sheetName val="App.2-FC Calc of REG Expansion"/>
      <sheetName val="App.2-FA Proposed REG Inves (2"/>
      <sheetName val="App.2-FB Calc of REG Improv (2"/>
      <sheetName val="App.2-FC Calc of REG Expans (2"/>
      <sheetName val="App.2-G SQI"/>
      <sheetName val="App.2-H_Other_Oper_Rev"/>
      <sheetName val="App.2-I LF_CDM_WF_OLD"/>
      <sheetName val="App_2-I LF_CDM"/>
      <sheetName val="App.2-IA_Act_Frcst_Data"/>
      <sheetName val="App.2-JA_OM&amp;A_Summary_Analys"/>
      <sheetName val="App.2-JB_OM&amp;A_Cost _Drivers"/>
      <sheetName val="App.2-JC_OMA Programs"/>
      <sheetName val="App.2-K_Employee Costs"/>
      <sheetName val="App.2-L_OM&amp;A_per_Cust_FTEE"/>
      <sheetName val="App.2-M_Regulatory_Costs"/>
      <sheetName val="App.2-N_Corp_Cost_Allocation"/>
      <sheetName val="App.2-OA Capital Structure"/>
      <sheetName val="App.2-OB_Debt Instruments"/>
      <sheetName val="App.2-P_Cost_Allocatio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W_Bill Impacts_hidden"/>
      <sheetName val="App.2-Y_MIFRS Summary Impacts"/>
      <sheetName val="App. 2-Z_Tariff"/>
      <sheetName val="lists"/>
      <sheetName val="lists2"/>
      <sheetName val="Sheet19"/>
      <sheetName val="Sheet1"/>
    </sheetNames>
    <sheetDataSet>
      <sheetData sheetId="0">
        <row r="3">
          <cell r="AA3" t="str">
            <v>Algoma Power Inc.</v>
          </cell>
        </row>
        <row r="4">
          <cell r="AA4" t="str">
            <v>Atikokan Hydro Inc.</v>
          </cell>
        </row>
        <row r="5">
          <cell r="AA5" t="str">
            <v>Attawapiskat Power Corporation</v>
          </cell>
        </row>
        <row r="6">
          <cell r="AA6" t="str">
            <v>Bluewater Power Distribution Corporation</v>
          </cell>
        </row>
        <row r="7">
          <cell r="AA7" t="str">
            <v>Brant County Power Inc.</v>
          </cell>
        </row>
        <row r="8">
          <cell r="AA8" t="str">
            <v>Brantford Power Inc.</v>
          </cell>
        </row>
        <row r="9">
          <cell r="AA9" t="str">
            <v>Burlington Hydro Inc.</v>
          </cell>
        </row>
        <row r="10">
          <cell r="AA10" t="str">
            <v>Cambridge and North Dumfries Hydro Inc.</v>
          </cell>
        </row>
        <row r="11">
          <cell r="AA11" t="str">
            <v>Canadian Niagara Power Inc.</v>
          </cell>
        </row>
        <row r="12">
          <cell r="AA12" t="str">
            <v>Centre Wellington Hydro Ltd.</v>
          </cell>
        </row>
        <row r="13">
          <cell r="AA13" t="str">
            <v>Chapleau Public Utilities Corporation</v>
          </cell>
        </row>
        <row r="14">
          <cell r="AA14" t="str">
            <v>COLLUS PowerStream Corp.</v>
          </cell>
        </row>
        <row r="15">
          <cell r="AA15" t="str">
            <v>Cooperative Hydro Embrun Inc.</v>
          </cell>
        </row>
        <row r="16">
          <cell r="AA16" t="str">
            <v>E.L.K. Energy Inc.</v>
          </cell>
        </row>
        <row r="17">
          <cell r="AA17" t="str">
            <v>Enersource Hydro Mississauga Inc.</v>
          </cell>
        </row>
        <row r="18">
          <cell r="AA18" t="str">
            <v>Entegrus Powerlines Inc.</v>
          </cell>
        </row>
        <row r="19">
          <cell r="AA19" t="str">
            <v>EnWin Utilities Ltd.</v>
          </cell>
        </row>
        <row r="20">
          <cell r="AA20" t="str">
            <v>Erie Thames Powerlines Corporation</v>
          </cell>
        </row>
        <row r="21">
          <cell r="AA21" t="str">
            <v>Espanola Regional Hydro Distribution Corporation</v>
          </cell>
        </row>
        <row r="22">
          <cell r="AA22" t="str">
            <v>Essex Powerlines Corporation</v>
          </cell>
        </row>
        <row r="23">
          <cell r="AA23" t="str">
            <v>Festival Hydro Inc.</v>
          </cell>
        </row>
        <row r="24">
          <cell r="AA24" t="str">
            <v>Fort Albany Power Corporation</v>
          </cell>
        </row>
        <row r="25">
          <cell r="AA25" t="str">
            <v>Fort Frances Power Corporation</v>
          </cell>
        </row>
        <row r="26">
          <cell r="E26" t="str">
            <v/>
          </cell>
          <cell r="AA26" t="str">
            <v>Greater Sudbury Hydro Inc.</v>
          </cell>
        </row>
        <row r="27">
          <cell r="AA27" t="str">
            <v>Grimsby Power Inc.</v>
          </cell>
        </row>
        <row r="28">
          <cell r="AA28" t="str">
            <v>Guelph Hydro Electric Systems Inc.</v>
          </cell>
        </row>
        <row r="29">
          <cell r="AA29" t="str">
            <v>Haldimand County Hydro Inc.</v>
          </cell>
        </row>
        <row r="30">
          <cell r="AA30" t="str">
            <v>Halton Hills Hydro Inc.</v>
          </cell>
        </row>
        <row r="31">
          <cell r="AA31" t="str">
            <v>Hearst Power Distribution Company Limited</v>
          </cell>
        </row>
        <row r="32">
          <cell r="AA32" t="str">
            <v>Horizon Utilities Corporation</v>
          </cell>
        </row>
        <row r="33">
          <cell r="AA33" t="str">
            <v>Hydro 2000 Inc.</v>
          </cell>
        </row>
        <row r="34">
          <cell r="AA34" t="str">
            <v>Hydro Hawkesbury Inc.</v>
          </cell>
        </row>
        <row r="35">
          <cell r="AA35" t="str">
            <v>Hydro One Brampton Networks Inc.</v>
          </cell>
        </row>
        <row r="36">
          <cell r="AA36" t="str">
            <v>Hydro One Networks Inc.</v>
          </cell>
        </row>
        <row r="37">
          <cell r="AA37" t="str">
            <v>Hydro One Remote Communities Inc.</v>
          </cell>
        </row>
        <row r="38">
          <cell r="AA38" t="str">
            <v>Hydro Ottawa Limited</v>
          </cell>
        </row>
        <row r="39">
          <cell r="AA39" t="str">
            <v>Innpower Corporation</v>
          </cell>
        </row>
        <row r="40">
          <cell r="AA40" t="str">
            <v>Kashechewan Power Corporation</v>
          </cell>
        </row>
        <row r="41">
          <cell r="AA41" t="str">
            <v>Kenora Hydro Electric Corporation Ltd.</v>
          </cell>
        </row>
        <row r="42">
          <cell r="AA42" t="str">
            <v>Kingston Hydro Corporation</v>
          </cell>
        </row>
        <row r="43">
          <cell r="AA43" t="str">
            <v>Kitchener-Wilmot Hydro Inc.</v>
          </cell>
        </row>
        <row r="44">
          <cell r="AA44" t="str">
            <v>Lakefront Utilities Inc.</v>
          </cell>
        </row>
        <row r="45">
          <cell r="AA45" t="str">
            <v>Lakeland Power Distribution Ltd.</v>
          </cell>
        </row>
        <row r="46">
          <cell r="AA46" t="str">
            <v>London Hydro Inc.</v>
          </cell>
        </row>
        <row r="47">
          <cell r="AA47" t="str">
            <v>Midland Power Utility Corporation</v>
          </cell>
        </row>
        <row r="48">
          <cell r="AA48" t="str">
            <v>Milton Hydro Distribution Inc.</v>
          </cell>
        </row>
        <row r="49">
          <cell r="AA49" t="str">
            <v>Newmarket-Tay Power Distribution Ltd.</v>
          </cell>
        </row>
        <row r="50">
          <cell r="AA50" t="str">
            <v>Niagara Peninsula Energy Inc.</v>
          </cell>
        </row>
        <row r="51">
          <cell r="AA51" t="str">
            <v>Niagara-on-the-Lake Hydro Inc.</v>
          </cell>
        </row>
        <row r="52">
          <cell r="AA52" t="str">
            <v>Norfolk Power Distribution Inc.</v>
          </cell>
        </row>
        <row r="53">
          <cell r="AA53" t="str">
            <v>North Bay Hydro Distribution Limited</v>
          </cell>
        </row>
        <row r="54">
          <cell r="AA54" t="str">
            <v>Northern Ontario Wires Inc.</v>
          </cell>
        </row>
        <row r="55">
          <cell r="AA55" t="str">
            <v>Oakville Hydro Electricity Distribution Inc.</v>
          </cell>
        </row>
        <row r="56">
          <cell r="AA56" t="str">
            <v>Orangeville Hydro Limited</v>
          </cell>
        </row>
        <row r="57">
          <cell r="AA57" t="str">
            <v>Orillia Power Distribution Corporation</v>
          </cell>
        </row>
        <row r="58">
          <cell r="AA58" t="str">
            <v>Oshawa PUC Networks Inc.</v>
          </cell>
        </row>
        <row r="59">
          <cell r="AA59" t="str">
            <v>Ottawa River Power Corporation</v>
          </cell>
        </row>
        <row r="60">
          <cell r="AA60" t="str">
            <v>Peterborough Distribution Incorporated</v>
          </cell>
        </row>
        <row r="61">
          <cell r="AA61" t="str">
            <v>PowerStream Inc.</v>
          </cell>
        </row>
        <row r="62">
          <cell r="AA62" t="str">
            <v>PUC Distribution Inc.</v>
          </cell>
        </row>
        <row r="63">
          <cell r="AA63" t="str">
            <v>Renfrew Hydro Inc.</v>
          </cell>
        </row>
        <row r="64">
          <cell r="AA64" t="str">
            <v>Rideau St. Lawrence Distribution Inc.</v>
          </cell>
        </row>
        <row r="65">
          <cell r="AA65" t="str">
            <v>Sioux Lookout Hydro Inc.</v>
          </cell>
        </row>
        <row r="66">
          <cell r="AA66" t="str">
            <v>St. Thomas Energy Inc.</v>
          </cell>
        </row>
        <row r="67">
          <cell r="AA67" t="str">
            <v>Thunder Bay Hydro Electricity Distribution Inc.</v>
          </cell>
        </row>
        <row r="68">
          <cell r="AA68" t="str">
            <v>Tillsonburg Hydro Inc.</v>
          </cell>
        </row>
        <row r="69">
          <cell r="AA69" t="str">
            <v>Toronto Hydro-Electric System Limited</v>
          </cell>
        </row>
        <row r="70">
          <cell r="AA70" t="str">
            <v>Veridian Connections Inc.</v>
          </cell>
        </row>
        <row r="71">
          <cell r="AA71" t="str">
            <v>Wasaga Distribution Inc.</v>
          </cell>
        </row>
        <row r="72">
          <cell r="AA72" t="str">
            <v>Waterloo North Hydro Inc.</v>
          </cell>
        </row>
        <row r="73">
          <cell r="AA73" t="str">
            <v>Welland Hydro-Electric System Corp.</v>
          </cell>
        </row>
        <row r="74">
          <cell r="AA74" t="str">
            <v>Wellington North Power Inc.</v>
          </cell>
        </row>
        <row r="75">
          <cell r="AA75" t="str">
            <v>West Coast Huron Energy Inc.</v>
          </cell>
        </row>
        <row r="76">
          <cell r="AA76" t="str">
            <v>Westario Power Inc.</v>
          </cell>
        </row>
        <row r="77">
          <cell r="AA77" t="str">
            <v>Whitby Hydro Electric Corporation</v>
          </cell>
        </row>
        <row r="78">
          <cell r="AA78" t="str">
            <v>Woodstock Hydro Services Inc.</v>
          </cell>
        </row>
        <row r="79">
          <cell r="AA79" t="str">
            <v>Ottawa River Power Corporation</v>
          </cell>
        </row>
        <row r="80">
          <cell r="AA80" t="str">
            <v>Parry Sound Power Corporation</v>
          </cell>
        </row>
        <row r="81">
          <cell r="AA81" t="str">
            <v>Peterborough Distribution Inc.</v>
          </cell>
        </row>
        <row r="82">
          <cell r="AA82" t="str">
            <v>PowerStream Inc.</v>
          </cell>
        </row>
        <row r="83">
          <cell r="AA83" t="str">
            <v>PUC Distribution Inc.</v>
          </cell>
        </row>
        <row r="84">
          <cell r="AA84" t="str">
            <v>Renfrew Hydro Inc.</v>
          </cell>
        </row>
        <row r="85">
          <cell r="AA85" t="str">
            <v>Rideau St. Lawrence Distribution Inc.</v>
          </cell>
        </row>
        <row r="86">
          <cell r="AA86" t="str">
            <v>St. Thomas Energy Inc.</v>
          </cell>
        </row>
        <row r="87">
          <cell r="AA87" t="str">
            <v>Sioux Lookout Hydro Inc.</v>
          </cell>
        </row>
        <row r="88">
          <cell r="AA88" t="str">
            <v>Thunder Bay Hydro Electricity Distribution</v>
          </cell>
        </row>
        <row r="89">
          <cell r="AA89" t="str">
            <v>Tillsonburg Hydro Inc.</v>
          </cell>
        </row>
        <row r="90">
          <cell r="AA90" t="str">
            <v>Toronto Hydro-Electric System Limited</v>
          </cell>
        </row>
        <row r="91">
          <cell r="AA91" t="str">
            <v>Veridian Connections Inc.</v>
          </cell>
        </row>
        <row r="92">
          <cell r="AA92" t="str">
            <v>Wasaga Distribution Inc.</v>
          </cell>
        </row>
        <row r="93">
          <cell r="AA93" t="str">
            <v>Waterloo North Hydro Inc.</v>
          </cell>
        </row>
        <row r="94">
          <cell r="AA94" t="str">
            <v>Welland Hydro Electric System Corp.</v>
          </cell>
        </row>
        <row r="95">
          <cell r="AA95" t="str">
            <v>Wellington North Power Inc.</v>
          </cell>
        </row>
        <row r="96">
          <cell r="AA96" t="str">
            <v>West Coast Huron Energy Inc.</v>
          </cell>
        </row>
        <row r="97">
          <cell r="AA97" t="str">
            <v>Westario Power Inc.</v>
          </cell>
        </row>
        <row r="98">
          <cell r="AA98" t="str">
            <v>Whitby Hydro Electric Corporation</v>
          </cell>
        </row>
        <row r="99">
          <cell r="AA99" t="str">
            <v>Woodstock Hydro Services Inc.</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ow r="1">
          <cell r="A1" t="str">
            <v>DISTRIBUTED GENERATION [DGEN]</v>
          </cell>
          <cell r="I1" t="str">
            <v>A Standby Service Charge will be applied for a month where standby power is not provided. The applicable rate is the approved Distribution Volumetric Rate of the applicable service class and is applied to gross metered demand or contracted amount, whichever is greater. A monthly administration charge of $200, for simple metering arrangements, or $500, for complex metering arrangements, will also be applied.</v>
          </cell>
          <cell r="Z1" t="str">
            <v>Account History</v>
          </cell>
          <cell r="AA1" t="str">
            <v>Account set up charge/change of occupancy charge (plus credit agency costs if applicable)</v>
          </cell>
        </row>
        <row r="2">
          <cell r="A2" t="str">
            <v>EMBEDDED DISTRIBUTOR</v>
          </cell>
          <cell r="I2" t="str">
            <v>Distribution Volumetric Rate</v>
          </cell>
          <cell r="L2" t="str">
            <v>Total Loss Factor – Primary Metered Customer</v>
          </cell>
          <cell r="N2" t="str">
            <v>$</v>
          </cell>
          <cell r="Z2" t="str">
            <v>Account set up charge/change of occupancy charge</v>
          </cell>
          <cell r="AA2" t="str">
            <v>Administrative Billing Charge</v>
          </cell>
        </row>
        <row r="3">
          <cell r="A3" t="str">
            <v>EMBEDDED DISTRIBUTOR</v>
          </cell>
          <cell r="I3" t="str">
            <v>Distribution Volumetric Rate - $/kW of contracted amount</v>
          </cell>
          <cell r="L3" t="str">
            <v>Total Loss Factor – Primary Metered Customer &lt; 5,000 kW</v>
          </cell>
          <cell r="N3" t="str">
            <v>$/kWh</v>
          </cell>
          <cell r="Z3" t="str">
            <v>Account set up charge/change of occupancy charge (plus credit agency costs if applicable – Residential)</v>
          </cell>
          <cell r="AA3" t="str">
            <v>Bell Canada Pole Rentals</v>
          </cell>
        </row>
        <row r="4">
          <cell r="A4" t="str">
            <v>FARMS - SINGLE PHASE ENERGY-BILLED [F1]</v>
          </cell>
          <cell r="I4" t="str">
            <v>Distribution Wheeling Service Rate</v>
          </cell>
          <cell r="L4" t="str">
            <v>Total Loss Factor – Primary Metered Customer &gt; 5,000 kW</v>
          </cell>
          <cell r="N4" t="str">
            <v>$/kW</v>
          </cell>
          <cell r="Z4" t="str">
            <v>Account set up charge/change of occupancy charge (plus credit agency costs if applicable)</v>
          </cell>
          <cell r="AA4" t="str">
            <v>Clearance Pole Attachment charge $/pole/year</v>
          </cell>
        </row>
        <row r="5">
          <cell r="A5" t="str">
            <v>FARMS - THREE PHASE ENERGY-BILLED [F3]</v>
          </cell>
          <cell r="I5" t="str">
            <v>Electricity Rate</v>
          </cell>
          <cell r="L5" t="str">
            <v>Total Loss Factor – Secondary Metered Customer</v>
          </cell>
          <cell r="N5" t="str">
            <v>$/kVA</v>
          </cell>
          <cell r="Z5" t="str">
            <v>Arrears certificate</v>
          </cell>
          <cell r="AA5" t="str">
            <v>Collection of account charge – no disconnection</v>
          </cell>
        </row>
        <row r="6">
          <cell r="A6" t="str">
            <v>GENERAL SERVICE - COMMERCIAL</v>
          </cell>
          <cell r="I6" t="str">
            <v>Electricity Rate - All Additional kWh</v>
          </cell>
          <cell r="L6" t="str">
            <v>Total Loss Factor – Secondary Metered Customer &lt; 5,000 kW</v>
          </cell>
          <cell r="Z6" t="str">
            <v>Arrears certificate (credit reference)</v>
          </cell>
          <cell r="AA6" t="str">
            <v>Collection of account charge – no disconnection – after regular hours</v>
          </cell>
        </row>
        <row r="7">
          <cell r="A7" t="str">
            <v>GENERAL SERVICE - INSTITUTIONAL</v>
          </cell>
          <cell r="I7" t="str">
            <v>Electricity Rate - First 250 kWh</v>
          </cell>
        </row>
        <row r="8">
          <cell r="A8" t="str">
            <v>GENERAL SERVICE 1,000 TO 2,999 KW</v>
          </cell>
          <cell r="I8" t="str">
            <v>Electricity Rate -All Additional kWh</v>
          </cell>
          <cell r="L8" t="str">
            <v>Total Loss Factor – Secondary Metered Customer &gt; 5,000 kW</v>
          </cell>
          <cell r="Z8" t="str">
            <v>Charge to certify cheque</v>
          </cell>
          <cell r="AA8" t="str">
            <v>Collection of account charge – no disconnection - during regular business hours</v>
          </cell>
        </row>
        <row r="9">
          <cell r="A9" t="str">
            <v>GENERAL SERVICE 1,000 TO 4,999 KW</v>
          </cell>
          <cell r="I9" t="str">
            <v>Electricity Rate First 1,000 kWh</v>
          </cell>
          <cell r="L9" t="str">
            <v>Distribution Loss Factor - Secondary Metered Customer &lt; 5,000 kW</v>
          </cell>
          <cell r="Z9" t="str">
            <v>Collection of Account Charge – No Disconnection</v>
          </cell>
          <cell r="AA9" t="str">
            <v>Collection of account charge – no disconnection – during regular hours</v>
          </cell>
        </row>
        <row r="10">
          <cell r="A10" t="str">
            <v>GENERAL SERVICE 1,000 TO 4,999 KW - INTERVAL METERS</v>
          </cell>
          <cell r="I10" t="str">
            <v>Electricity Rate First 25,000 kWh</v>
          </cell>
          <cell r="L10" t="str">
            <v>Distribution Loss Factor - Secondary Metered Customer &gt; 5,000 kW</v>
          </cell>
          <cell r="Z10" t="str">
            <v>Credit Card Convenience Charge</v>
          </cell>
          <cell r="AA10" t="str">
            <v>Collection/Disconnection/Load Limiter/Reconnection – if in Community</v>
          </cell>
        </row>
        <row r="11">
          <cell r="A11" t="str">
            <v>GENERAL SERVICE 1,000 TO 4,999 KW (CO-GENERATION)</v>
          </cell>
          <cell r="I11" t="str">
            <v>Electricity Rate First 6,000 kWh</v>
          </cell>
          <cell r="L11" t="str">
            <v>Distribution Loss Factor - Primary Metered Customer &lt; 5,000 kW</v>
          </cell>
          <cell r="Z11" t="str">
            <v>Credit check (plus credit agency costs)</v>
          </cell>
          <cell r="AA11" t="str">
            <v>Credit Card Convenience Charge</v>
          </cell>
        </row>
        <row r="12">
          <cell r="A12" t="str">
            <v>GENERAL SERVICE 1,500 TO 4,999 KW</v>
          </cell>
          <cell r="I12" t="str">
            <v>Electricity Rate Next 1,500 kWh</v>
          </cell>
          <cell r="L12" t="str">
            <v>Distribution Loss Factor - Primary Metered Customer &gt; 5,000 kW</v>
          </cell>
          <cell r="Z12" t="str">
            <v>Credit reference Letter</v>
          </cell>
          <cell r="AA12" t="str">
            <v>Disconnect/Reconnect at meter – after regular hours</v>
          </cell>
        </row>
        <row r="13">
          <cell r="A13" t="str">
            <v>GENERAL SERVICE 2,500 TO 4,999 KW</v>
          </cell>
          <cell r="I13" t="str">
            <v>General Service 1,500 to 4,999 kW customer</v>
          </cell>
        </row>
        <row r="14">
          <cell r="A14" t="str">
            <v>GENERAL SERVICE 3,000 TO 4,999 KW</v>
          </cell>
          <cell r="I14" t="str">
            <v>General Service 50 to 1,499 kW customer</v>
          </cell>
          <cell r="L14" t="str">
            <v>Total Loss Factor - Embedded Distributor</v>
          </cell>
          <cell r="Z14" t="str">
            <v>Credit reference/credit check (plus credit agency costs – General Service)</v>
          </cell>
          <cell r="AA14" t="str">
            <v>Disconnect/Reconnect at meter – during regular hours</v>
          </cell>
        </row>
        <row r="15">
          <cell r="A15" t="str">
            <v>GENERAL SERVICE 3,000 TO 4,999 KW - INTERMEDIATE USE</v>
          </cell>
          <cell r="I15" t="str">
            <v>General Service Large Use customer</v>
          </cell>
          <cell r="L15" t="str">
            <v>Total Loss Factor – Embedded Distributor – Hydro One Networks Inc.</v>
          </cell>
          <cell r="Z15" t="str">
            <v>Credit Reference/credit check (plus credit agency costs)</v>
          </cell>
          <cell r="AA15" t="str">
            <v>Disconnect/Reconnect at pole – after regular hours</v>
          </cell>
        </row>
        <row r="16">
          <cell r="A16" t="str">
            <v>GENERAL SERVICE 3,000 TO 4,999 KW - INTERVAL METERED</v>
          </cell>
          <cell r="I16" t="str">
            <v>Green Energy Act Initiatives Funding Adder - effective until the date of the next cost of service-based rate order</v>
          </cell>
          <cell r="Z16" t="str">
            <v>Dispute Test – Commercial self contained -- MC</v>
          </cell>
          <cell r="AA16" t="str">
            <v>Disconnect/Reconnect at pole – during regular hours</v>
          </cell>
        </row>
        <row r="17">
          <cell r="A17" t="str">
            <v>GENERAL SERVICE 3,000 TO 4,999 KW - TIME OF USE</v>
          </cell>
          <cell r="I17" t="str">
            <v>Green Energy Act Plan Funding Adder</v>
          </cell>
          <cell r="Z17" t="str">
            <v>Dispute Test – Commercial TT -- MC</v>
          </cell>
          <cell r="AA17" t="str">
            <v>Disconnect/Reconnect Charge – At Meter – After Hours</v>
          </cell>
        </row>
        <row r="18">
          <cell r="A18" t="str">
            <v>GENERAL SERVICE 50 TO 1,000 KW</v>
          </cell>
          <cell r="I18" t="str">
            <v>Green Energy Act Plan Funding Adder - effective April 1, 2013 until March 31, 2014</v>
          </cell>
          <cell r="Z18" t="str">
            <v>Dispute Test – Residential</v>
          </cell>
          <cell r="AA18" t="str">
            <v>Disconnect/Reconnect Charge – At Meter – During Regular Hours</v>
          </cell>
        </row>
        <row r="19">
          <cell r="A19" t="str">
            <v>GENERAL SERVICE 50 TO 1,000 KW - INTERVAL METERS</v>
          </cell>
          <cell r="I19" t="str">
            <v>Green Energy Act Plan Funding Adder - effective April 1, 2014 until March 31, 2015</v>
          </cell>
          <cell r="Z19" t="str">
            <v>Duplicate Invoices for previous billing</v>
          </cell>
          <cell r="AA19" t="str">
            <v>Disconnect/Reconnect Charge – At Pole – After Hours</v>
          </cell>
        </row>
        <row r="20">
          <cell r="A20" t="str">
            <v>GENERAL SERVICE 50 TO 1,000 KW - NON INTERVAL METERS</v>
          </cell>
          <cell r="I20" t="str">
            <v>ICM Rate Rider (2014) - in effect until the effective date of the next cost of service rates</v>
          </cell>
          <cell r="Z20" t="str">
            <v>Easement Letter</v>
          </cell>
          <cell r="AA20" t="str">
            <v>Disconnect/Reconnect Charge – At Pole – During Regular Hours</v>
          </cell>
        </row>
        <row r="21">
          <cell r="A21" t="str">
            <v>GENERAL SERVICE 50 TO 1,499 KW</v>
          </cell>
          <cell r="I21" t="str">
            <v>Low Voltage Service Charge</v>
          </cell>
          <cell r="Z21" t="str">
            <v>Income Tax Letter</v>
          </cell>
          <cell r="AA21" t="str">
            <v>Disconnect/Reconnect Charges for non payment of account - At Meter After Hours</v>
          </cell>
        </row>
        <row r="22">
          <cell r="A22" t="str">
            <v>GENERAL SERVICE 50 TO 1,499 KW - INTERVAL METERED</v>
          </cell>
          <cell r="I22" t="str">
            <v>Low Voltage Service Rate</v>
          </cell>
          <cell r="Z22" t="str">
            <v>Interval Meter Interrogation</v>
          </cell>
          <cell r="AA22" t="str">
            <v>Disconnect/Reconnect charges for non payment of account – at meter after regular hours</v>
          </cell>
        </row>
        <row r="23">
          <cell r="A23" t="str">
            <v>GENERAL SERVICE 50 TO 2,499 KW</v>
          </cell>
          <cell r="I23" t="str">
            <v>Low Voltage Volumetric Rate</v>
          </cell>
          <cell r="Z23" t="str">
            <v>Interval meter request change</v>
          </cell>
          <cell r="AA23" t="str">
            <v>Disconnect/Reconnect Charges for non payment of account - At Meter During Regular Hours</v>
          </cell>
        </row>
        <row r="24">
          <cell r="A24" t="str">
            <v>GENERAL SERVICE 50 TO 2,999 KW</v>
          </cell>
          <cell r="I24" t="str">
            <v>LRAM Rate Rider - Effective Until April 30, 2015</v>
          </cell>
          <cell r="Z24" t="str">
            <v>Legal letter</v>
          </cell>
          <cell r="AA24" t="str">
            <v>Disconnect/Reconnect charges for non payment of account – at meter during regular hours</v>
          </cell>
        </row>
        <row r="25">
          <cell r="A25" t="str">
            <v>GENERAL SERVICE 50 TO 2,999 KW - INTERVAL METERED</v>
          </cell>
          <cell r="I25" t="str">
            <v>Minimum Distribution Charge - per KW of maximum billing demand in the previous 11 months</v>
          </cell>
          <cell r="Z25" t="str">
            <v>Legal letter charge</v>
          </cell>
          <cell r="AA25" t="str">
            <v>Disconnect/Reconnect charges for non payment of account – at pole after regular hours</v>
          </cell>
        </row>
        <row r="26">
          <cell r="A26" t="str">
            <v>GENERAL SERVICE 50 TO 2,999 KW - TIME OF USE</v>
          </cell>
          <cell r="I26" t="str">
            <v>Monthly Distribution Wheeling Service Rate - Dedicated LV Line</v>
          </cell>
          <cell r="Z26" t="str">
            <v>Meter dispute charge plus Measurement Canada fees (if meter found correct)</v>
          </cell>
          <cell r="AA26" t="str">
            <v>Disconnect/Reconnect charges for non payment of account – at pole during regular hours</v>
          </cell>
        </row>
        <row r="27">
          <cell r="A27" t="str">
            <v>GENERAL SERVICE 50 TO 4,999 KW</v>
          </cell>
          <cell r="I27" t="str">
            <v>Monthly Distribution Wheeling Service Rate - Hydro One Networks</v>
          </cell>
          <cell r="Z27" t="str">
            <v>Notification charge</v>
          </cell>
          <cell r="AA27" t="str">
            <v>Disconnect/Reconnection for &gt;300 volts - after regular hours</v>
          </cell>
        </row>
        <row r="28">
          <cell r="A28" t="str">
            <v>GENERAL SERVICE 50 TO 4,999 KW - INTERVAL METERED</v>
          </cell>
          <cell r="I28" t="str">
            <v>Monthly Distribution Wheeling Service Rate - Shared LV Line</v>
          </cell>
          <cell r="Z28" t="str">
            <v>Pulling Post Dated Cheques</v>
          </cell>
          <cell r="AA28" t="str">
            <v>Disconnect/Reconnection for &gt;300 volts - during regular hours</v>
          </cell>
        </row>
        <row r="29">
          <cell r="A29" t="str">
            <v>GENERAL SERVICE 50 TO 4,999 KW - TIME OF USE</v>
          </cell>
          <cell r="I29" t="str">
            <v>Monthly Distribution Wheeling Service Rate - Waterloo North Hydro</v>
          </cell>
          <cell r="Z29" t="str">
            <v>Request for other billing information</v>
          </cell>
          <cell r="AA29" t="str">
            <v>Disposal of Concrete Poles</v>
          </cell>
        </row>
        <row r="30">
          <cell r="A30" t="str">
            <v>GENERAL SERVICE 50 TO 4,999 KW (COGENERATION)</v>
          </cell>
          <cell r="I30" t="str">
            <v>Rate Rider for Application of Tax Change - effective until April 30, 2015</v>
          </cell>
          <cell r="Z30" t="str">
            <v>Returned cheque (plus bank charges)</v>
          </cell>
          <cell r="AA30" t="str">
            <v>Dispute Test – Commercial TT -- MC</v>
          </cell>
        </row>
        <row r="31">
          <cell r="A31" t="str">
            <v>GENERAL SERVICE 50 TO 4,999 KW (FORMERLY TIME OF USE)</v>
          </cell>
          <cell r="I31" t="str">
            <v>Rate Rider for Application of Tax Change - effective until December 31, 2014</v>
          </cell>
          <cell r="Z31" t="str">
            <v>Returned cheque charge (plus bank charges)</v>
          </cell>
          <cell r="AA31" t="str">
            <v>Install/Remove load control device – after regular hours</v>
          </cell>
        </row>
        <row r="32">
          <cell r="A32" t="str">
            <v>GENERAL SERVICE 50 TO 499 KW</v>
          </cell>
          <cell r="I32" t="str">
            <v>Rate Rider for Application of Tax Change (2014) - effective until April 30, 2015</v>
          </cell>
          <cell r="Z32" t="str">
            <v>Special Billing Service (aggregation)</v>
          </cell>
          <cell r="AA32" t="str">
            <v>Install/Remove load control device – during regular hours</v>
          </cell>
        </row>
        <row r="33">
          <cell r="A33" t="str">
            <v>GENERAL SERVICE 50 TO 699 KW</v>
          </cell>
          <cell r="I33" t="str">
            <v>Rate Rider for Application of Tax Change (per connection) - effective until April 30, 2015</v>
          </cell>
          <cell r="Z33" t="str">
            <v>Special Billing Service (sub-metering charge per meter)</v>
          </cell>
          <cell r="AA33" t="str">
            <v>Interval Meter Interrogation</v>
          </cell>
        </row>
        <row r="34">
          <cell r="A34" t="str">
            <v>GENERAL SERVICE 50 TO 999 KW</v>
          </cell>
          <cell r="I34" t="str">
            <v>Rate Rider for CGAAP Accounting Changes (2013) - effective until April 30, 2017</v>
          </cell>
          <cell r="Z34" t="str">
            <v>Special meter reads</v>
          </cell>
          <cell r="AA34" t="str">
            <v>Interval Meter Load Management Tool Charge $/month</v>
          </cell>
        </row>
        <row r="35">
          <cell r="A35" t="str">
            <v>GENERAL SERVICE 50 TO 999 KW - INTERVAL METERED</v>
          </cell>
          <cell r="I35" t="str">
            <v>Rate Rider for Deferral/Variance Account (2012) - effective unitl April 30, 2016</v>
          </cell>
          <cell r="Z35" t="str">
            <v>Statement of Account</v>
          </cell>
          <cell r="AA35" t="str">
            <v>Interval meter request change</v>
          </cell>
        </row>
        <row r="36">
          <cell r="A36" t="str">
            <v>GENERAL SERVICE 500 TO 4,999 KW</v>
          </cell>
          <cell r="I36" t="str">
            <v>Rate Rider for Deferral/Variance Account Disposition – effective until April 30, 2015</v>
          </cell>
          <cell r="Z36" t="str">
            <v>Unprocessed Payment Charge (plus bank charges)</v>
          </cell>
          <cell r="AA36" t="str">
            <v>Late Payment – per annum</v>
          </cell>
        </row>
        <row r="37">
          <cell r="A37" t="str">
            <v>GENERAL SERVICE 700 TO 4,999 KW</v>
          </cell>
          <cell r="I37" t="str">
            <v>Rate Rider for Deferral/Variance Account Disposition (2012) - effective until April 30, 2016</v>
          </cell>
          <cell r="AA37" t="str">
            <v>Late Payment – per month</v>
          </cell>
        </row>
        <row r="38">
          <cell r="A38" t="str">
            <v>GENERAL SERVICE DEMAND BILLED (50 KW AND ABOVE) [GSD]</v>
          </cell>
          <cell r="I38" t="str">
            <v>Rate Rider for Deferral/Variance Account Disposition (2013) - effective until April 30, 2014</v>
          </cell>
          <cell r="AA38" t="str">
            <v>Layout fees</v>
          </cell>
        </row>
        <row r="39">
          <cell r="A39" t="str">
            <v>GENERAL SERVICE ENERGY BILLED (LESS THAN 50 KW) [GSE-METERED]</v>
          </cell>
          <cell r="I39" t="str">
            <v>Rate Rider for Deferral/Variance Account Disposition (2014) - effective until April 28, 2016</v>
          </cell>
          <cell r="AA39" t="str">
            <v>Meter dispute charge plus Measurement Canada fees (if meter found correct)</v>
          </cell>
        </row>
        <row r="40">
          <cell r="A40" t="str">
            <v>GENERAL SERVICE ENERGY BILLED (LESS THAN TO 50 KW) [GSE-UNMETERED]</v>
          </cell>
          <cell r="I40" t="str">
            <v>Rate Rider for Deferral/Variance Account Disposition (2014) - effective until April 30, 2015</v>
          </cell>
          <cell r="AA40" t="str">
            <v>Meter Interrogation Charge</v>
          </cell>
        </row>
        <row r="41">
          <cell r="A41" t="str">
            <v>GENERAL SERVICE EQUAL TO OR GREATER THAN 1,500 KW</v>
          </cell>
          <cell r="I41" t="str">
            <v>Rate Rider for Deferral/Variance Account Disposition (2014) - effective until Decembeer 31, 2015</v>
          </cell>
          <cell r="AA41" t="str">
            <v>Missed Service Appointment</v>
          </cell>
        </row>
        <row r="42">
          <cell r="A42" t="str">
            <v>GENERAL SERVICE EQUAL TO OR GREATER THAN 1,500 KW - INTERVAL METERED</v>
          </cell>
          <cell r="I42" t="str">
            <v>Rate Rider for Deferral/Variance Account Disposition (2014) - effective until December 30, 2015</v>
          </cell>
          <cell r="AA42" t="str">
            <v>Norfolk Pole Rentals – Billed</v>
          </cell>
        </row>
        <row r="43">
          <cell r="A43" t="str">
            <v>GENERAL SERVICE GREATER THAN 1,000 KW</v>
          </cell>
          <cell r="I43" t="str">
            <v>Rate Rider for Deferral/Variance Account Disposition (2014) - effective until December 31, 2014</v>
          </cell>
          <cell r="AA43" t="str">
            <v>Optional Interval/TOU Meter charge $/month</v>
          </cell>
        </row>
        <row r="44">
          <cell r="A44" t="str">
            <v>GENERAL SERVICE GREATER THAN 50 kW - WMP</v>
          </cell>
          <cell r="I44" t="str">
            <v>Rate Rider for Deferral/Variance Account Disposition (2014) - effective until December 31, 2015</v>
          </cell>
          <cell r="AA44" t="str">
            <v>Overtime Locate</v>
          </cell>
        </row>
        <row r="45">
          <cell r="A45" t="str">
            <v>GENERAL SERVICE INTERMEDIATE 1,000 TO 4,999 KW</v>
          </cell>
          <cell r="I45" t="str">
            <v>Rate Rider for Deferral/Variance Account Dispositon (2012) - effective until April 30, 2016</v>
          </cell>
          <cell r="AA45" t="str">
            <v>Owner Requested Disconnection/Reconnection – after regular hours</v>
          </cell>
        </row>
        <row r="46">
          <cell r="A46" t="str">
            <v>GENERAL SERVICE INTERMEDIATE RATE CLASS 1,000 TO 4,999 KW (FORMERLY GENERAL SERVICE &gt; 50 KW CUSTOMERS)</v>
          </cell>
          <cell r="I46" t="str">
            <v>Rate Rider for Disposition of Accounting Changes Under CGAAP Account 1576 - effective until April 30, 2016</v>
          </cell>
          <cell r="AA46" t="str">
            <v>Owner Requested Disconnection/Reconnection – during regular hours</v>
          </cell>
        </row>
        <row r="47">
          <cell r="A47" t="str">
            <v>GENERAL SERVICE INTERMEDIATE RATE CLASS 1,000 TO 4,999 KW (FORMERLY LARGE USE CUSTOMERS)</v>
          </cell>
          <cell r="I47" t="str">
            <v>Rate Rider for Disposition of Deferral/Variance Accounts (2010) - effective until December 31, 2014</v>
          </cell>
          <cell r="AA47" t="str">
            <v>Returned cheque (plus bank charges)</v>
          </cell>
        </row>
        <row r="48">
          <cell r="A48" t="str">
            <v>GENERAL SERVICE LESS THAN 50 KW</v>
          </cell>
          <cell r="I48" t="str">
            <v>Rate Rider for Disposition of Deferral/Variance Accounts (2011) - effective until April 30, 2015</v>
          </cell>
          <cell r="AA48" t="str">
            <v>Rural system expansion / line connection fee</v>
          </cell>
        </row>
        <row r="49">
          <cell r="A49" t="str">
            <v>GENERAL SERVICE LESS THAN 50 KW - SINGLE PHASE ENERGY-BILLED [G1]</v>
          </cell>
          <cell r="I49" t="str">
            <v>Rate Rider for Disposition of Deferral/Variance Accounts (2011) - effective until April 30, 2016</v>
          </cell>
          <cell r="AA49" t="str">
            <v>Same Day Open Trench</v>
          </cell>
        </row>
        <row r="50">
          <cell r="A50" t="str">
            <v>GENERAL SERVICE LESS THAN 50 KW - THREE PHASE ENERGY-BILLED [G3]</v>
          </cell>
          <cell r="I50" t="str">
            <v>Rate Rider for Disposition of Deferral/Variance Accounts (2012) - effective until April 30, 2014</v>
          </cell>
          <cell r="AA50" t="str">
            <v>Scheduled Day Open Trench</v>
          </cell>
        </row>
        <row r="51">
          <cell r="A51" t="str">
            <v>GENERAL SERVICE LESS THAN 50 KW - TRANSMISSION CLASS ENERGY-BILLED [T]</v>
          </cell>
          <cell r="I51" t="str">
            <v>Rate Rider for Disposition of Deferral/Variance Accounts (2012) - effective until April 30, 2015</v>
          </cell>
          <cell r="AA51" t="str">
            <v>Service call – after regular hours</v>
          </cell>
        </row>
        <row r="52">
          <cell r="A52" t="str">
            <v>GENERAL SERVICE LESS THAN 50 KW - URBAN ENERGY-BILLED [UG]</v>
          </cell>
          <cell r="I52" t="str">
            <v>Rate Rider for Disposition of Deferral/Variance Accounts (2012) - effective until April 30, 2016</v>
          </cell>
          <cell r="AA52" t="str">
            <v>Service call – customer owned equipment</v>
          </cell>
        </row>
        <row r="53">
          <cell r="A53" t="str">
            <v>GENERAL SERVICE SINGLE PHASE - G1</v>
          </cell>
          <cell r="I53" t="str">
            <v>Rate Rider for Disposition of Deferral/Variance Accounts (2012) - effective until August 31, 2014</v>
          </cell>
          <cell r="AA53" t="str">
            <v>Service Call – Customer-owned Equipment – After Regular Hours</v>
          </cell>
        </row>
        <row r="54">
          <cell r="A54" t="str">
            <v>GENERAL SERVICE THREE PHASE - G3</v>
          </cell>
          <cell r="I54" t="str">
            <v>Rate Rider for Disposition of Deferral/Variance Accounts (2012) - effective until December 31, 2015</v>
          </cell>
          <cell r="AA54" t="str">
            <v>Service Call – Customer-owned Equipment – During Regular Hours</v>
          </cell>
        </row>
        <row r="55">
          <cell r="A55" t="str">
            <v>INTERMEDIATE USERS</v>
          </cell>
          <cell r="I55" t="str">
            <v>Rate Rider for Disposition of Deferral/Variance Accounts (2012) - effective until December 31, 2016 Applicable only in the former service area of Clinton Power</v>
          </cell>
          <cell r="AA55" t="str">
            <v>Service Charge for onsite interrogation of interval meter due to customer phone line failure - required weekly until line repaired $ 6</v>
          </cell>
        </row>
        <row r="56">
          <cell r="A56" t="str">
            <v>INTERMEDIATE WITH SELF GENERATION</v>
          </cell>
          <cell r="I56" t="str">
            <v>Rate Rider for Disposition of Deferral/Variance Accounts (2012) – effective until December 31, 2016 Applicable only in the former service area of Clinton Power</v>
          </cell>
          <cell r="AA56" t="str">
            <v>Service Layout - Commercial</v>
          </cell>
        </row>
        <row r="57">
          <cell r="A57" t="str">
            <v>LARGE USE</v>
          </cell>
          <cell r="I57" t="str">
            <v>Rate Rider for Disposition of Deferral/Variance Accounts (2012) - effective until January 31, 2014</v>
          </cell>
          <cell r="AA57" t="str">
            <v>Service Layout - ResidentiaI</v>
          </cell>
        </row>
        <row r="58">
          <cell r="A58" t="str">
            <v>LARGE USE - 3TS</v>
          </cell>
          <cell r="I58" t="str">
            <v>Rate Rider for Disposition of Deferral/Variance Accounts (2012) - effective until June 30, 2014</v>
          </cell>
          <cell r="AA58" t="str">
            <v>Special Billing Service (sub-metering charge per meter)</v>
          </cell>
        </row>
        <row r="59">
          <cell r="A59" t="str">
            <v>LARGE USE - FORD ANNEX</v>
          </cell>
          <cell r="I59" t="str">
            <v>Rate Rider for Disposition of Deferral/Variance Accounts (2013) - Applicable only to Wholesale Market Participants - effective until April 30, 2015</v>
          </cell>
          <cell r="AA59" t="str">
            <v>Special meter reads</v>
          </cell>
        </row>
        <row r="60">
          <cell r="A60" t="str">
            <v>LARGE USE - REGULAR</v>
          </cell>
          <cell r="I60" t="str">
            <v>Rate Rider for Disposition of Deferral/Variance Accounts (2013) - effective until April 30, 2014</v>
          </cell>
          <cell r="AA60" t="str">
            <v>Specific Charge for Access to the Power Poles - $/pole/year</v>
          </cell>
        </row>
        <row r="61">
          <cell r="A61" t="str">
            <v>LARGE USE &gt; 5000 KW</v>
          </cell>
          <cell r="I61" t="str">
            <v>Rate Rider for Disposition of Deferral/Variance Accounts (2013) - effective until April 30, 2015</v>
          </cell>
          <cell r="AA61" t="str">
            <v>Specific Charge for Bell Canada Access to the Power Poles – per pole/year</v>
          </cell>
        </row>
        <row r="62">
          <cell r="A62" t="str">
            <v>microFIT</v>
          </cell>
          <cell r="I62" t="str">
            <v>Rate Rider for Disposition of Deferral/Variance Accounts (2013) - effective until April 30, 2015, not applicable to Wholesale Market Participants</v>
          </cell>
          <cell r="AA62" t="str">
            <v>Switching for company maintenance – Charge based on Time and Materials</v>
          </cell>
        </row>
        <row r="63">
          <cell r="A63" t="str">
            <v>RESIDENTIAL</v>
          </cell>
          <cell r="I63" t="str">
            <v>Rate Rider for Disposition of Deferral/Variance Accounts (2013) - effective until April 30, 2017</v>
          </cell>
          <cell r="AA63" t="str">
            <v>Temporary Service – Install &amp; remove – overhead – no transformer</v>
          </cell>
        </row>
        <row r="64">
          <cell r="A64" t="str">
            <v>RESIDENTIAL - HENSALL</v>
          </cell>
          <cell r="I64" t="str">
            <v>Rate Rider for Disposition of Deferral/Variance Accounts (2013) - effective until August 31, 2014</v>
          </cell>
          <cell r="AA64" t="str">
            <v>Temporary Service – Install &amp; remove – overhead – with transformer</v>
          </cell>
        </row>
        <row r="65">
          <cell r="A65" t="str">
            <v>RESIDENTIAL - HIGH DENSITY [R1]</v>
          </cell>
          <cell r="I65" t="str">
            <v>Rate Rider for Disposition of Deferral/Variance Accounts (2013) - effective until December 31, 2014</v>
          </cell>
          <cell r="AA65" t="str">
            <v>Temporary Service – Install &amp; remove – underground – no transformer</v>
          </cell>
        </row>
        <row r="66">
          <cell r="A66" t="str">
            <v>RESIDENTIAL - LOW DENSITY [R2]</v>
          </cell>
          <cell r="I66" t="str">
            <v>Rate Rider for Disposition of Deferral/Variance Accounts (2013) - effective until May 31, 2014</v>
          </cell>
          <cell r="AA66" t="str">
            <v>Temporary service install &amp; remove – overhead – no transformer</v>
          </cell>
        </row>
        <row r="67">
          <cell r="A67" t="str">
            <v>RESIDENTIAL - MEDIUM DENSITY [R1]</v>
          </cell>
          <cell r="I67" t="str">
            <v>Rate Rider for Disposition of Deferred PILs Variance Account 1562 - effective until March 31, 2016</v>
          </cell>
          <cell r="AA67" t="str">
            <v>Temporary Service Install &amp; Remove – Overhead – With Transformer</v>
          </cell>
        </row>
        <row r="68">
          <cell r="A68" t="str">
            <v>RESIDENTIAL - NORMAL DENSITY [R2]</v>
          </cell>
          <cell r="I68" t="str">
            <v>Rate Rider for Disposition of Deferred PILs Variance Account 1562 (2012) - effective until April 30, 2015</v>
          </cell>
          <cell r="AA68" t="str">
            <v>Temporary Service Install &amp; Remove – Underground – No Transformer</v>
          </cell>
        </row>
        <row r="69">
          <cell r="A69" t="str">
            <v>RESIDENTIAL - TIME OF USE</v>
          </cell>
          <cell r="I69" t="str">
            <v>Rate Rider for Disposition of Deferred PILs Variance Account 1562 (2012) - effective until April 30, 2016</v>
          </cell>
          <cell r="AA69" t="str">
            <v>Temporary service installation and removal – overhead – no transformer</v>
          </cell>
        </row>
        <row r="70">
          <cell r="A70" t="str">
            <v>RESIDENTIAL - URBAN [UR]</v>
          </cell>
          <cell r="I70" t="str">
            <v>Rate Rider for Disposition of Deferred PILs Variance Account 1562 (2nd Installment - 2012) - effective until April 30, 2016</v>
          </cell>
          <cell r="AA70" t="str">
            <v>Temporary service installation and removal – overhead – with transformer</v>
          </cell>
        </row>
        <row r="71">
          <cell r="A71" t="str">
            <v>RESIDENTIAL REGULAR</v>
          </cell>
          <cell r="I71" t="str">
            <v>Rate Rider for Disposition of Deferred PILs Variance Account 1562 (per connection) (2012) - effective until April 30, 2015</v>
          </cell>
          <cell r="AA71" t="str">
            <v>Temporary service installation and removal – underground – no transformer</v>
          </cell>
        </row>
        <row r="72">
          <cell r="A72" t="str">
            <v>RESIDENTIAL SUBURBAN</v>
          </cell>
          <cell r="I72" t="str">
            <v>Rate Rider for Disposition of Deferred PILs Variance Account 1562 (per connection) (2012) - effective until April 30, 2016</v>
          </cell>
        </row>
        <row r="73">
          <cell r="A73" t="str">
            <v>RESIDENTIAL SUBURBAN SEASONAL</v>
          </cell>
          <cell r="I73" t="str">
            <v>Rate Rider for Disposition of Global Adjustment Sub-Account (2011) - effective until April 30, 2015 Applicable only for Non-RPP Customers</v>
          </cell>
        </row>
        <row r="74">
          <cell r="A74" t="str">
            <v>RESIDENTIAL SUBURBAN YEAR ROUND</v>
          </cell>
          <cell r="I74" t="str">
            <v>Rate Rider for Disposition of Global Adjustment Sub-Account (2011) - effective until April 30, 2016 Applicable only for Non-RPP Customers</v>
          </cell>
        </row>
        <row r="75">
          <cell r="A75" t="str">
            <v>RESIDENTIAL URBAN</v>
          </cell>
          <cell r="I75" t="str">
            <v>Rate Rider for Disposition of Global Adjustment Sub-Account (2012) - effective until April 30, 2014 Applicable only for Non-RPP Customers</v>
          </cell>
        </row>
        <row r="76">
          <cell r="A76" t="str">
            <v>RESIDENTIAL URBAN YEAR-ROUND</v>
          </cell>
          <cell r="I76" t="str">
            <v>Rate Rider for Disposition of Global Adjustment Sub-Account (2012) - effective until April 30, 2015 Applicable only for Non-RPP Customers</v>
          </cell>
        </row>
        <row r="77">
          <cell r="A77" t="str">
            <v>SEASONAL RESIDENTIAL</v>
          </cell>
          <cell r="I77" t="str">
            <v>Rate Rider for Disposition of Global Adjustment Sub-Account (2012) - effective until April 30, 2015 Applicatble only for Non-RPP Customers</v>
          </cell>
        </row>
        <row r="78">
          <cell r="A78" t="str">
            <v>SEASONAL RESIDENTIAL - HIGH DENSITY [R3]</v>
          </cell>
          <cell r="I78" t="str">
            <v>Rate Rider for Disposition of Global Adjustment Sub-Account (2012) - effective until April 30, 2016 Applicable only for Non-RPP Customers</v>
          </cell>
        </row>
        <row r="79">
          <cell r="A79" t="str">
            <v>SEASONAL RESIDENTIAL - NORMAL DENSITY [R4]</v>
          </cell>
          <cell r="I79" t="str">
            <v>Rate Rider for Disposition of Global Adjustment Sub-Account (2012) - effective until January 31, 2014. Applicable only for Non-RPP Customers</v>
          </cell>
        </row>
        <row r="80">
          <cell r="A80" t="str">
            <v>SENTINEL LIGHTING</v>
          </cell>
          <cell r="I80" t="str">
            <v>Rate Rider for Disposition of Global Adjustment Sub-Account (2012) - effective until June 30, 2014 Applicable only for Non-RPP Customers</v>
          </cell>
        </row>
        <row r="81">
          <cell r="A81" t="str">
            <v>SMALL COMMERCIAL AND USL - PER CONNECTION</v>
          </cell>
          <cell r="I81" t="str">
            <v>Rate Rider for Disposition of Global Adjustment Sub-Account (2012) Applicable only for Non-RPP Customers - effective until August 31, 2014</v>
          </cell>
        </row>
        <row r="82">
          <cell r="A82" t="str">
            <v>SMALL COMMERCIAL AND USL - PER METER</v>
          </cell>
          <cell r="I82" t="str">
            <v>Rate Rider for Disposition of Global Adjustment Sub-Account (2012) Applicable only to Non-RPP Customers - effective until August 31, 2014</v>
          </cell>
        </row>
        <row r="83">
          <cell r="A83" t="str">
            <v>STANDARD A GENERAL SERVICE AIR ACCESS</v>
          </cell>
          <cell r="I83" t="str">
            <v>Rate Rider for Disposition of Global Adjustment Sub-Account (2013) - effective until April 30, 2014 Applicable only for Non-RPP Customers</v>
          </cell>
        </row>
        <row r="84">
          <cell r="A84" t="str">
            <v>STANDARD A GENERAL SERVICE ROAD/RAIL</v>
          </cell>
          <cell r="I84" t="str">
            <v>Rate Rider for Disposition of Global Adjustment Sub-Account (2013) - effective until April 30, 2015 Applicable only for Non-RPP Customers</v>
          </cell>
        </row>
        <row r="85">
          <cell r="A85" t="str">
            <v>STANDARD A GRID CONNECTED</v>
          </cell>
          <cell r="I85" t="str">
            <v>Rate Rider for Disposition of Global Adjustment Sub-Account (2013) - effective until April 30, 2015 Applicable only for Non-RPP Customers and excluding Wholesale Market Participants</v>
          </cell>
        </row>
        <row r="86">
          <cell r="A86" t="str">
            <v>STANDARD A RESIDENTIAL AIR ACCESS</v>
          </cell>
          <cell r="I86" t="str">
            <v>Rate Rider for Disposition of Global Adjustment Sub-Account (2013) - effective until April 30, 2017 Applicable only for Non-RPP Customers</v>
          </cell>
        </row>
        <row r="87">
          <cell r="A87" t="str">
            <v>STANDARD A RESIDENTIAL ROAD/RAIL</v>
          </cell>
          <cell r="I87" t="str">
            <v>Rate Rider For Disposition of Global Adjustment Sub-Account (2013) - effective until August 31, 2014 Applicable only for Non-RPP Customers</v>
          </cell>
        </row>
        <row r="88">
          <cell r="A88" t="str">
            <v>STANDBY - GENERAL SERVICE 1,000 - 5,000 KW</v>
          </cell>
          <cell r="I88" t="str">
            <v>Rate Rider for Disposition of Global Adjustment Sub-Account (2013) - effective until December 31, 2014 Applicable only for Non-RPP Customers</v>
          </cell>
        </row>
        <row r="89">
          <cell r="A89" t="str">
            <v>STANDBY - GENERAL SERVICE 50 - 1,000 KW</v>
          </cell>
          <cell r="I89" t="str">
            <v>Rate Rider for Disposition of Global Adjustment Sub-Account (2013) - effective until May 31, 2014 Applicable only for Non-RPP Customers</v>
          </cell>
        </row>
        <row r="90">
          <cell r="A90" t="str">
            <v>STANDBY - LARGE USE</v>
          </cell>
          <cell r="I90" t="str">
            <v>Rate Rider for Disposition of Global Adjustment Sub-Account (2014) - effective until December 31, 2014. Applicable only for Non-RPP - Class B Customers</v>
          </cell>
        </row>
        <row r="91">
          <cell r="A91" t="str">
            <v>STANDBY DISTRIBUTION SERVICE</v>
          </cell>
          <cell r="I91" t="str">
            <v>Rate Rider for Disposition of Global Adjustment Sub-Account (2014) - effective until December 31, 2014. Applicable only for Non-RPP Customers</v>
          </cell>
        </row>
        <row r="92">
          <cell r="A92" t="str">
            <v>STANDBY POWER</v>
          </cell>
          <cell r="I92" t="str">
            <v>Rate Rider for Disposition of Global Adjustment Sub-Account (2014) - effective until December 31, 2014. Applicable only for Non-RPP Customers - Class A Customers</v>
          </cell>
        </row>
        <row r="93">
          <cell r="A93" t="str">
            <v>STANDBY POWER - APPROVED ON AN INTERIM BASIS</v>
          </cell>
          <cell r="I93" t="str">
            <v>Rate Rider for Disposition of Global Adjustment Sub-Account (2014) - effective until December 31, 2014. Applicable only for Non-RPP Customers - Interval Metered</v>
          </cell>
        </row>
        <row r="94">
          <cell r="A94" t="str">
            <v>STANDBY POWER GENERAL SERVICE 1,500 TO 4,999 KW</v>
          </cell>
          <cell r="I94" t="str">
            <v>Rate Rider for Disposition of Global Adjustment Sub-Account (2014) - effective until December 31, 2014. Applicable only for Non-RPP Customers - Non Interval Metered</v>
          </cell>
        </row>
        <row r="95">
          <cell r="A95" t="str">
            <v>STANDBY POWER GENERAL SERVICE 50 TO 1,499 KW</v>
          </cell>
          <cell r="I95" t="str">
            <v>Rate Rider for Disposition of Post Retirement Actuarial Gain - effective until March 31, 2025</v>
          </cell>
        </row>
        <row r="96">
          <cell r="A96" t="str">
            <v>STANDBY POWER GENERAL SERVICE LARGE USE</v>
          </cell>
          <cell r="I96" t="str">
            <v>Rate Rider for Disposition of Residual Hisotrical Smart Meter Costs - effective until April 30, 2015</v>
          </cell>
        </row>
        <row r="97">
          <cell r="A97" t="str">
            <v>STREET LIGHTING</v>
          </cell>
          <cell r="I97" t="str">
            <v>Rate Rider for Disposition of Residual Hisotrical Smart Meter Costs - effective until April 30, 2017</v>
          </cell>
        </row>
        <row r="98">
          <cell r="A98" t="str">
            <v>SUB TRANSMISSION [ST]</v>
          </cell>
          <cell r="I98" t="str">
            <v>Rate Rider for Disposition of Residual Historical Smart Meter Costs - effective until April 30, 2014</v>
          </cell>
        </row>
        <row r="99">
          <cell r="A99" t="str">
            <v>UNMETERED SCATTERED LOAD</v>
          </cell>
          <cell r="I99" t="str">
            <v>Rate Rider for Disposition of Residual Historical Smart Meter Costs - effective until April 30, 2016</v>
          </cell>
        </row>
        <row r="100">
          <cell r="A100" t="str">
            <v>URBAN GENERAL SERVICE DEMAND BILLED (50 KW AND ABOVE) [UGD]</v>
          </cell>
          <cell r="I100" t="str">
            <v>Rate Rider for Disposition of Residual Historical Smart Meter Costs - effective until August 31, 2014</v>
          </cell>
        </row>
        <row r="101">
          <cell r="A101" t="str">
            <v>URBAN GENERAL SERVICE ENERGY BILLED (LESS THAN 50 KW) [UGE]</v>
          </cell>
          <cell r="I101" t="str">
            <v>Rate Rider for Disposition of Residual Historical Smart Meter Costs - effective until August 31, 2015</v>
          </cell>
        </row>
        <row r="102">
          <cell r="A102" t="str">
            <v>WESTPORT SEWAGE TREATMENT PLANT</v>
          </cell>
          <cell r="I102" t="str">
            <v>Rate Rider for Disposition of Residual Historical Smart Meter Costs - effective until December 31, 2014</v>
          </cell>
        </row>
        <row r="103">
          <cell r="A103" t="str">
            <v>YEAR-ROUND RESIDENTIAL - R2</v>
          </cell>
          <cell r="I103" t="str">
            <v>Rate Rider for Disposition of Residual Historical Smart Meter Costs – effective until December 31, 2014</v>
          </cell>
        </row>
        <row r="104">
          <cell r="I104" t="str">
            <v>Rate Rider for Disposition of Residual Historical Smart Meter Costs - effective until December 31, 2015</v>
          </cell>
        </row>
        <row r="105">
          <cell r="I105" t="str">
            <v>Rate Rider for Disposition of Residual Historical Smart Meter Costs - effective until December 31, 2016</v>
          </cell>
        </row>
        <row r="106">
          <cell r="I106" t="str">
            <v>Rate Rider for Disposition of Residual Historical Smart Meter Costs - effective until October 31, 2014</v>
          </cell>
        </row>
        <row r="107">
          <cell r="I107" t="str">
            <v>Rate Rider for Disposition of Residual Historical Smart Meter Costs - effective until September 30, 2014</v>
          </cell>
        </row>
        <row r="108">
          <cell r="I108" t="str">
            <v>Rate Rider for Disposition of Residual Historical Smart Meter Costs - Non-Interval Metered 
 - effective until April 30, 2014</v>
          </cell>
        </row>
        <row r="109">
          <cell r="I109" t="str">
            <v>Rate Rider for Disposition of Residual Historical Smart Meter Costs 2 - in effect until the effective 
 date of the next cost of service-based rate order</v>
          </cell>
        </row>
        <row r="110">
          <cell r="I110" t="str">
            <v>Rate Rider for Disposition of Residual Historical Smart Meter Costs 3 - in effect until the effective 
 date of the next cost of service-based rate order</v>
          </cell>
        </row>
        <row r="111">
          <cell r="I111" t="str">
            <v>Rate Rider for Disposition of Residual Incremental Historical Smart Meter Costs - 
 effective until August 31, 2015</v>
          </cell>
        </row>
        <row r="112">
          <cell r="I112" t="str">
            <v>Rate Rider for Disposition of Stranded Meter costs - effective until April 30, 2015</v>
          </cell>
        </row>
        <row r="113">
          <cell r="I113" t="str">
            <v>Rate Rider for Disposition of Stranded Meter Costs - effective until April 30, 2016</v>
          </cell>
        </row>
        <row r="114">
          <cell r="I114" t="str">
            <v>Rate Rider for Disposition of Stranded Meter Costs - effective until April 30, 2017</v>
          </cell>
        </row>
        <row r="115">
          <cell r="I115" t="str">
            <v>Rate Rider for Global Adjustment Sub Account Disposition - effective until April 30, 2016 Applicable only for Non RPP Customers</v>
          </cell>
        </row>
        <row r="116">
          <cell r="I116" t="str">
            <v>Rate Rider for Global Adjustment Sub-Account Disposition 
 Applicable only for Non-RPP Customers – effective until April 30, 2015</v>
          </cell>
        </row>
        <row r="117">
          <cell r="I117" t="str">
            <v>Rate Rider for Global Adjustment Sub-Account Disposition (2014) - effective until April 28, 2016 Applicable only for Non-RPP Customers</v>
          </cell>
        </row>
        <row r="118">
          <cell r="I118" t="str">
            <v>Rate Rider for Global Adjustment Sub-Account Disposition (2014) - effective until April 30, 2015 Applicable only for Non-RPP Customers</v>
          </cell>
        </row>
        <row r="119">
          <cell r="I119" t="str">
            <v>Rate Rider for Global Adjustment Sub-Account Disposition (2014) - effective until December 30, 2015 Applicable only for Non-RPP Customers</v>
          </cell>
        </row>
        <row r="120">
          <cell r="I120" t="str">
            <v>Rate Rider for Global Adjustment Sub-Account Disposition (2014) - effective until December 31, 2014 Applicable only for Non-RPP Customers</v>
          </cell>
        </row>
        <row r="121">
          <cell r="I121" t="str">
            <v>Rate Rider for Global Adjustment Sub-Account Disposition (2014) - effective until December 31, 2015 Applicable only for Non-RPP Customers</v>
          </cell>
        </row>
        <row r="122">
          <cell r="I122" t="str">
            <v>Rate Rider for Global Adjustment Sub-Account Disposition (2014) - effective until December, 2015 Applicable only for Non-RPP Customers</v>
          </cell>
        </row>
        <row r="123">
          <cell r="I123" t="str">
            <v>Rate Rider for Incremental Capital - Distribution Volumetric - effective until April 30, 2016</v>
          </cell>
        </row>
        <row r="124">
          <cell r="I124" t="str">
            <v>Rate Rider for Incremental Capital - Service Charge - effective until April 30, 2016</v>
          </cell>
        </row>
        <row r="125">
          <cell r="I125" t="str">
            <v>Rate Rider for Incremental Capital (2012) - effective until April 30, 2015</v>
          </cell>
        </row>
        <row r="126">
          <cell r="I126" t="str">
            <v>Rate Rider for Lost Revenue Adjustment Mechanism Variance Account (LRAMVA) Recovery 
 (2012 CDM Activities) - effective until April 30, 2015</v>
          </cell>
        </row>
        <row r="127">
          <cell r="I127" t="str">
            <v>Rate Rider for Recover of Residual Historical Smart meter Costs - effective until June 30, 2014</v>
          </cell>
        </row>
        <row r="128">
          <cell r="I128" t="str">
            <v>Rate Rider for Recovery of CGAAP/CWIP Differential - in effect until December 31, 2016</v>
          </cell>
        </row>
        <row r="129">
          <cell r="I129" t="str">
            <v>Rate Rider for Recovery of Foregone Revenue - effective until April 30, 2015</v>
          </cell>
        </row>
        <row r="130">
          <cell r="I130" t="str">
            <v>Rate Rider for Recovery of Forgone Revenue - effective until April 30, 2015</v>
          </cell>
        </row>
        <row r="131">
          <cell r="I131" t="str">
            <v>Rate Rider for Recovery of Forgone Revenue - effective until December 31, 2014</v>
          </cell>
        </row>
        <row r="132">
          <cell r="I132" t="str">
            <v>Rate Rider for Recovery of Green Energy Act related costs - effective until December 31, 2014</v>
          </cell>
        </row>
        <row r="133">
          <cell r="I133" t="str">
            <v>Rate Rider for Recovery of Incremental Capital (2013) - in effect until the effective date of the next cost of service-based rate order</v>
          </cell>
        </row>
        <row r="134">
          <cell r="I134" t="str">
            <v>Rate Rider for Recovery of Incremental Capital (2013) - in effect until the effective date of the
 next cost of service-based rate order</v>
          </cell>
        </row>
        <row r="135">
          <cell r="I135" t="str">
            <v>Rate Rider for Recovery of Incremental Capital (2013) (per connection) - in effect until the effective date of 
 the next cost of service-based rate order</v>
          </cell>
        </row>
        <row r="136">
          <cell r="I136" t="str">
            <v>Rate Rider for Recovery of Incremental Capital (2013) (per connection)- in effect until the effective date of the next cost of service-based rate order</v>
          </cell>
        </row>
        <row r="137">
          <cell r="I137" t="str">
            <v>Rate Rider for Recovery of Incremental Capital Costs</v>
          </cell>
        </row>
        <row r="138">
          <cell r="I138" t="str">
            <v>Rate Rider for Recovery of Incremental Capital Costs - effective until April 30, 2015</v>
          </cell>
        </row>
        <row r="139">
          <cell r="I139" t="str">
            <v>Rate Rider for Recovery of Lost Revenue Adjustment Mechanism ( LRAM)/Shared Savings Mechanism (SSM) (2012) - effective until August 31, 2014</v>
          </cell>
        </row>
        <row r="140">
          <cell r="I140" t="str">
            <v>Rate Rider for Recovery of Lost Revenue Adjustment Mechanism (2013) - effective until December 31, 2014</v>
          </cell>
        </row>
        <row r="141">
          <cell r="I141" t="str">
            <v>Rate Rider for Recovery of Lost Revenue Adjustment Mechanism (LRAM) - effective until April 30, 2016</v>
          </cell>
        </row>
        <row r="142">
          <cell r="I142" t="str">
            <v>Rate Rider for Recovery of Lost Revenue Adjustment Mechanism (LRAM) (pre-2011 CDM Activities) - effective until April 30, 2015</v>
          </cell>
        </row>
        <row r="143">
          <cell r="I143" t="str">
            <v>Rate Rider for Recovery of Lost Revenue Adjustment Mechanism (LRAM) (pre-2011 CDM Activities) (2013) - effective until April 30, 2015</v>
          </cell>
        </row>
        <row r="144">
          <cell r="I144" t="str">
            <v>Rate Rider for Recovery of Lost Revenue Adjustment Mechanism (LRAM)/Shared Savings</v>
          </cell>
        </row>
        <row r="145">
          <cell r="I145" t="str">
            <v>Rate Rider for Recovery of Lost Revenue Adjustment Mechanism (LRAM)/Shared Savings Mechanism (SSM) - effective until December 31, 2014 and applicable in the service area excluding the former service area of Clinton Power</v>
          </cell>
        </row>
        <row r="146">
          <cell r="I146" t="str">
            <v>Rate Rider for Recovery of Lost Revenue Adjustment Mechanism (LRAM)/Shared Savings Mechanism (SSM) - effective until December 31, 2014 and applicable in the service area excluding the former service areas of Clinton Power and West Perth Power</v>
          </cell>
        </row>
        <row r="147">
          <cell r="I147" t="str">
            <v>Rate Rider for Recovery of Lost Revenue Adjustment Mechanism (LRAM)/Shared Savings Mechanism (SSM) - effective until December 31, 2014 and applicable only in the former service area of Clinton Power</v>
          </cell>
        </row>
        <row r="148">
          <cell r="I148" t="str">
            <v>Rate Rider for Recovery of Lost Revenue Adjustment Mechanism (LRAM)/Shared Savings Mechanism (SSM) - effective until December 31, 2014 and applicable only in the former service area of West Perth Power</v>
          </cell>
        </row>
        <row r="149">
          <cell r="I149" t="str">
            <v>Rate Rider for Recovery of Lost Revenue Adjustment Mechanism (LRAM)/Shared Savings Mechanism (SSM) - effective until March 31, 2016</v>
          </cell>
        </row>
        <row r="150">
          <cell r="I150" t="str">
            <v>Rate Rider for Recovery of Lost Revenue Adjustment Mechanism (LRAM)/Shared Savings Mechanism (SSM) (2012) - effective until August 31, 2014</v>
          </cell>
        </row>
        <row r="151">
          <cell r="I151" t="str">
            <v>Rate Rider for Recovery of Lost Revenue Adjustment Mechanism (LRAM)/Shared Savings Mechanism (SSM) Recovery - effective until April 30, 2015</v>
          </cell>
        </row>
        <row r="152">
          <cell r="I152" t="str">
            <v>Rate Rider for Recovery of Lost Revenue Adjustment Mechanism Variance Account (LRAMVA) (2014) - effective until April 30, 2015</v>
          </cell>
        </row>
        <row r="153">
          <cell r="I153" t="str">
            <v>Rate Rider for Recovery of Residual Historical Smart Meter Costs - effective July 1, 2012 - April 30, 2016</v>
          </cell>
        </row>
        <row r="154">
          <cell r="I154" t="str">
            <v>Rate Rider for Recovery of Smart Meter Incremental Revenue Requirement - effective until the date of the next cost of service-based rate order</v>
          </cell>
        </row>
        <row r="155">
          <cell r="I155" t="str">
            <v>Rate Rider for Recovery of Smart Meter Incremental Revenue Requirement - effective until the effective date of the next cost of service-based rate order, or October 31, 2017, whichever occurs earlier</v>
          </cell>
        </row>
        <row r="156">
          <cell r="I156" t="str">
            <v>Rate Rider for Recovery of Smart Meter Incremental Revenue Requirement - in effect until the effective date of the next cost of service-based rate order</v>
          </cell>
        </row>
        <row r="157">
          <cell r="I157" t="str">
            <v>Rate Rider for Recovery of Smart Meter Incremental Revenue Requirement - Non-Interval Metered - in effect until the effective date of the next cost of service-based rate order</v>
          </cell>
        </row>
        <row r="158">
          <cell r="I158" t="str">
            <v>Rate Rider for Recovery of Smart Meter Incremental Revenue Requirements - in effect until the effective date of the next cost of service application</v>
          </cell>
        </row>
        <row r="159">
          <cell r="I159" t="str">
            <v>Rate Rider for Recovery of Smart Meter Stranded Assets - effective until April 30, 2016</v>
          </cell>
        </row>
        <row r="160">
          <cell r="I160" t="str">
            <v>Rate Rider for Recovery of Storm Damage Costs - effective until August 31, 2017</v>
          </cell>
        </row>
        <row r="161">
          <cell r="I161" t="str">
            <v>Rate Rider for Recovery of Stranded Assets - effective until April 30, 2016</v>
          </cell>
        </row>
        <row r="162">
          <cell r="I162" t="str">
            <v>Rate Rider for Recovery of Stranded Meter Assets - effective July 1, 2012 - April 30, 2016</v>
          </cell>
        </row>
        <row r="163">
          <cell r="I163" t="str">
            <v>Rate Rider for Recovery of Stranded Meter Assets – effective until April 30, 2015</v>
          </cell>
        </row>
        <row r="164">
          <cell r="I164" t="str">
            <v>Rate Rider for Recovery of Stranded Meter Assets - effective until April 30, 2016</v>
          </cell>
        </row>
        <row r="165">
          <cell r="I165" t="str">
            <v>Rate Rider for Recovery of Stranded Meter Assets - effective until April 30, 2017</v>
          </cell>
        </row>
        <row r="166">
          <cell r="I166" t="str">
            <v>Rate Rider for Recovery of Stranded Meter Assets - effective until August 31, 2015</v>
          </cell>
        </row>
        <row r="167">
          <cell r="I167" t="str">
            <v>Rate Rider for Recovery of Stranded Meter Assets - effective until August 31, 2017</v>
          </cell>
        </row>
        <row r="168">
          <cell r="I168" t="str">
            <v>Rate Rider for Recovery of Stranded Meter Assets - effective until December 31, 2014</v>
          </cell>
        </row>
        <row r="169">
          <cell r="I169" t="str">
            <v>Rate Rider for Recovery of Stranded Meter Assets - effective until December 31, 2015</v>
          </cell>
        </row>
        <row r="170">
          <cell r="I170" t="str">
            <v>Rate Rider for Recovery of Stranded Meter Assets - effective until June 30, 2016</v>
          </cell>
        </row>
        <row r="171">
          <cell r="I171" t="str">
            <v>Rate Rider for Recovery of Stranded Meter Assets - effective until March 31, 2016</v>
          </cell>
        </row>
        <row r="172">
          <cell r="I172" t="str">
            <v>Rate Rider for Recovery of Stranded Meter Assets - effective until May 31, 2014</v>
          </cell>
        </row>
        <row r="173">
          <cell r="I173" t="str">
            <v>Rate Rider for Reversal of Deferral/Variance Account Disposition (2011) - effective until April 30, 2015</v>
          </cell>
        </row>
        <row r="174">
          <cell r="I174" t="str">
            <v>Rate Rider for Smart Meter Disposition - effective until April 30, 2016</v>
          </cell>
        </row>
        <row r="175">
          <cell r="I175" t="str">
            <v>Rate Rider for Smart Meter Incremental Revenue Requirement - in effect until the effective date of the next cost of service-based rate order</v>
          </cell>
        </row>
        <row r="176">
          <cell r="I176" t="str">
            <v>Rate Rider for Smart Metering Entity Charge - effective until October 31, 2018</v>
          </cell>
        </row>
        <row r="177">
          <cell r="I177" t="str">
            <v>Rate Rider for Stranded Meter Cost Recovery - effective until April 30, 2017</v>
          </cell>
        </row>
        <row r="178">
          <cell r="I178" t="str">
            <v>Rate Rider for Tax Change</v>
          </cell>
        </row>
        <row r="179">
          <cell r="I179" t="str">
            <v>Rate Rider for Tax Change - effective until April 30, 2015</v>
          </cell>
        </row>
        <row r="180">
          <cell r="I180" t="str">
            <v>Rate Rider for Tax Change (2014) - effective until April 30, 2015</v>
          </cell>
        </row>
        <row r="181">
          <cell r="I181" t="str">
            <v>Retail Transmission Rate - Line and Transformation Connection Service Rate</v>
          </cell>
        </row>
        <row r="182">
          <cell r="I182" t="str">
            <v>Retail Transmission Rate - Line and Transformation Connection Service Rate - (less than 1,000 kW)</v>
          </cell>
        </row>
        <row r="183">
          <cell r="I183" t="str">
            <v>Retail Transmission Rate - Line and Transformation Connection Service Rate - Interval Metered</v>
          </cell>
        </row>
        <row r="184">
          <cell r="I184" t="str">
            <v>Retail Transmission Rate - Line and Transformation Connection Service Rate - Interval Metered (1,000 to 4,999 kW)</v>
          </cell>
        </row>
        <row r="185">
          <cell r="I185" t="str">
            <v>Retail Transmission Rate - Line and Transformation Connection Service Rate - Interval Metered (less than 1,000 kW)</v>
          </cell>
        </row>
        <row r="186">
          <cell r="I186" t="str">
            <v>Retail Transmission Rate - Line and Transformation Connection Service Rate - Interval Metered &lt; 1,000 kW</v>
          </cell>
        </row>
        <row r="187">
          <cell r="I187" t="str">
            <v>Retail Transmission Rate - Line and Transformation Connection Service Rate - Interval Metered &gt; 1,000 kW</v>
          </cell>
        </row>
        <row r="188">
          <cell r="I188" t="str">
            <v>Retail Transmission Rate - Line and Transformation Connection Service Rate FOR ALL SERVICE AREAS EXCEPT HENSALL</v>
          </cell>
        </row>
        <row r="189">
          <cell r="I189" t="str">
            <v>Retail Transmission Rate - Line Connection Service Rate</v>
          </cell>
        </row>
        <row r="190">
          <cell r="I190" t="str">
            <v>Retail Transmission Rate - Network Service Rate</v>
          </cell>
        </row>
        <row r="191">
          <cell r="I191" t="str">
            <v>Retail Transmission Rate - Network Service Rate - (less than 1,000 kW)</v>
          </cell>
        </row>
        <row r="192">
          <cell r="I192" t="str">
            <v>Retail Transmission Rate - Network Service Rate - Interval Metered</v>
          </cell>
        </row>
        <row r="193">
          <cell r="I193" t="str">
            <v>Retail Transmission Rate - Network Service Rate - Interval Metered (1,000 to 4,999 kW)</v>
          </cell>
        </row>
        <row r="194">
          <cell r="I194" t="str">
            <v>Retail Transmission Rate - Network Service Rate - Interval Metered (less than 1,000 kW)</v>
          </cell>
        </row>
        <row r="195">
          <cell r="I195" t="str">
            <v>Retail Transmission Rate - Network Service Rate - Interval Metered &gt; 1,000 kW</v>
          </cell>
        </row>
        <row r="196">
          <cell r="I196" t="str">
            <v>Retail Transmission Rate - Transformation Connection Service Rate</v>
          </cell>
        </row>
        <row r="197">
          <cell r="I197" t="str">
            <v>Rider for Global Adjustment Sub-Account Disposition (2012) - effective until April 30, 2016 Applicable only for Non-RPP Customers</v>
          </cell>
        </row>
        <row r="198">
          <cell r="I198" t="str">
            <v>Rural or Remote Electricity Rate Protection Charge (RRRP)</v>
          </cell>
        </row>
        <row r="199">
          <cell r="I199" t="str">
            <v>Sentinel lights (dusk-to-dawn) connected to unmetered wires will have a flat rate monthly energy charge added to the regular customer bill. Further servicing details are available in the distributor’s Conditions of Service.</v>
          </cell>
        </row>
        <row r="200">
          <cell r="I200" t="str">
            <v>Service Charge</v>
          </cell>
        </row>
        <row r="201">
          <cell r="I201" t="str">
            <v>Service Charge (per connection)</v>
          </cell>
        </row>
        <row r="202">
          <cell r="I202" t="str">
            <v>Service Charge (per customer)</v>
          </cell>
        </row>
        <row r="203">
          <cell r="I203" t="str">
            <v>Service Charge (per light)</v>
          </cell>
        </row>
        <row r="204">
          <cell r="I204" t="str">
            <v>Smart Grid Funding Adder (2014) - in effect until December 31, 2014</v>
          </cell>
        </row>
        <row r="205">
          <cell r="I205" t="str">
            <v>Smart Meter Disposition Rider</v>
          </cell>
        </row>
        <row r="206">
          <cell r="I206" t="str">
            <v>Smart Meter Entity Charge</v>
          </cell>
        </row>
        <row r="207">
          <cell r="I207" t="str">
            <v>Smart Meter Incremental Revenue Requirement Rate Rider</v>
          </cell>
        </row>
        <row r="208">
          <cell r="I208" t="str">
            <v>Standard Supply Service - Administrative Charge (if applicable)</v>
          </cell>
        </row>
        <row r="209">
          <cell r="I209" t="str">
            <v>Standby Charge - for a month where standby power is not provided, the charge is based on the applicable General Service 50 to 4,999 kW or Large Use Distribution Volumetric Charge applied to the contracted amount (e.g. Nameplate rating of generating facility).</v>
          </cell>
        </row>
        <row r="210">
          <cell r="I210" t="str">
            <v>Standby Charge - for a month where standby power is not provided. The charge is applied to the amount of reserved load transfer capacity contracted or the amount of monthly peak load displaced by a generating facility</v>
          </cell>
        </row>
        <row r="211">
          <cell r="I211" t="str">
            <v>Standby Charge - for a month where standby power is not provided. The charge is applied to the contracted amount (e.g. nameplate rating of the generation facility).</v>
          </cell>
        </row>
        <row r="212">
          <cell r="I212" t="str">
            <v>Wholesale Market Service Rate</v>
          </cell>
        </row>
      </sheetData>
      <sheetData sheetId="58" refreshError="1"/>
      <sheetData sheetId="59" refreshError="1"/>
      <sheetData sheetId="6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Index"/>
      <sheetName val="COS Flowchart"/>
      <sheetName val="List of Key References"/>
      <sheetName val="App.2-AA_Capital Projects"/>
      <sheetName val="App.2-AB_Capital Expenditures"/>
      <sheetName val="App. 2-AC_Customer Engagement"/>
      <sheetName val="App.2-B_Acct Instructions"/>
      <sheetName val="App.2-BA_Fixed Asset Cont"/>
      <sheetName val="Appendix 2-BB Service Life  "/>
      <sheetName val="App.2-CA_OldCGAAP_DepExp_2012"/>
      <sheetName val="App.2-CB_NewCGAAP_DepExp_2012"/>
      <sheetName val="App.2-CC_NewCGAAP_DepExp_2013"/>
      <sheetName val="App.2-CD_MIFRS_DepExp_2014"/>
      <sheetName val="App.2-CE_MIFRS_DepExp_2015"/>
      <sheetName val="App.2-CF_MIFRS_DepExp_2016"/>
      <sheetName val="App.2-CG_OldCGAAP_DepExp_2013"/>
      <sheetName val="App.2-CH_NewCGAAP_DepExp_2013"/>
      <sheetName val="App.2-CI_MIFRS_DepExp_2014"/>
      <sheetName val="App.2-CJ MIFRS_DepExp_2015"/>
      <sheetName val="App.2-CK MIFRS_DepExp_2016"/>
      <sheetName val="App.2-D_Overhead"/>
      <sheetName val="App.2-EA_Account 1575 (2015)"/>
      <sheetName val="App.2-EB_Account 1576 (2012)"/>
      <sheetName val="App.2-EC_Account 1576 (2013)"/>
      <sheetName val="App.2-FA Proposed REG Invest."/>
      <sheetName val="App.2-FB Calc of REG Improvemnt"/>
      <sheetName val="App.2-FC Calc of REG Expansion"/>
      <sheetName val="App.2-G SQI"/>
      <sheetName val="App.2-H_Other_Oper_Rev"/>
      <sheetName val="App_2-I LF_CDM"/>
      <sheetName val="App.2-IA_Act_Frcst_Data"/>
      <sheetName val="App.2-JA_OM&amp;A_Summary_Analys"/>
      <sheetName val="App.2-JB_OM&amp;A_Cost _Drivers"/>
      <sheetName val="App.2-JC_OMA Programs"/>
      <sheetName val="App.2-K_Employee Costs"/>
      <sheetName val="App.2-L_OM&amp;A_per_Cust_FTEE"/>
      <sheetName val="App.2-M_Regulatory_Costs"/>
      <sheetName val="App.2-N_Corp_Cost_Allocation"/>
      <sheetName val="App.2-OA Capital Structure"/>
      <sheetName val="App.2-OB_Debt Instruments"/>
      <sheetName val="App.2-P_Cost_Allocation"/>
      <sheetName val="App.2-PA_Res_Rate_Desig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W_Bill Impacts_hidden"/>
      <sheetName val="App.2-Y_MIFRS Summary Impacts"/>
      <sheetName val="App. 2-Z_Tariff"/>
      <sheetName val="lists"/>
      <sheetName val="lists2"/>
      <sheetName val="Sheet19"/>
    </sheetNames>
    <sheetDataSet>
      <sheetData sheetId="0">
        <row r="3">
          <cell r="AA3" t="str">
            <v>Algoma Power Inc.</v>
          </cell>
        </row>
        <row r="4">
          <cell r="AA4" t="str">
            <v>Atikokan Hydro Inc.</v>
          </cell>
        </row>
        <row r="5">
          <cell r="AA5" t="str">
            <v>Attawapiskat Power Corporation</v>
          </cell>
        </row>
        <row r="6">
          <cell r="AA6" t="str">
            <v>Bluewater Power Distribution Corporation</v>
          </cell>
        </row>
        <row r="7">
          <cell r="AA7" t="str">
            <v>Brant County Power Inc.</v>
          </cell>
        </row>
        <row r="8">
          <cell r="AA8" t="str">
            <v>Brantford Power Inc.</v>
          </cell>
        </row>
        <row r="9">
          <cell r="AA9" t="str">
            <v>Burlington Hydro Inc.</v>
          </cell>
        </row>
        <row r="10">
          <cell r="AA10" t="str">
            <v>Cambridge and North Dumfries Hydro Inc.</v>
          </cell>
        </row>
        <row r="11">
          <cell r="AA11" t="str">
            <v>Canadian Niagara Power Inc.</v>
          </cell>
        </row>
        <row r="12">
          <cell r="AA12" t="str">
            <v>Centre Wellington Hydro Ltd.</v>
          </cell>
        </row>
        <row r="13">
          <cell r="AA13" t="str">
            <v>Chapleau Public Utilities Corporation</v>
          </cell>
        </row>
        <row r="14">
          <cell r="AA14" t="str">
            <v>COLLUS PowerStream Corp.</v>
          </cell>
        </row>
        <row r="15">
          <cell r="AA15" t="str">
            <v>Cooperative Hydro Embrun Inc.</v>
          </cell>
        </row>
        <row r="16">
          <cell r="AA16" t="str">
            <v>E.L.K. Energy Inc.</v>
          </cell>
        </row>
        <row r="17">
          <cell r="AA17" t="str">
            <v>Enersource Hydro Mississauga Inc.</v>
          </cell>
        </row>
        <row r="18">
          <cell r="AA18" t="str">
            <v>Entegrus Powerlines Inc.</v>
          </cell>
        </row>
        <row r="19">
          <cell r="AA19" t="str">
            <v>EnWin Utilities Ltd.</v>
          </cell>
        </row>
        <row r="20">
          <cell r="AA20" t="str">
            <v>Erie Thames Powerlines Corporation</v>
          </cell>
        </row>
        <row r="21">
          <cell r="AA21" t="str">
            <v>Espanola Regional Hydro Distribution Corporation</v>
          </cell>
        </row>
        <row r="22">
          <cell r="AA22" t="str">
            <v>Essex Powerlines Corporation</v>
          </cell>
        </row>
        <row r="23">
          <cell r="AA23" t="str">
            <v>Festival Hydro Inc.</v>
          </cell>
        </row>
        <row r="24">
          <cell r="E24">
            <v>2016</v>
          </cell>
          <cell r="AA24" t="str">
            <v>Fort Albany Power Corporation</v>
          </cell>
        </row>
        <row r="25">
          <cell r="AA25" t="str">
            <v>Fort Frances Power Corporation</v>
          </cell>
        </row>
        <row r="26">
          <cell r="E26">
            <v>2015</v>
          </cell>
          <cell r="AA26" t="str">
            <v>Greater Sudbury Hydro Inc.</v>
          </cell>
        </row>
        <row r="27">
          <cell r="AA27" t="str">
            <v>Grimsby Power Inc.</v>
          </cell>
        </row>
        <row r="28">
          <cell r="E28">
            <v>2011</v>
          </cell>
          <cell r="AA28" t="str">
            <v>Guelph Hydro Electric Systems Inc.</v>
          </cell>
        </row>
        <row r="29">
          <cell r="AA29" t="str">
            <v>Haldimand County Hydro Inc.</v>
          </cell>
        </row>
        <row r="30">
          <cell r="AA30" t="str">
            <v>Halton Hills Hydro Inc.</v>
          </cell>
        </row>
        <row r="31">
          <cell r="AA31" t="str">
            <v>Hearst Power Distribution Company Limited</v>
          </cell>
        </row>
        <row r="32">
          <cell r="AA32" t="str">
            <v>Horizon Utilities Corporation</v>
          </cell>
        </row>
        <row r="33">
          <cell r="AA33" t="str">
            <v>Hydro 2000 Inc.</v>
          </cell>
        </row>
        <row r="34">
          <cell r="AA34" t="str">
            <v>Hydro Hawkesbury Inc.</v>
          </cell>
        </row>
        <row r="35">
          <cell r="AA35" t="str">
            <v>Hydro One Brampton Networks Inc.</v>
          </cell>
        </row>
        <row r="36">
          <cell r="AA36" t="str">
            <v>Hydro One Networks Inc.</v>
          </cell>
        </row>
        <row r="37">
          <cell r="AA37" t="str">
            <v>Hydro One Remote Communities Inc.</v>
          </cell>
        </row>
        <row r="38">
          <cell r="AA38" t="str">
            <v>Hydro Ottawa Limited</v>
          </cell>
        </row>
        <row r="39">
          <cell r="AA39" t="str">
            <v>Innpower Corporation</v>
          </cell>
        </row>
        <row r="40">
          <cell r="AA40" t="str">
            <v>Kashechewan Power Corporation</v>
          </cell>
        </row>
        <row r="41">
          <cell r="AA41" t="str">
            <v>Kenora Hydro Electric Corporation Ltd.</v>
          </cell>
        </row>
        <row r="42">
          <cell r="AA42" t="str">
            <v>Kingston Hydro Corporation</v>
          </cell>
        </row>
        <row r="43">
          <cell r="AA43" t="str">
            <v>Kitchener-Wilmot Hydro Inc.</v>
          </cell>
        </row>
        <row r="44">
          <cell r="AA44" t="str">
            <v>Lakefront Utilities Inc.</v>
          </cell>
        </row>
        <row r="45">
          <cell r="AA45" t="str">
            <v>Lakeland Power Distribution Ltd.</v>
          </cell>
        </row>
        <row r="46">
          <cell r="AA46" t="str">
            <v>London Hydro Inc.</v>
          </cell>
        </row>
        <row r="47">
          <cell r="AA47" t="str">
            <v>Midland Power Utility Corporation</v>
          </cell>
        </row>
        <row r="48">
          <cell r="AA48" t="str">
            <v>Milton Hydro Distribution Inc.</v>
          </cell>
        </row>
        <row r="49">
          <cell r="AA49" t="str">
            <v>Newmarket-Tay Power Distribution Ltd.</v>
          </cell>
        </row>
        <row r="50">
          <cell r="AA50" t="str">
            <v>Niagara Peninsula Energy Inc.</v>
          </cell>
        </row>
        <row r="51">
          <cell r="AA51" t="str">
            <v>Niagara-on-the-Lake Hydro Inc.</v>
          </cell>
        </row>
        <row r="52">
          <cell r="AA52" t="str">
            <v>Norfolk Power Distribution Inc.</v>
          </cell>
        </row>
        <row r="53">
          <cell r="AA53" t="str">
            <v>North Bay Hydro Distribution Limited</v>
          </cell>
        </row>
        <row r="54">
          <cell r="AA54" t="str">
            <v>Northern Ontario Wires Inc.</v>
          </cell>
        </row>
        <row r="55">
          <cell r="AA55" t="str">
            <v>Oakville Hydro Electricity Distribution Inc.</v>
          </cell>
        </row>
        <row r="56">
          <cell r="AA56" t="str">
            <v>Orangeville Hydro Limited</v>
          </cell>
        </row>
        <row r="57">
          <cell r="AA57" t="str">
            <v>Orillia Power Distribution Corporation</v>
          </cell>
        </row>
        <row r="58">
          <cell r="AA58" t="str">
            <v>Oshawa PUC Networks Inc.</v>
          </cell>
        </row>
        <row r="59">
          <cell r="AA59" t="str">
            <v>Ottawa River Power Corporation</v>
          </cell>
        </row>
        <row r="60">
          <cell r="AA60" t="str">
            <v>Peterborough Distribution Incorporated</v>
          </cell>
        </row>
        <row r="61">
          <cell r="AA61" t="str">
            <v>PowerStream Inc.</v>
          </cell>
        </row>
        <row r="62">
          <cell r="AA62" t="str">
            <v>PUC Distribution Inc.</v>
          </cell>
        </row>
        <row r="63">
          <cell r="AA63" t="str">
            <v>Renfrew Hydro Inc.</v>
          </cell>
        </row>
        <row r="64">
          <cell r="AA64" t="str">
            <v>Rideau St. Lawrence Distribution Inc.</v>
          </cell>
        </row>
        <row r="65">
          <cell r="AA65" t="str">
            <v>Sioux Lookout Hydro Inc.</v>
          </cell>
        </row>
        <row r="66">
          <cell r="AA66" t="str">
            <v>St. Thomas Energy Inc.</v>
          </cell>
        </row>
        <row r="67">
          <cell r="AA67" t="str">
            <v>Thunder Bay Hydro Electricity Distribution Inc.</v>
          </cell>
        </row>
        <row r="68">
          <cell r="AA68" t="str">
            <v>Tillsonburg Hydro Inc.</v>
          </cell>
        </row>
        <row r="69">
          <cell r="AA69" t="str">
            <v>Toronto Hydro-Electric System Limited</v>
          </cell>
        </row>
        <row r="70">
          <cell r="AA70" t="str">
            <v>Veridian Connections Inc.</v>
          </cell>
        </row>
        <row r="71">
          <cell r="AA71" t="str">
            <v>Wasaga Distribution Inc.</v>
          </cell>
        </row>
        <row r="72">
          <cell r="AA72" t="str">
            <v>Waterloo North Hydro Inc.</v>
          </cell>
        </row>
        <row r="73">
          <cell r="AA73" t="str">
            <v>Welland Hydro-Electric System Corp.</v>
          </cell>
        </row>
        <row r="74">
          <cell r="AA74" t="str">
            <v>Wellington North Power Inc.</v>
          </cell>
        </row>
        <row r="75">
          <cell r="AA75" t="str">
            <v>West Coast Huron Energy Inc.</v>
          </cell>
        </row>
        <row r="76">
          <cell r="AA76" t="str">
            <v>Westario Power Inc.</v>
          </cell>
        </row>
        <row r="77">
          <cell r="AA77" t="str">
            <v>Whitby Hydro Electric Corporation</v>
          </cell>
        </row>
        <row r="78">
          <cell r="AA78" t="str">
            <v>Woodstock Hydro Services Inc.</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ow r="1">
          <cell r="Z1" t="str">
            <v>Account History</v>
          </cell>
          <cell r="AA1" t="str">
            <v>Account set up charge/change of occupancy charge (plus credit agency costs if applicable)</v>
          </cell>
        </row>
        <row r="2">
          <cell r="A2" t="str">
            <v>DISTRIBUTED GENERATION [DGEN]</v>
          </cell>
          <cell r="L2" t="str">
            <v>Total Loss Factor – Primary Metered Customer</v>
          </cell>
          <cell r="N2" t="str">
            <v>$</v>
          </cell>
          <cell r="Z2" t="str">
            <v>Account set up charge/change of occupancy charge</v>
          </cell>
          <cell r="AA2" t="str">
            <v>Administrative Billing Charge</v>
          </cell>
        </row>
        <row r="3">
          <cell r="A3" t="str">
            <v>EMBEDDED DISTRIBUTOR</v>
          </cell>
          <cell r="L3" t="str">
            <v>Total Loss Factor – Primary Metered Customer &lt; 5,000 kW</v>
          </cell>
          <cell r="N3" t="str">
            <v>$/kWh</v>
          </cell>
          <cell r="Z3" t="str">
            <v>Account set up charge/change of occupancy charge (plus credit agency costs if applicable – Residential)</v>
          </cell>
          <cell r="AA3" t="str">
            <v>Bell Canada Pole Rentals</v>
          </cell>
        </row>
        <row r="4">
          <cell r="A4" t="str">
            <v>EMBEDDED DISTRIBUTOR</v>
          </cell>
          <cell r="L4" t="str">
            <v>Total Loss Factor – Primary Metered Customer &gt; 5,000 kW</v>
          </cell>
          <cell r="N4" t="str">
            <v>$/kW</v>
          </cell>
          <cell r="Z4" t="str">
            <v>Account set up charge/change of occupancy charge (plus credit agency costs if applicable)</v>
          </cell>
          <cell r="AA4" t="str">
            <v>Clearance Pole Attachment charge $/pole/year</v>
          </cell>
        </row>
        <row r="5">
          <cell r="A5" t="str">
            <v>FARMS - SINGLE PHASE ENERGY-BILLED [F1]</v>
          </cell>
          <cell r="L5" t="str">
            <v>Total Loss Factor – Secondary Metered Customer</v>
          </cell>
          <cell r="N5" t="str">
            <v>$/kVA</v>
          </cell>
          <cell r="Z5" t="str">
            <v>Arrears certificate</v>
          </cell>
          <cell r="AA5" t="str">
            <v>Collection of account charge – no disconnection</v>
          </cell>
        </row>
        <row r="6">
          <cell r="A6" t="str">
            <v>FARMS - THREE PHASE ENERGY-BILLED [F3]</v>
          </cell>
          <cell r="L6" t="str">
            <v>Total Loss Factor – Secondary Metered Customer &lt; 5,000 kW</v>
          </cell>
          <cell r="Z6" t="str">
            <v>Arrears certificate (credit reference)</v>
          </cell>
          <cell r="AA6" t="str">
            <v>Collection of account charge – no disconnection – after regular hours</v>
          </cell>
        </row>
        <row r="7">
          <cell r="A7" t="str">
            <v>GENERAL SERVICE - COMMERCIAL</v>
          </cell>
        </row>
        <row r="8">
          <cell r="A8" t="str">
            <v>GENERAL SERVICE - INSTITUTIONAL</v>
          </cell>
          <cell r="L8" t="str">
            <v>Total Loss Factor – Secondary Metered Customer &gt; 5,000 kW</v>
          </cell>
          <cell r="Z8" t="str">
            <v>Charge to certify cheque</v>
          </cell>
          <cell r="AA8" t="str">
            <v>Collection of account charge – no disconnection - during regular business hours</v>
          </cell>
        </row>
        <row r="9">
          <cell r="A9" t="str">
            <v>GENERAL SERVICE 1,000 TO 2,999 KW</v>
          </cell>
          <cell r="L9" t="str">
            <v>Distribution Loss Factor - Secondary Metered Customer &lt; 5,000 kW</v>
          </cell>
          <cell r="Z9" t="str">
            <v>Collection of Account Charge – No Disconnection</v>
          </cell>
          <cell r="AA9" t="str">
            <v>Collection of account charge – no disconnection – during regular hours</v>
          </cell>
        </row>
        <row r="10">
          <cell r="A10" t="str">
            <v>GENERAL SERVICE 1,000 TO 4,999 KW</v>
          </cell>
          <cell r="L10" t="str">
            <v>Distribution Loss Factor - Secondary Metered Customer &gt; 5,000 kW</v>
          </cell>
          <cell r="Z10" t="str">
            <v>Credit Card Convenience Charge</v>
          </cell>
          <cell r="AA10" t="str">
            <v>Collection/Disconnection/Load Limiter/Reconnection – if in Community</v>
          </cell>
        </row>
        <row r="11">
          <cell r="A11" t="str">
            <v>GENERAL SERVICE 1,000 TO 4,999 KW - INTERVAL METERS</v>
          </cell>
          <cell r="L11" t="str">
            <v>Distribution Loss Factor - Primary Metered Customer &lt; 5,000 kW</v>
          </cell>
          <cell r="Z11" t="str">
            <v>Credit check (plus credit agency costs)</v>
          </cell>
          <cell r="AA11" t="str">
            <v>Credit Card Convenience Charge</v>
          </cell>
        </row>
        <row r="12">
          <cell r="A12" t="str">
            <v>GENERAL SERVICE 1,000 TO 4,999 KW (CO-GENERATION)</v>
          </cell>
          <cell r="L12" t="str">
            <v>Distribution Loss Factor - Primary Metered Customer &gt; 5,000 kW</v>
          </cell>
          <cell r="Z12" t="str">
            <v>Credit reference Letter</v>
          </cell>
          <cell r="AA12" t="str">
            <v>Disconnect/Reconnect at meter – after regular hours</v>
          </cell>
        </row>
        <row r="13">
          <cell r="A13" t="str">
            <v>GENERAL SERVICE 1,500 TO 4,999 KW</v>
          </cell>
        </row>
        <row r="14">
          <cell r="A14" t="str">
            <v>GENERAL SERVICE 2,500 TO 4,999 KW</v>
          </cell>
          <cell r="L14" t="str">
            <v>Total Loss Factor - Embedded Distributor</v>
          </cell>
          <cell r="Z14" t="str">
            <v>Credit reference/credit check (plus credit agency costs – General Service)</v>
          </cell>
          <cell r="AA14" t="str">
            <v>Disconnect/Reconnect at meter – during regular hours</v>
          </cell>
        </row>
        <row r="15">
          <cell r="A15" t="str">
            <v>GENERAL SERVICE 3,000 TO 4,999 KW</v>
          </cell>
          <cell r="L15" t="str">
            <v>Total Loss Factor – Embedded Distributor – Hydro One Networks Inc.</v>
          </cell>
          <cell r="Z15" t="str">
            <v>Credit Reference/credit check (plus credit agency costs)</v>
          </cell>
          <cell r="AA15" t="str">
            <v>Disconnect/Reconnect at pole – after regular hours</v>
          </cell>
        </row>
        <row r="16">
          <cell r="A16" t="str">
            <v>GENERAL SERVICE 3,000 TO 4,999 KW - INTERMEDIATE USE</v>
          </cell>
          <cell r="Z16" t="str">
            <v>Dispute Test – Commercial self contained -- MC</v>
          </cell>
          <cell r="AA16" t="str">
            <v>Disconnect/Reconnect at pole – during regular hours</v>
          </cell>
        </row>
        <row r="17">
          <cell r="A17" t="str">
            <v>GENERAL SERVICE 3,000 TO 4,999 KW - INTERVAL METERED</v>
          </cell>
          <cell r="Z17" t="str">
            <v>Dispute Test – Commercial TT -- MC</v>
          </cell>
          <cell r="AA17" t="str">
            <v>Disconnect/Reconnect Charge – At Meter – After Hours</v>
          </cell>
        </row>
        <row r="18">
          <cell r="A18" t="str">
            <v>GENERAL SERVICE 3,000 TO 4,999 KW - TIME OF USE</v>
          </cell>
          <cell r="Z18" t="str">
            <v>Dispute Test – Residential</v>
          </cell>
          <cell r="AA18" t="str">
            <v>Disconnect/Reconnect Charge – At Meter – During Regular Hours</v>
          </cell>
        </row>
        <row r="19">
          <cell r="A19" t="str">
            <v>GENERAL SERVICE 50 TO 1,000 KW</v>
          </cell>
          <cell r="Z19" t="str">
            <v>Duplicate Invoices for previous billing</v>
          </cell>
          <cell r="AA19" t="str">
            <v>Disconnect/Reconnect Charge – At Pole – After Hours</v>
          </cell>
        </row>
        <row r="20">
          <cell r="A20" t="str">
            <v>GENERAL SERVICE 50 TO 1,000 KW - INTERVAL METERS</v>
          </cell>
          <cell r="Z20" t="str">
            <v>Easement Letter</v>
          </cell>
          <cell r="AA20" t="str">
            <v>Disconnect/Reconnect Charge – At Pole – During Regular Hours</v>
          </cell>
        </row>
        <row r="21">
          <cell r="A21" t="str">
            <v>GENERAL SERVICE 50 TO 1,000 KW - NON INTERVAL METERS</v>
          </cell>
          <cell r="Z21" t="str">
            <v>Income Tax Letter</v>
          </cell>
          <cell r="AA21" t="str">
            <v>Disconnect/Reconnect Charges for non payment of account - At Meter After Hours</v>
          </cell>
        </row>
        <row r="22">
          <cell r="A22" t="str">
            <v>GENERAL SERVICE 50 TO 1,499 KW</v>
          </cell>
          <cell r="Z22" t="str">
            <v>Interval Meter Interrogation</v>
          </cell>
          <cell r="AA22" t="str">
            <v>Disconnect/Reconnect charges for non payment of account – at meter after regular hours</v>
          </cell>
        </row>
        <row r="23">
          <cell r="A23" t="str">
            <v>GENERAL SERVICE 50 TO 1,499 KW - INTERVAL METERED</v>
          </cell>
          <cell r="Z23" t="str">
            <v>Interval meter request change</v>
          </cell>
          <cell r="AA23" t="str">
            <v>Disconnect/Reconnect Charges for non payment of account - At Meter During Regular Hours</v>
          </cell>
        </row>
        <row r="24">
          <cell r="A24" t="str">
            <v>GENERAL SERVICE 50 TO 2,499 KW</v>
          </cell>
          <cell r="Z24" t="str">
            <v>Legal letter</v>
          </cell>
          <cell r="AA24" t="str">
            <v>Disconnect/Reconnect charges for non payment of account – at meter during regular hours</v>
          </cell>
        </row>
        <row r="25">
          <cell r="A25" t="str">
            <v>GENERAL SERVICE 50 TO 2,999 KW</v>
          </cell>
          <cell r="Z25" t="str">
            <v>Legal letter charge</v>
          </cell>
          <cell r="AA25" t="str">
            <v>Disconnect/Reconnect charges for non payment of account – at pole after regular hours</v>
          </cell>
        </row>
        <row r="26">
          <cell r="A26" t="str">
            <v>GENERAL SERVICE 50 TO 2,999 KW - INTERVAL METERED</v>
          </cell>
          <cell r="Z26" t="str">
            <v>Meter dispute charge plus Measurement Canada fees (if meter found correct)</v>
          </cell>
          <cell r="AA26" t="str">
            <v>Disconnect/Reconnect charges for non payment of account – at pole during regular hours</v>
          </cell>
        </row>
        <row r="27">
          <cell r="A27" t="str">
            <v>GENERAL SERVICE 50 TO 2,999 KW - TIME OF USE</v>
          </cell>
          <cell r="Z27" t="str">
            <v>Notification charge</v>
          </cell>
          <cell r="AA27" t="str">
            <v>Disconnect/Reconnection for &gt;300 volts - after regular hours</v>
          </cell>
        </row>
        <row r="28">
          <cell r="A28" t="str">
            <v>GENERAL SERVICE 50 TO 4,999 KW</v>
          </cell>
          <cell r="Z28" t="str">
            <v>Pulling Post Dated Cheques</v>
          </cell>
          <cell r="AA28" t="str">
            <v>Disconnect/Reconnection for &gt;300 volts - during regular hours</v>
          </cell>
        </row>
        <row r="29">
          <cell r="A29" t="str">
            <v>GENERAL SERVICE 50 TO 4,999 KW - INTERVAL METERED</v>
          </cell>
          <cell r="Z29" t="str">
            <v>Request for other billing information</v>
          </cell>
          <cell r="AA29" t="str">
            <v>Disposal of Concrete Poles</v>
          </cell>
        </row>
        <row r="30">
          <cell r="A30" t="str">
            <v>GENERAL SERVICE 50 TO 4,999 KW - TIME OF USE</v>
          </cell>
          <cell r="Z30" t="str">
            <v>Returned cheque (plus bank charges)</v>
          </cell>
          <cell r="AA30" t="str">
            <v>Dispute Test – Commercial TT -- MC</v>
          </cell>
        </row>
        <row r="31">
          <cell r="A31" t="str">
            <v>GENERAL SERVICE 50 TO 4,999 KW (COGENERATION)</v>
          </cell>
          <cell r="Z31" t="str">
            <v>Returned cheque charge (plus bank charges)</v>
          </cell>
          <cell r="AA31" t="str">
            <v>Install/Remove load control device – after regular hours</v>
          </cell>
        </row>
        <row r="32">
          <cell r="A32" t="str">
            <v>GENERAL SERVICE 50 TO 4,999 KW (FORMERLY TIME OF USE)</v>
          </cell>
          <cell r="Z32" t="str">
            <v>Special Billing Service (aggregation)</v>
          </cell>
          <cell r="AA32" t="str">
            <v>Install/Remove load control device – during regular hours</v>
          </cell>
        </row>
        <row r="33">
          <cell r="A33" t="str">
            <v>GENERAL SERVICE 50 TO 499 KW</v>
          </cell>
          <cell r="Z33" t="str">
            <v>Special Billing Service (sub-metering charge per meter)</v>
          </cell>
          <cell r="AA33" t="str">
            <v>Interval Meter Interrogation</v>
          </cell>
        </row>
        <row r="34">
          <cell r="A34" t="str">
            <v>GENERAL SERVICE 50 TO 699 KW</v>
          </cell>
          <cell r="Z34" t="str">
            <v>Special meter reads</v>
          </cell>
          <cell r="AA34" t="str">
            <v>Interval Meter Load Management Tool Charge $/month</v>
          </cell>
        </row>
        <row r="35">
          <cell r="A35" t="str">
            <v>GENERAL SERVICE 50 TO 999 KW</v>
          </cell>
          <cell r="Z35" t="str">
            <v>Statement of Account</v>
          </cell>
          <cell r="AA35" t="str">
            <v>Interval meter request change</v>
          </cell>
        </row>
        <row r="36">
          <cell r="A36" t="str">
            <v>GENERAL SERVICE 50 TO 999 KW - INTERVAL METERED</v>
          </cell>
          <cell r="Z36" t="str">
            <v>Unprocessed Payment Charge (plus bank charges)</v>
          </cell>
          <cell r="AA36" t="str">
            <v>Late Payment – per annum</v>
          </cell>
        </row>
        <row r="37">
          <cell r="A37" t="str">
            <v>GENERAL SERVICE 500 TO 4,999 KW</v>
          </cell>
          <cell r="AA37" t="str">
            <v>Late Payment – per month</v>
          </cell>
        </row>
        <row r="38">
          <cell r="A38" t="str">
            <v>GENERAL SERVICE 700 TO 4,999 KW</v>
          </cell>
          <cell r="AA38" t="str">
            <v>Layout fees</v>
          </cell>
        </row>
        <row r="39">
          <cell r="A39" t="str">
            <v>GENERAL SERVICE DEMAND BILLED (50 KW AND ABOVE) [GSD]</v>
          </cell>
          <cell r="AA39" t="str">
            <v>Meter dispute charge plus Measurement Canada fees (if meter found correct)</v>
          </cell>
        </row>
        <row r="40">
          <cell r="A40" t="str">
            <v>GENERAL SERVICE ENERGY BILLED (LESS THAN 50 KW) [GSE-METERED]</v>
          </cell>
          <cell r="AA40" t="str">
            <v>Meter Interrogation Charge</v>
          </cell>
        </row>
        <row r="41">
          <cell r="A41" t="str">
            <v>GENERAL SERVICE ENERGY BILLED (LESS THAN TO 50 KW) [GSE-UNMETERED]</v>
          </cell>
          <cell r="AA41" t="str">
            <v>Missed Service Appointment</v>
          </cell>
        </row>
        <row r="42">
          <cell r="A42" t="str">
            <v>GENERAL SERVICE EQUAL TO OR GREATER THAN 1,500 KW</v>
          </cell>
          <cell r="AA42" t="str">
            <v>Norfolk Pole Rentals – Billed</v>
          </cell>
        </row>
        <row r="43">
          <cell r="A43" t="str">
            <v>GENERAL SERVICE EQUAL TO OR GREATER THAN 1,500 KW - INTERVAL METERED</v>
          </cell>
          <cell r="AA43" t="str">
            <v>Optional Interval/TOU Meter charge $/month</v>
          </cell>
        </row>
        <row r="44">
          <cell r="A44" t="str">
            <v>GENERAL SERVICE GREATER THAN 1,000 KW</v>
          </cell>
          <cell r="AA44" t="str">
            <v>Overtime Locate</v>
          </cell>
        </row>
        <row r="45">
          <cell r="A45" t="str">
            <v>GENERAL SERVICE GREATER THAN 50 kW - WMP</v>
          </cell>
          <cell r="AA45" t="str">
            <v>Owner Requested Disconnection/Reconnection – after regular hours</v>
          </cell>
        </row>
        <row r="46">
          <cell r="A46" t="str">
            <v>GENERAL SERVICE INTERMEDIATE 1,000 TO 4,999 KW</v>
          </cell>
          <cell r="AA46" t="str">
            <v>Owner Requested Disconnection/Reconnection – during regular hours</v>
          </cell>
        </row>
        <row r="47">
          <cell r="A47" t="str">
            <v>GENERAL SERVICE INTERMEDIATE RATE CLASS 1,000 TO 4,999 KW (FORMERLY GENERAL SERVICE &gt; 50 KW CUSTOMERS)</v>
          </cell>
          <cell r="AA47" t="str">
            <v>Returned cheque (plus bank charges)</v>
          </cell>
        </row>
        <row r="48">
          <cell r="A48" t="str">
            <v>GENERAL SERVICE INTERMEDIATE RATE CLASS 1,000 TO 4,999 KW (FORMERLY LARGE USE CUSTOMERS)</v>
          </cell>
          <cell r="AA48" t="str">
            <v>Rural system expansion / line connection fee</v>
          </cell>
        </row>
        <row r="49">
          <cell r="A49" t="str">
            <v>GENERAL SERVICE LESS THAN 50 KW</v>
          </cell>
          <cell r="AA49" t="str">
            <v>Same Day Open Trench</v>
          </cell>
        </row>
        <row r="50">
          <cell r="A50" t="str">
            <v>GENERAL SERVICE LESS THAN 50 KW - SINGLE PHASE ENERGY-BILLED [G1]</v>
          </cell>
          <cell r="AA50" t="str">
            <v>Scheduled Day Open Trench</v>
          </cell>
        </row>
        <row r="51">
          <cell r="A51" t="str">
            <v>GENERAL SERVICE LESS THAN 50 KW - THREE PHASE ENERGY-BILLED [G3]</v>
          </cell>
          <cell r="AA51" t="str">
            <v>Service call – after regular hours</v>
          </cell>
        </row>
        <row r="52">
          <cell r="A52" t="str">
            <v>GENERAL SERVICE LESS THAN 50 KW - TRANSMISSION CLASS ENERGY-BILLED [T]</v>
          </cell>
          <cell r="AA52" t="str">
            <v>Service call – customer owned equipment</v>
          </cell>
        </row>
        <row r="53">
          <cell r="A53" t="str">
            <v>GENERAL SERVICE LESS THAN 50 KW - URBAN ENERGY-BILLED [UG]</v>
          </cell>
          <cell r="AA53" t="str">
            <v>Service Call – Customer-owned Equipment – After Regular Hours</v>
          </cell>
        </row>
        <row r="54">
          <cell r="A54" t="str">
            <v>GENERAL SERVICE SINGLE PHASE - G1</v>
          </cell>
          <cell r="AA54" t="str">
            <v>Service Call – Customer-owned Equipment – During Regular Hours</v>
          </cell>
        </row>
        <row r="55">
          <cell r="A55" t="str">
            <v>GENERAL SERVICE THREE PHASE - G3</v>
          </cell>
          <cell r="AA55" t="str">
            <v>Service Charge for onsite interrogation of interval meter due to customer phone line failure - required weekly until line repaired $ 6</v>
          </cell>
        </row>
        <row r="56">
          <cell r="A56" t="str">
            <v>INTERMEDIATE USERS</v>
          </cell>
          <cell r="AA56" t="str">
            <v>Service Layout - Commercial</v>
          </cell>
        </row>
        <row r="57">
          <cell r="A57" t="str">
            <v>INTERMEDIATE WITH SELF GENERATION</v>
          </cell>
          <cell r="AA57" t="str">
            <v>Service Layout - ResidentiaI</v>
          </cell>
        </row>
        <row r="58">
          <cell r="A58" t="str">
            <v>LARGE USE</v>
          </cell>
          <cell r="AA58" t="str">
            <v>Special Billing Service (sub-metering charge per meter)</v>
          </cell>
        </row>
        <row r="59">
          <cell r="A59" t="str">
            <v>LARGE USE - 3TS</v>
          </cell>
          <cell r="AA59" t="str">
            <v>Special meter reads</v>
          </cell>
        </row>
        <row r="60">
          <cell r="A60" t="str">
            <v>LARGE USE - FORD ANNEX</v>
          </cell>
          <cell r="AA60" t="str">
            <v>Specific Charge for Access to the Power Poles - $/pole/year</v>
          </cell>
        </row>
        <row r="61">
          <cell r="A61" t="str">
            <v>LARGE USE - REGULAR</v>
          </cell>
          <cell r="AA61" t="str">
            <v>Specific Charge for Bell Canada Access to the Power Poles – per pole/year</v>
          </cell>
        </row>
        <row r="62">
          <cell r="A62" t="str">
            <v>LARGE USE &gt; 5000 KW</v>
          </cell>
          <cell r="AA62" t="str">
            <v>Switching for company maintenance – Charge based on Time and Materials</v>
          </cell>
        </row>
        <row r="63">
          <cell r="A63" t="str">
            <v>microFIT</v>
          </cell>
          <cell r="AA63" t="str">
            <v>Temporary Service – Install &amp; remove – overhead – no transformer</v>
          </cell>
        </row>
        <row r="64">
          <cell r="A64" t="str">
            <v>RESIDENTIAL</v>
          </cell>
          <cell r="AA64" t="str">
            <v>Temporary Service – Install &amp; remove – overhead – with transformer</v>
          </cell>
        </row>
        <row r="65">
          <cell r="A65" t="str">
            <v>RESIDENTIAL - HENSALL</v>
          </cell>
          <cell r="AA65" t="str">
            <v>Temporary Service – Install &amp; remove – underground – no transformer</v>
          </cell>
        </row>
        <row r="66">
          <cell r="A66" t="str">
            <v>RESIDENTIAL - HIGH DENSITY [R1]</v>
          </cell>
          <cell r="AA66" t="str">
            <v>Temporary service install &amp; remove – overhead – no transformer</v>
          </cell>
        </row>
        <row r="67">
          <cell r="A67" t="str">
            <v>RESIDENTIAL - LOW DENSITY [R2]</v>
          </cell>
          <cell r="AA67" t="str">
            <v>Temporary Service Install &amp; Remove – Overhead – With Transformer</v>
          </cell>
        </row>
        <row r="68">
          <cell r="A68" t="str">
            <v>RESIDENTIAL - MEDIUM DENSITY [R1]</v>
          </cell>
          <cell r="AA68" t="str">
            <v>Temporary Service Install &amp; Remove – Underground – No Transformer</v>
          </cell>
        </row>
        <row r="69">
          <cell r="A69" t="str">
            <v>RESIDENTIAL - NORMAL DENSITY [R2]</v>
          </cell>
          <cell r="AA69" t="str">
            <v>Temporary service installation and removal – overhead – no transformer</v>
          </cell>
        </row>
        <row r="70">
          <cell r="A70" t="str">
            <v>RESIDENTIAL - TIME OF USE</v>
          </cell>
          <cell r="AA70" t="str">
            <v>Temporary service installation and removal – overhead – with transformer</v>
          </cell>
        </row>
        <row r="71">
          <cell r="A71" t="str">
            <v>RESIDENTIAL - URBAN [UR]</v>
          </cell>
          <cell r="AA71" t="str">
            <v>Temporary service installation and removal – underground – no transformer</v>
          </cell>
        </row>
        <row r="72">
          <cell r="A72" t="str">
            <v>RESIDENTIAL REGULAR</v>
          </cell>
        </row>
        <row r="73">
          <cell r="A73" t="str">
            <v>RESIDENTIAL SUBURBAN</v>
          </cell>
        </row>
        <row r="74">
          <cell r="A74" t="str">
            <v>RESIDENTIAL SUBURBAN SEASONAL</v>
          </cell>
        </row>
        <row r="75">
          <cell r="A75" t="str">
            <v>RESIDENTIAL SUBURBAN YEAR ROUND</v>
          </cell>
        </row>
        <row r="76">
          <cell r="A76" t="str">
            <v>RESIDENTIAL URBAN</v>
          </cell>
        </row>
        <row r="77">
          <cell r="A77" t="str">
            <v>RESIDENTIAL URBAN YEAR-ROUND</v>
          </cell>
        </row>
        <row r="78">
          <cell r="A78" t="str">
            <v>SEASONAL RESIDENTIAL</v>
          </cell>
        </row>
        <row r="79">
          <cell r="A79" t="str">
            <v>SEASONAL RESIDENTIAL - HIGH DENSITY [R3]</v>
          </cell>
        </row>
        <row r="80">
          <cell r="A80" t="str">
            <v>SEASONAL RESIDENTIAL - NORMAL DENSITY [R4]</v>
          </cell>
        </row>
        <row r="81">
          <cell r="A81" t="str">
            <v>SENTINEL LIGHTING</v>
          </cell>
        </row>
        <row r="82">
          <cell r="A82" t="str">
            <v>SMALL COMMERCIAL AND USL - PER CONNECTION</v>
          </cell>
        </row>
        <row r="83">
          <cell r="A83" t="str">
            <v>SMALL COMMERCIAL AND USL - PER METER</v>
          </cell>
        </row>
        <row r="84">
          <cell r="A84" t="str">
            <v>STANDARD A GENERAL SERVICE AIR ACCESS</v>
          </cell>
        </row>
        <row r="85">
          <cell r="A85" t="str">
            <v>STANDARD A GENERAL SERVICE ROAD/RAIL</v>
          </cell>
        </row>
        <row r="86">
          <cell r="A86" t="str">
            <v>STANDARD A GRID CONNECTED</v>
          </cell>
        </row>
        <row r="87">
          <cell r="A87" t="str">
            <v>STANDARD A RESIDENTIAL AIR ACCESS</v>
          </cell>
        </row>
        <row r="88">
          <cell r="A88" t="str">
            <v>STANDARD A RESIDENTIAL ROAD/RAIL</v>
          </cell>
        </row>
        <row r="89">
          <cell r="A89" t="str">
            <v>STANDBY - GENERAL SERVICE 1,000 - 5,000 KW</v>
          </cell>
        </row>
        <row r="90">
          <cell r="A90" t="str">
            <v>STANDBY - GENERAL SERVICE 50 - 1,000 KW</v>
          </cell>
        </row>
        <row r="91">
          <cell r="A91" t="str">
            <v>STANDBY - LARGE USE</v>
          </cell>
        </row>
        <row r="92">
          <cell r="A92" t="str">
            <v>STANDBY DISTRIBUTION SERVICE</v>
          </cell>
        </row>
        <row r="93">
          <cell r="A93" t="str">
            <v>STANDBY POWER</v>
          </cell>
        </row>
        <row r="94">
          <cell r="A94" t="str">
            <v>STANDBY POWER - APPROVED ON AN INTERIM BASIS</v>
          </cell>
        </row>
        <row r="95">
          <cell r="A95" t="str">
            <v>STANDBY POWER GENERAL SERVICE 1,500 TO 4,999 KW</v>
          </cell>
        </row>
        <row r="96">
          <cell r="A96" t="str">
            <v>STANDBY POWER GENERAL SERVICE 50 TO 1,499 KW</v>
          </cell>
        </row>
        <row r="97">
          <cell r="A97" t="str">
            <v>STANDBY POWER GENERAL SERVICE LARGE USE</v>
          </cell>
        </row>
        <row r="98">
          <cell r="A98" t="str">
            <v>STREET LIGHTING</v>
          </cell>
        </row>
        <row r="99">
          <cell r="A99" t="str">
            <v>SUB TRANSMISSION [ST]</v>
          </cell>
        </row>
        <row r="100">
          <cell r="A100" t="str">
            <v>UNMETERED SCATTERED LOAD</v>
          </cell>
        </row>
        <row r="101">
          <cell r="A101" t="str">
            <v>URBAN GENERAL SERVICE DEMAND BILLED (50 KW AND ABOVE) [UGD]</v>
          </cell>
        </row>
        <row r="102">
          <cell r="A102" t="str">
            <v>URBAN GENERAL SERVICE ENERGY BILLED (LESS THAN 50 KW) [UGE]</v>
          </cell>
        </row>
        <row r="103">
          <cell r="A103" t="str">
            <v>WESTPORT SEWAGE TREATMENT PLANT</v>
          </cell>
        </row>
        <row r="104">
          <cell r="A104" t="str">
            <v>YEAR-ROUND RESIDENTIAL - R2</v>
          </cell>
        </row>
      </sheetData>
      <sheetData sheetId="55" refreshError="1"/>
      <sheetData sheetId="5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efreshError="1">
        <row r="1">
          <cell r="A1" t="str">
            <v>LDC Name</v>
          </cell>
        </row>
        <row r="76">
          <cell r="E76">
            <v>36161</v>
          </cell>
        </row>
      </sheetData>
      <sheetData sheetId="3"/>
      <sheetData sheetId="4"/>
      <sheetData sheetId="5"/>
      <sheetData sheetId="6"/>
      <sheetData sheetId="7"/>
      <sheetData sheetId="8" refreshError="1"/>
      <sheetData sheetId="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rmation Sheet"/>
      <sheetName val="2. Table of Contents"/>
      <sheetName val="3. Rate Class Selection"/>
      <sheetName val="4. Current Tariff Schedule"/>
      <sheetName val="4. Hidden"/>
      <sheetName val="5. 2013 Continuity Schedule"/>
      <sheetName val="6. Billing Det. for Def-Var"/>
      <sheetName val="6. hidden"/>
      <sheetName val="7. Allocating Def-Var Balances"/>
      <sheetName val="8. Calculation of Def-Var RR"/>
      <sheetName val="9. Rev2Cost_GDPIPI"/>
      <sheetName val="9. hidden"/>
      <sheetName val="10. Other Charges &amp; LF"/>
      <sheetName val="11. Proposed Rates"/>
      <sheetName val="12. Summary Sheet"/>
      <sheetName val="13. Final Tariff Schedule"/>
      <sheetName val="14. Bill Impacts"/>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
          <cell r="AM1" t="str">
            <v>Algoma Power Inc.</v>
          </cell>
        </row>
        <row r="2">
          <cell r="AM2" t="str">
            <v>Atikokan Hydro Inc.</v>
          </cell>
        </row>
        <row r="3">
          <cell r="AM3" t="str">
            <v>Attawapiskat Power Corporation</v>
          </cell>
        </row>
        <row r="4">
          <cell r="AM4" t="str">
            <v>Bluewater Power Distribution Corp.</v>
          </cell>
        </row>
        <row r="5">
          <cell r="AM5" t="str">
            <v>Brant County Power</v>
          </cell>
        </row>
        <row r="6">
          <cell r="AM6" t="str">
            <v>Brantford Power Inc.</v>
          </cell>
        </row>
        <row r="7">
          <cell r="AM7" t="str">
            <v>Burlington Hydro Inc.</v>
          </cell>
        </row>
        <row r="8">
          <cell r="AM8" t="str">
            <v>Cambridge and North Dumfries Hydro</v>
          </cell>
        </row>
        <row r="9">
          <cell r="AM9" t="str">
            <v>Canadian Niagara Power Inc. – Eastern Ontario Power/Fort Erie/Port Colborne</v>
          </cell>
        </row>
        <row r="10">
          <cell r="AM10" t="str">
            <v>Centre Wellington Hydro Ltd.</v>
          </cell>
        </row>
        <row r="11">
          <cell r="AM11" t="str">
            <v>Chapleau Public Utilities Corporation</v>
          </cell>
        </row>
        <row r="12">
          <cell r="AM12" t="str">
            <v>COLLUS Power Corp.</v>
          </cell>
        </row>
        <row r="13">
          <cell r="AM13" t="str">
            <v>Cooperative Hydro Embrun Inc.</v>
          </cell>
        </row>
        <row r="14">
          <cell r="AM14" t="str">
            <v>E.L.K. Energy Inc.</v>
          </cell>
        </row>
        <row r="15">
          <cell r="AM15" t="str">
            <v>Enersource Hydro Mississauga Inc.</v>
          </cell>
        </row>
        <row r="16">
          <cell r="AM16" t="str">
            <v>Entegrus Powerlines Inc.</v>
          </cell>
        </row>
        <row r="17">
          <cell r="AM17" t="str">
            <v>ENWIN Utilities Ltd.</v>
          </cell>
        </row>
        <row r="18">
          <cell r="AM18" t="str">
            <v>Erie Thames Powerlines Corp.</v>
          </cell>
        </row>
        <row r="19">
          <cell r="AM19" t="str">
            <v>Espanola Regional Hydro Distribution Corporation</v>
          </cell>
        </row>
        <row r="20">
          <cell r="AM20" t="str">
            <v>Essex Powerlines Corporation</v>
          </cell>
        </row>
        <row r="21">
          <cell r="AM21" t="str">
            <v>Festival Hydro Inc.</v>
          </cell>
        </row>
        <row r="22">
          <cell r="AM22" t="str">
            <v>Fort Albany Power Corporation</v>
          </cell>
        </row>
        <row r="23">
          <cell r="AM23" t="str">
            <v>Fort Frances Power Corporation</v>
          </cell>
        </row>
        <row r="24">
          <cell r="AM24" t="str">
            <v>Greater Sudbury Hydro Inc.</v>
          </cell>
        </row>
        <row r="25">
          <cell r="AM25" t="str">
            <v>Grimsby Power Inc.</v>
          </cell>
        </row>
        <row r="26">
          <cell r="AM26" t="str">
            <v>Guelph Hydro Electric Systems Inc.</v>
          </cell>
        </row>
        <row r="27">
          <cell r="AM27" t="str">
            <v>Haldimand County Hydro Inc.</v>
          </cell>
        </row>
        <row r="28">
          <cell r="AM28" t="str">
            <v>Halton Hills Hydro Inc.</v>
          </cell>
        </row>
        <row r="29">
          <cell r="AM29" t="str">
            <v>Hearst Power Distribution Co. Ltd.</v>
          </cell>
        </row>
        <row r="30">
          <cell r="AM30" t="str">
            <v>Horizon Utilities Corporation</v>
          </cell>
        </row>
        <row r="31">
          <cell r="AM31" t="str">
            <v>Hydro 2000 Inc.</v>
          </cell>
        </row>
        <row r="32">
          <cell r="AM32" t="str">
            <v>Hydro Hawkesbury Inc.</v>
          </cell>
        </row>
        <row r="33">
          <cell r="AM33" t="str">
            <v>Hydro One Brampton Networks Inc.</v>
          </cell>
        </row>
        <row r="34">
          <cell r="AM34" t="str">
            <v>Hydro One Networks Inc.</v>
          </cell>
        </row>
        <row r="35">
          <cell r="AM35" t="str">
            <v>Hydro One Remote Communities Inc.</v>
          </cell>
        </row>
        <row r="36">
          <cell r="AM36" t="str">
            <v>Hydro Ottawa Limited</v>
          </cell>
        </row>
        <row r="37">
          <cell r="AM37" t="str">
            <v>Innisfil Hydro Dist. Systems Limited</v>
          </cell>
        </row>
        <row r="38">
          <cell r="AM38" t="str">
            <v>Kashechewan Power Corporation</v>
          </cell>
        </row>
        <row r="39">
          <cell r="AM39" t="str">
            <v>Kenora Hydro Electric Corporation Ltd.</v>
          </cell>
        </row>
        <row r="40">
          <cell r="AM40" t="str">
            <v>Kingston Hydro Corporation</v>
          </cell>
        </row>
        <row r="41">
          <cell r="AM41" t="str">
            <v>Kitchener-Wilmot Hydro Inc.</v>
          </cell>
        </row>
        <row r="42">
          <cell r="AM42" t="str">
            <v>Lakefront Utilities Inc.</v>
          </cell>
        </row>
        <row r="43">
          <cell r="AM43" t="str">
            <v>Lakeland Power Distribution Ltd.</v>
          </cell>
        </row>
        <row r="44">
          <cell r="AM44" t="str">
            <v>London Hydro Inc.</v>
          </cell>
        </row>
        <row r="45">
          <cell r="AM45" t="str">
            <v>Midland Power Utility Corporation</v>
          </cell>
        </row>
        <row r="46">
          <cell r="AM46" t="str">
            <v>Milton Hydro Distribution Inc.</v>
          </cell>
        </row>
        <row r="47">
          <cell r="AM47" t="str">
            <v>Newmarket – Tay Power Distribution Ltd.</v>
          </cell>
        </row>
        <row r="48">
          <cell r="AM48" t="str">
            <v>Niagara Peninsula Energy Inc.</v>
          </cell>
        </row>
        <row r="49">
          <cell r="AM49" t="str">
            <v>Niagara-on-the-Lake Hydro Inc.</v>
          </cell>
        </row>
        <row r="50">
          <cell r="AM50" t="str">
            <v>Norfolk Power Distribution Ltd.</v>
          </cell>
        </row>
        <row r="51">
          <cell r="AM51" t="str">
            <v>North Bay Hydro Distribution Limited</v>
          </cell>
        </row>
        <row r="52">
          <cell r="AM52" t="str">
            <v>Northern Ontario Wires Inc.</v>
          </cell>
        </row>
        <row r="53">
          <cell r="AM53" t="str">
            <v>Oakville Hydro Distribution Inc.</v>
          </cell>
        </row>
        <row r="54">
          <cell r="AM54" t="str">
            <v>Orangeville Hydro Limited</v>
          </cell>
        </row>
        <row r="55">
          <cell r="AM55" t="str">
            <v>Orillia Power Distribution Corp.</v>
          </cell>
        </row>
        <row r="56">
          <cell r="AM56" t="str">
            <v>Oshawa PUC Networks Inc.</v>
          </cell>
        </row>
        <row r="57">
          <cell r="AM57" t="str">
            <v>Ottawa River Power Corporation</v>
          </cell>
        </row>
        <row r="58">
          <cell r="AM58" t="str">
            <v>Parry Sound Power Corporation</v>
          </cell>
        </row>
        <row r="59">
          <cell r="AM59" t="str">
            <v>Peterborough Distribution Inc.</v>
          </cell>
        </row>
        <row r="60">
          <cell r="AM60" t="str">
            <v>PowerStream Inc.</v>
          </cell>
        </row>
        <row r="61">
          <cell r="AM61" t="str">
            <v>PUC Distribution Inc.</v>
          </cell>
        </row>
        <row r="62">
          <cell r="AM62" t="str">
            <v>Renfrew Hydro Inc.</v>
          </cell>
        </row>
        <row r="63">
          <cell r="AM63" t="str">
            <v>Rideau St. Lawrence Distribution Inc.</v>
          </cell>
        </row>
        <row r="64">
          <cell r="AM64" t="str">
            <v>St. Thomas Energy Inc.</v>
          </cell>
        </row>
        <row r="65">
          <cell r="AM65" t="str">
            <v>Sioux Lookout Hydro Inc.</v>
          </cell>
        </row>
        <row r="66">
          <cell r="AM66" t="str">
            <v>Thunder Bay Hydro Electricity Distribution</v>
          </cell>
        </row>
        <row r="67">
          <cell r="AM67" t="str">
            <v>Tillsonburg Hydro Inc.</v>
          </cell>
        </row>
        <row r="68">
          <cell r="AM68" t="str">
            <v>Toronto Hydro-Electric System Limited</v>
          </cell>
        </row>
        <row r="69">
          <cell r="AM69" t="str">
            <v>Veridian Connections Inc.</v>
          </cell>
        </row>
        <row r="70">
          <cell r="AM70" t="str">
            <v>Wasaga Distribution Inc.</v>
          </cell>
        </row>
        <row r="71">
          <cell r="AM71" t="str">
            <v>Waterloo North Hydro Inc.</v>
          </cell>
        </row>
        <row r="72">
          <cell r="AM72" t="str">
            <v>Welland Hydro Electric System Corp.</v>
          </cell>
        </row>
        <row r="73">
          <cell r="AM73" t="str">
            <v>Wellington North Power Inc.</v>
          </cell>
        </row>
        <row r="74">
          <cell r="AM74" t="str">
            <v>West Coast Huron Energy Inc.</v>
          </cell>
        </row>
        <row r="75">
          <cell r="AM75" t="str">
            <v>Westario Power Inc.</v>
          </cell>
        </row>
        <row r="76">
          <cell r="AM76" t="str">
            <v>Whitby Hydro Electric Corporation</v>
          </cell>
        </row>
        <row r="77">
          <cell r="AM77" t="str">
            <v>Woodstock Hydro Services Inc.</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
      <sheetName val="2. Applicable Worksheets"/>
      <sheetName val="3. Rate Classes"/>
      <sheetName val="hidden1"/>
      <sheetName val="4. Most Recent Tariff"/>
    </sheetNames>
    <sheetDataSet>
      <sheetData sheetId="0"/>
      <sheetData sheetId="1" refreshError="1"/>
      <sheetData sheetId="2"/>
      <sheetData sheetId="3">
        <row r="1">
          <cell r="D1" t="str">
            <v>Applicable only for Non-RPP Customers</v>
          </cell>
        </row>
        <row r="2">
          <cell r="D2" t="str">
            <v>Deferral / Variance Account Rate Rider</v>
          </cell>
        </row>
        <row r="3">
          <cell r="D3" t="str">
            <v>Deferral / Variance Account Rate Rider (excl GA)</v>
          </cell>
        </row>
        <row r="4">
          <cell r="D4" t="str">
            <v>Deferral / Variance Account Rate Rider (GA) – if applicable</v>
          </cell>
        </row>
        <row r="5">
          <cell r="D5" t="str">
            <v>Distribution Volumetric Rate</v>
          </cell>
        </row>
        <row r="6">
          <cell r="D6" t="str">
            <v>Distribution Wheeling Service Rate</v>
          </cell>
        </row>
        <row r="7">
          <cell r="D7" t="str">
            <v>General Service 1,500 to 4,999 kW customer</v>
          </cell>
        </row>
        <row r="8">
          <cell r="D8" t="str">
            <v>General Service 50 to 1,499 kW customer</v>
          </cell>
        </row>
        <row r="9">
          <cell r="D9" t="str">
            <v>General Service Large Use customer</v>
          </cell>
        </row>
        <row r="10">
          <cell r="D10" t="str">
            <v>Green Energy Act Initiatives Funding Adder</v>
          </cell>
        </row>
        <row r="11">
          <cell r="D11" t="str">
            <v>Lost Revenue Adjustment Mechanism (LRAM) Recovery/Shared Savings Mechanism (SSM) Recovery Rate Rider – effective until April 30, 2012</v>
          </cell>
        </row>
        <row r="12">
          <cell r="D12" t="str">
            <v>Lost Revenue Adjustment Mechanism (LRAM) Recovery/Shared Savings Mechanism (SSM) Recovery Rate Rider (2011) – effective until April 30, 2014</v>
          </cell>
        </row>
        <row r="13">
          <cell r="D13" t="str">
            <v>Low Voltage Service Rate</v>
          </cell>
        </row>
        <row r="14">
          <cell r="D14" t="str">
            <v>Low Voltage Volumetric Rate</v>
          </cell>
        </row>
        <row r="15">
          <cell r="D15" t="str">
            <v>LRAM &amp; SSM Rate Rider</v>
          </cell>
        </row>
        <row r="16">
          <cell r="D16" t="str">
            <v>Minimum Distribution Charge – per KW of maximum billing demand in the previous 11 months</v>
          </cell>
        </row>
        <row r="17">
          <cell r="D17" t="str">
            <v>Monthly Distribution Wheeling Service Rate – Dedicated LV Line</v>
          </cell>
        </row>
        <row r="18">
          <cell r="D18" t="str">
            <v>Monthly Distribution Wheeling Service Rate – Hydro One Networks</v>
          </cell>
        </row>
        <row r="19">
          <cell r="D19" t="str">
            <v>Monthly Distribution Wheeling Service Rate – Shared LV Line</v>
          </cell>
        </row>
        <row r="20">
          <cell r="D20" t="str">
            <v>Monthly Distribution Wheeling Service Rate – Waterloo North Hydro</v>
          </cell>
        </row>
        <row r="21">
          <cell r="D21" t="str">
            <v>Rate Rider for Deferral/Variance Account Disposition – effective until April 30, 2014</v>
          </cell>
        </row>
        <row r="22">
          <cell r="D22" t="str">
            <v>Rate Rider for Deferral/Variance Account Disposition (2009) – effective until April 30, 2013</v>
          </cell>
        </row>
        <row r="23">
          <cell r="D23" t="str">
            <v>Rate Rider for Deferral/Variance Account Disposition (2010) – effective until April 30, 2012</v>
          </cell>
        </row>
        <row r="24">
          <cell r="D24" t="str">
            <v>Rate Rider for Deferral/Variance Account Disposition (2010) – effective until April 30, 2012 Applicable only for Wholesale Market Participants</v>
          </cell>
        </row>
        <row r="25">
          <cell r="D25" t="str">
            <v>Rate Rider for Deferral/Variance Account Disposition (2010) – effective until April 30, 2013</v>
          </cell>
        </row>
        <row r="26">
          <cell r="D26" t="str">
            <v>Rate Rider for Deferral/Variance Account Disposition (2010) – effective until April 30, 2014</v>
          </cell>
        </row>
        <row r="27">
          <cell r="D27" t="str">
            <v>Rate Rider for Deferral/Variance Account Disposition (2010) – effective until January 31, 2012</v>
          </cell>
        </row>
        <row r="28">
          <cell r="D28" t="str">
            <v>Rate Rider for Deferral/Variance Account Disposition (2011) – effective until April 30, 2012</v>
          </cell>
        </row>
        <row r="29">
          <cell r="D29" t="str">
            <v>Rate Rider for Deferral/Variance Account Disposition (2011) – effective until April 30, 2012 (per connection)</v>
          </cell>
        </row>
        <row r="30">
          <cell r="D30" t="str">
            <v>Rate Rider for Deferral/Variance Account Disposition (2011) – effective until April 30, 2013</v>
          </cell>
        </row>
        <row r="31">
          <cell r="D31" t="str">
            <v>Rate Rider for Deferral/Variance Account Disposition (2011) – effective until April 30, 2013 Applicable only for Wholesale Market Participants</v>
          </cell>
        </row>
        <row r="32">
          <cell r="D32" t="str">
            <v>Rate Rider for Deferral/Variance Account Disposition (2011) – effective until April 30, 2014</v>
          </cell>
        </row>
        <row r="33">
          <cell r="D33" t="str">
            <v>Rate Rider for Deferral/Variance Account Disposition (2011) – effective until April 30, 2015</v>
          </cell>
        </row>
        <row r="34">
          <cell r="D34" t="str">
            <v>Rate Rider for Deferral/Variance Account Disposition (2011) – effective until December 31, 2011</v>
          </cell>
        </row>
        <row r="35">
          <cell r="D35" t="str">
            <v>Rate Rider for Global Adjustment Sub-Account (2010) – effective until April 30, 2012 Applicable only for Non-RPP Customers</v>
          </cell>
        </row>
        <row r="36">
          <cell r="D36" t="str">
            <v>Rate Rider for Global Adjustment Sub-Account (2011) – effective until April 30, 2012 Applicable only for Non-RPP Customers</v>
          </cell>
        </row>
        <row r="37">
          <cell r="D37" t="str">
            <v>Rate Rider for Global Adjustment Sub-Account Disposition – effective until April 30, 2012 Applicable only for Non-RPP Customers</v>
          </cell>
        </row>
        <row r="38">
          <cell r="D38" t="str">
            <v>Rate Rider for Global Adjustment Sub-Account Disposition – effective until April 30, 2014 Applicable only for Non-RPP Customers</v>
          </cell>
        </row>
        <row r="39">
          <cell r="D39" t="str">
            <v>Rate Rider for Global Adjustment Sub-Account Disposition (2010 credit) – effective until April 30, 2012 Applicable only for Non-RPP Customers</v>
          </cell>
        </row>
        <row r="40">
          <cell r="D40" t="str">
            <v>Rate Rider for Global Adjustment Sub-Account Disposition (2010 recalculated) – effective until April 30, 2013 Applicable only for Non-RPP Customers</v>
          </cell>
        </row>
        <row r="41">
          <cell r="D41" t="str">
            <v>Rate Rider for Global Adjustment Sub-Account Disposition (2010) – effective until April 30, 2012 Applicable only for Non-RPP Customers</v>
          </cell>
        </row>
        <row r="42">
          <cell r="D42" t="str">
            <v>Rate Rider for Global Adjustment Sub-Account Disposition (2010) – effective until April 30, 2013 Applicable only for Non-RPP Customers</v>
          </cell>
        </row>
        <row r="43">
          <cell r="D43" t="str">
            <v>Rate Rider for Global Adjustment Sub-Account Disposition (2010) – effective until April 30, 2014 Applicable only for Non-RPP Customers</v>
          </cell>
        </row>
        <row r="44">
          <cell r="D44" t="str">
            <v>Rate Rider for Global Adjustment Sub-Account Disposition (2011) – effective until April 30, 2012 Applicable only for Non-RPP Customers</v>
          </cell>
        </row>
        <row r="45">
          <cell r="D45" t="str">
            <v>Rate Rider for Global Adjustment Sub-Account Disposition (2011) – effective until April 30, 2012 Applicable only for Non-RPP Customers (per connection)</v>
          </cell>
        </row>
        <row r="46">
          <cell r="D46" t="str">
            <v>Rate Rider for Global Adjustment Sub-Account Disposition (2011) – effective until April 30, 2013 Applicable only for Non-RPP Customers</v>
          </cell>
        </row>
        <row r="47">
          <cell r="D47" t="str">
            <v>Rate Rider for Global Adjustment Sub-Account Disposition (2011) – effective until April 30, 2013 Applicable only for Non-RPP Customers and excluding Wholesale Market Participants</v>
          </cell>
        </row>
        <row r="48">
          <cell r="D48" t="str">
            <v>Rate Rider for Global Adjustment Sub-Account Disposition (2011) – effective until April 30, 2015 Applicable only for Non-RPP Customers</v>
          </cell>
        </row>
        <row r="49">
          <cell r="D49" t="str">
            <v>Rate Rider for Lost Revenue Adjustment Mechanism (LRAM) Recovery – effective until April 30, 2012</v>
          </cell>
        </row>
        <row r="50">
          <cell r="D50" t="str">
            <v>Rate Rider for Lost Revenue Adjustment Mechanism (LRAM) Recovery/Shared Savings Mechanism (SSM) Recovery – effective until April 30, 2012</v>
          </cell>
        </row>
        <row r="51">
          <cell r="D51" t="str">
            <v>Rate Rider for Lost Revenue Adjustment Mechanism (LRAM) Recovery/Shared Savings Mechanism (SSM) Recovery – effective until April 30, 2012</v>
          </cell>
        </row>
        <row r="52">
          <cell r="D52" t="str">
            <v>Rate Rider for Lost Revenue Adjustment Mechanism (LRAM) Recovery/Shared Savings Mechanism (SSM) Recovery – effective until April 30, 2013</v>
          </cell>
        </row>
        <row r="53">
          <cell r="D53" t="str">
            <v>Rate Rider for Lost Revenue Adjustment Mechanism (LRAM) Recovery/Shared Savings Mechanism (SSM) Recovery – effective until April 30, 2014</v>
          </cell>
        </row>
        <row r="54">
          <cell r="D54" t="str">
            <v>Rate Rider for Lost Revenue Adjustment Mechanism (LRAM) Recovery/Shared Savings Mechanism (SSM) Recovery – effective until December 31, 2012</v>
          </cell>
        </row>
        <row r="55">
          <cell r="D55" t="str">
            <v>Rate Rider for Lost Revenue Adjustment Mechanism (LRAM) Recovery/Shared Savings Mechanism (SSM) Recovery (2009) – effective until April 30, 2012</v>
          </cell>
        </row>
        <row r="56">
          <cell r="D56" t="str">
            <v>Rate Rider for Lost Revenue Adjustment Mechanism (LRAM) Recovery/Shared Savings Mechanism (SSM) Recovery (2011) – effective until April 30, 2012</v>
          </cell>
        </row>
        <row r="57">
          <cell r="D57" t="str">
            <v>Rate Rider for Lost Revenue Adjustment Mechanism (LRAM) Recovery/Shared Savings Mechanism (SSM) Recovery (2011) – effective until April 30, 2013</v>
          </cell>
        </row>
        <row r="58">
          <cell r="D58" t="str">
            <v>Rate Rider for Recalculated Deferral/Variance Account Disposition (2010) – effective until April 30, 2013</v>
          </cell>
        </row>
        <row r="59">
          <cell r="D59" t="str">
            <v>Rate Rider for Recovery of Foregone Revenue – effective until December 31, 2011</v>
          </cell>
        </row>
        <row r="60">
          <cell r="D60" t="str">
            <v>Rate Rider for Recovery of Incremental Capital Costs – effective until April 30, 2012</v>
          </cell>
        </row>
        <row r="61">
          <cell r="D61" t="str">
            <v>Rate Rider for Recovery of Incremental Capital Costs – effective until April 30, 2013</v>
          </cell>
        </row>
        <row r="62">
          <cell r="D62" t="str">
            <v>Rate Rider for Recovery of Late Payment Penalty Litigation Costs – effective until April 30, 2012</v>
          </cell>
        </row>
        <row r="63">
          <cell r="D63" t="str">
            <v>Rate Rider for Recovery of Late Payment Penalty Litigation Costs – effective until April 30, 2012 (per connection)</v>
          </cell>
        </row>
        <row r="64">
          <cell r="D64" t="str">
            <v>Rate Rider for Recovery of Late Payment Penalty Litigation Costs (per customer) – effective until April 30, 2012</v>
          </cell>
        </row>
        <row r="65">
          <cell r="D65" t="str">
            <v>Rate Rider for Recovery of Stranded Meter Assets – effective until December 31, 2012</v>
          </cell>
        </row>
        <row r="66">
          <cell r="D66" t="str">
            <v>Rate Rider for Regulatory Asset Recovery – effective until April 30, 2012</v>
          </cell>
        </row>
        <row r="67">
          <cell r="D67" t="str">
            <v>Rate Rider for Regulatory Asset Recovery – effective until April 30, 2013</v>
          </cell>
        </row>
        <row r="68">
          <cell r="D68" t="str">
            <v>Rate Rider for Return of Revenue Sufficiency – effective until December 31, 2011</v>
          </cell>
        </row>
        <row r="69">
          <cell r="D69" t="str">
            <v>Rate Rider for Return of Transformer Ownership Allowance Sufficiency – effective until December 31, 2011</v>
          </cell>
        </row>
        <row r="70">
          <cell r="D70" t="str">
            <v>Rate Rider for Smart Meter Incremental Revenue Requirement – in effect until the effective date of the next cost of service application</v>
          </cell>
        </row>
        <row r="71">
          <cell r="D71" t="str">
            <v>Rate Rider for Smart Meter Variance Account Disposition – effective until April 30, 2012</v>
          </cell>
        </row>
        <row r="72">
          <cell r="D72" t="str">
            <v>Rate Rider for Smart Meter Variance Account Disposition – effective until December 31, 2011</v>
          </cell>
        </row>
        <row r="73">
          <cell r="D73" t="str">
            <v>Rate Rider for Tax Change – effective until April 20, 2012</v>
          </cell>
        </row>
        <row r="74">
          <cell r="D74" t="str">
            <v>Rate Rider for Tax Change – effective until April 30, 2012</v>
          </cell>
        </row>
        <row r="75">
          <cell r="D75" t="str">
            <v>Rate Rider for Tax Change – effective until April 30, 2012 (per connection)</v>
          </cell>
        </row>
        <row r="76">
          <cell r="D76" t="str">
            <v>Rate Rider for Tax Change – Hydro One Networks - effective until April 30, 2012</v>
          </cell>
        </row>
        <row r="77">
          <cell r="D77" t="str">
            <v>Rate Rider for Tax Change – Waterloo North Hydro – effective until April 30, 2012</v>
          </cell>
        </row>
        <row r="78">
          <cell r="D78" t="str">
            <v>Rate Rider for Tax Change Dedicated LV Line – effective until April 30, 2012</v>
          </cell>
        </row>
        <row r="79">
          <cell r="D79" t="str">
            <v>Rate Rider for Tax Change Shared LV Line – effective until April 30, 2012</v>
          </cell>
        </row>
        <row r="80">
          <cell r="D80" t="str">
            <v>Rate Rider for Z-Factor Recovery – Effective until April 30, 2012</v>
          </cell>
        </row>
        <row r="81">
          <cell r="D81" t="str">
            <v>Retail Transmission Rate – Line and Transformation Connection Service Rate</v>
          </cell>
        </row>
        <row r="82">
          <cell r="D82" t="str">
            <v>Retail Transmission Rate – Line and Transformation Connection Service Rate – Interval Metered</v>
          </cell>
        </row>
        <row r="83">
          <cell r="D83" t="str">
            <v>Retail Transmission Rate – Line and Transformation Connection Service Rate – Interval Metered &lt; 1,000 kW</v>
          </cell>
        </row>
        <row r="84">
          <cell r="D84" t="str">
            <v>Retail Transmission Rate – Line and Transformation Connection Service Rate – Interval Metered &gt; 1,000 kW</v>
          </cell>
        </row>
        <row r="85">
          <cell r="D85" t="str">
            <v>Retail Transmission Rate – Line and Transformation Connection Service Rate – Interval Metered ≥ 1,000kW</v>
          </cell>
        </row>
        <row r="86">
          <cell r="D86" t="str">
            <v>Retail Transmission Rate – Line Connection Service Rate</v>
          </cell>
        </row>
        <row r="87">
          <cell r="D87" t="str">
            <v>Retail Transmission Rate – Network Service Rate</v>
          </cell>
        </row>
        <row r="88">
          <cell r="D88" t="str">
            <v>Retail Transmission Rate – Network Service Rate – Interval Metered</v>
          </cell>
        </row>
        <row r="89">
          <cell r="D89" t="str">
            <v>Retail Transmission Rate – Network Service Rate – Interval Metered &lt; 1,000 kW Rate</v>
          </cell>
        </row>
        <row r="90">
          <cell r="D90" t="str">
            <v>Retail Transmission Rate – Network Service Rate – Interval Metered &gt; 1,000 kW</v>
          </cell>
        </row>
        <row r="91">
          <cell r="D91" t="str">
            <v>Retail Transmission Rate – Network Service Rate – Interval Metered ≥ 1,000 kW</v>
          </cell>
        </row>
        <row r="92">
          <cell r="D92" t="str">
            <v>Retail Transmission Rate – Transformation Connection Service Rate</v>
          </cell>
        </row>
        <row r="93">
          <cell r="D93" t="str">
            <v>Service Charge</v>
          </cell>
        </row>
        <row r="94">
          <cell r="D94" t="str">
            <v>Service Charge (Based on 30 day month)</v>
          </cell>
        </row>
        <row r="95">
          <cell r="D95" t="str">
            <v>Service Charge (per account)</v>
          </cell>
        </row>
        <row r="96">
          <cell r="D96" t="str">
            <v>Service Charge (per connection)</v>
          </cell>
        </row>
        <row r="97">
          <cell r="D97" t="str">
            <v>Service Charge (per customer)</v>
          </cell>
        </row>
        <row r="98">
          <cell r="D98" t="str">
            <v>Service Charge for metered account</v>
          </cell>
        </row>
        <row r="99">
          <cell r="D99" t="str">
            <v>Service Charge for Unmetered Scattered Load account (per connection)</v>
          </cell>
        </row>
        <row r="100">
          <cell r="D100" t="str">
            <v>Smart Grid Rate Adder</v>
          </cell>
        </row>
        <row r="101">
          <cell r="D101" t="str">
            <v>Smart Meter Disposition Rider 2 – effective until next cost of service application</v>
          </cell>
        </row>
        <row r="102">
          <cell r="D102" t="str">
            <v>Smart Meter Disposition Rider 3 – effective until next cost of service application</v>
          </cell>
        </row>
        <row r="103">
          <cell r="D103" t="str">
            <v>Smart Meter Funding Adder</v>
          </cell>
        </row>
        <row r="104">
          <cell r="D104" t="str">
            <v>Smart Meter Funding Adder – effective until April 30, 2012</v>
          </cell>
        </row>
        <row r="105">
          <cell r="D105" t="str">
            <v>Smart Meter Funding Adder – effective until December 31, 2011</v>
          </cell>
        </row>
        <row r="106">
          <cell r="D106" t="str">
            <v>Smart Meter Funding Adder for metered account – effective until April 30, 2012</v>
          </cell>
        </row>
        <row r="107">
          <cell r="D107" t="str">
            <v>Standby Charge – for a month where standby power is not provided. The charge is applied to the contracted amount (e.g. nameplate rating of the generation facility).</v>
          </cell>
        </row>
        <row r="108">
          <cell r="D108" t="str">
            <v>Total Loss Factor – Primary Metered Customer &lt; 5,000 kW</v>
          </cell>
        </row>
        <row r="109">
          <cell r="D109" t="str">
            <v>Total Loss Factor – Primary Metered Customer &gt; 5,000 kW</v>
          </cell>
        </row>
        <row r="110">
          <cell r="D110" t="str">
            <v>Total Loss Factor – Secondary Metered Customer &lt; 5,000 kW</v>
          </cell>
        </row>
        <row r="111">
          <cell r="D111" t="str">
            <v>Total Loss Factor – Secondary Metered Customer &gt; 5,000 kW</v>
          </cell>
        </row>
        <row r="112">
          <cell r="D112" t="str">
            <v>Transmission Rate – Network Service Rate – Interval Metered</v>
          </cell>
        </row>
      </sheetData>
      <sheetData sheetId="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efreshError="1">
        <row r="1">
          <cell r="A1" t="str">
            <v>LDC Name</v>
          </cell>
        </row>
      </sheetData>
      <sheetData sheetId="3"/>
      <sheetData sheetId="4"/>
      <sheetData sheetId="5"/>
      <sheetData sheetId="6"/>
      <sheetData sheetId="7"/>
      <sheetData sheetId="8" refreshError="1"/>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2:O37"/>
  <sheetViews>
    <sheetView showGridLines="0" tabSelected="1" view="pageLayout" zoomScaleNormal="100" workbookViewId="0">
      <selection activeCell="L1" sqref="L1"/>
    </sheetView>
  </sheetViews>
  <sheetFormatPr defaultColWidth="9.140625" defaultRowHeight="12.75" x14ac:dyDescent="0.2"/>
  <cols>
    <col min="1" max="1" width="14.85546875" style="71" bestFit="1" customWidth="1"/>
    <col min="2" max="3" width="14.140625" style="71" customWidth="1"/>
    <col min="4" max="4" width="15.42578125" style="71" customWidth="1"/>
    <col min="5" max="5" width="14.42578125" style="71" bestFit="1" customWidth="1"/>
    <col min="6" max="6" width="9.140625" style="71"/>
    <col min="7" max="7" width="9.140625" style="71" customWidth="1"/>
    <col min="8" max="8" width="9.140625" style="71"/>
    <col min="9" max="9" width="0" style="71" hidden="1" customWidth="1"/>
    <col min="10" max="10" width="9.140625" style="71"/>
    <col min="11" max="11" width="8.7109375" style="71" bestFit="1" customWidth="1"/>
    <col min="12" max="12" width="9.140625" style="71" customWidth="1"/>
    <col min="13" max="13" width="8.85546875" style="71" customWidth="1"/>
    <col min="14" max="14" width="9" style="71" customWidth="1"/>
    <col min="15" max="16384" width="9.140625" style="71"/>
  </cols>
  <sheetData>
    <row r="2" spans="1:15" ht="25.5" x14ac:dyDescent="0.2">
      <c r="A2" s="126" t="s">
        <v>95</v>
      </c>
      <c r="B2" s="127"/>
      <c r="C2" s="127"/>
      <c r="D2" s="127"/>
      <c r="E2" s="128"/>
    </row>
    <row r="3" spans="1:15" ht="63.75" x14ac:dyDescent="0.2">
      <c r="A3" s="129" t="s">
        <v>88</v>
      </c>
      <c r="B3" s="129" t="s">
        <v>72</v>
      </c>
      <c r="C3" s="129" t="s">
        <v>86</v>
      </c>
      <c r="D3" s="129" t="s">
        <v>74</v>
      </c>
      <c r="E3" s="129" t="s">
        <v>87</v>
      </c>
      <c r="O3" s="150"/>
    </row>
    <row r="4" spans="1:15" x14ac:dyDescent="0.2">
      <c r="A4" s="110" t="s">
        <v>89</v>
      </c>
      <c r="B4" s="111">
        <f>'2016 Bill Impact'!C14</f>
        <v>12.98</v>
      </c>
      <c r="C4" s="111">
        <f>'2016 Bill Impact'!C15</f>
        <v>-0.13</v>
      </c>
      <c r="D4" s="112">
        <f>'2016 Bill Impact'!C17</f>
        <v>2.2200000000000001E-2</v>
      </c>
      <c r="E4" s="112">
        <f>'2016 Bill Impact'!C18</f>
        <v>-2.0000000000000001E-4</v>
      </c>
    </row>
    <row r="5" spans="1:15" x14ac:dyDescent="0.2">
      <c r="A5" s="110" t="s">
        <v>90</v>
      </c>
      <c r="B5" s="111">
        <f>'2016 Bill Impact'!G14</f>
        <v>16.38</v>
      </c>
      <c r="C5" s="111">
        <f>'2016 Bill Impact'!G15</f>
        <v>-0.1638</v>
      </c>
      <c r="D5" s="112">
        <f>'2016 Bill Impact'!G17</f>
        <v>1.78E-2</v>
      </c>
      <c r="E5" s="112">
        <f>'2016 Bill Impact'!G18</f>
        <v>-2.0000000000000001E-4</v>
      </c>
    </row>
    <row r="6" spans="1:15" x14ac:dyDescent="0.2">
      <c r="A6" s="110" t="s">
        <v>91</v>
      </c>
      <c r="B6" s="111">
        <f>'2017 Bill Impact'!G14</f>
        <v>19.77</v>
      </c>
      <c r="C6" s="111">
        <f>'2017 Bill Impact'!G15</f>
        <v>-0.19769999999999999</v>
      </c>
      <c r="D6" s="112">
        <f>'2017 Bill Impact'!G17</f>
        <v>1.3299999999999999E-2</v>
      </c>
      <c r="E6" s="112">
        <f>'2017 Bill Impact'!G18</f>
        <v>-1E-4</v>
      </c>
    </row>
    <row r="7" spans="1:15" x14ac:dyDescent="0.2">
      <c r="A7" s="110" t="s">
        <v>92</v>
      </c>
      <c r="B7" s="111">
        <f>'2018 Bill Impact'!G14</f>
        <v>23.18</v>
      </c>
      <c r="C7" s="111">
        <f>'2018 Bill Impact'!G15</f>
        <v>-0.23180000000000001</v>
      </c>
      <c r="D7" s="112">
        <f>'2018 Bill Impact'!G17</f>
        <v>8.8999999999999999E-3</v>
      </c>
      <c r="E7" s="112">
        <f>'2018 Bill Impact'!G18</f>
        <v>-1E-4</v>
      </c>
    </row>
    <row r="8" spans="1:15" x14ac:dyDescent="0.2">
      <c r="A8" s="110" t="s">
        <v>93</v>
      </c>
      <c r="B8" s="111">
        <f>'2019 Bill Impact'!G14</f>
        <v>26.57</v>
      </c>
      <c r="C8" s="111">
        <f>'2019 Bill Impact'!G15</f>
        <v>-0.26569999999999999</v>
      </c>
      <c r="D8" s="112">
        <f>'2019 Bill Impact'!G17</f>
        <v>4.4000000000000003E-3</v>
      </c>
      <c r="E8" s="244">
        <f>'2019 Bill Impact'!G18</f>
        <v>-4.0000000000000003E-5</v>
      </c>
    </row>
    <row r="9" spans="1:15" x14ac:dyDescent="0.2">
      <c r="A9" s="110" t="s">
        <v>94</v>
      </c>
      <c r="B9" s="111">
        <f>'2020 Bill Impact'!G14</f>
        <v>29.98</v>
      </c>
      <c r="C9" s="111">
        <f>'2020 Bill Impact'!G15</f>
        <v>-0.29980000000000001</v>
      </c>
      <c r="D9" s="112">
        <f>'2020 Bill Impact'!G17</f>
        <v>0</v>
      </c>
      <c r="E9" s="112">
        <f>'2020 Bill Impact'!G18</f>
        <v>0</v>
      </c>
    </row>
    <row r="10" spans="1:15" x14ac:dyDescent="0.2">
      <c r="E10" s="123"/>
    </row>
    <row r="11" spans="1:15" ht="15.75" customHeight="1" x14ac:dyDescent="0.2"/>
    <row r="13" spans="1:15" s="150" customFormat="1" ht="25.5" x14ac:dyDescent="0.2">
      <c r="A13" s="124" t="s">
        <v>115</v>
      </c>
      <c r="B13" s="125"/>
      <c r="C13" s="125"/>
      <c r="D13" s="125"/>
      <c r="E13" s="162"/>
    </row>
    <row r="14" spans="1:15" x14ac:dyDescent="0.2">
      <c r="A14" s="167" t="s">
        <v>107</v>
      </c>
      <c r="B14" s="182" t="s">
        <v>98</v>
      </c>
      <c r="C14" s="181" t="s">
        <v>99</v>
      </c>
      <c r="D14" s="181" t="s">
        <v>100</v>
      </c>
      <c r="E14" s="181" t="s">
        <v>101</v>
      </c>
    </row>
    <row r="15" spans="1:15" x14ac:dyDescent="0.2">
      <c r="A15" s="156" t="s">
        <v>118</v>
      </c>
      <c r="B15" s="159">
        <f>'2016 Bill Impact'!E39</f>
        <v>64.321871062700012</v>
      </c>
      <c r="C15" s="152">
        <f>'2016 Bill Impact'!I39</f>
        <v>66.708657062700013</v>
      </c>
      <c r="D15" s="152">
        <f>'2016 Bill Impact'!K39</f>
        <v>2.3867860000000007</v>
      </c>
      <c r="E15" s="164">
        <f>'2016 Bill Impact'!L39</f>
        <v>3.7106911856985558E-2</v>
      </c>
    </row>
    <row r="16" spans="1:15" x14ac:dyDescent="0.2">
      <c r="A16" s="157" t="s">
        <v>106</v>
      </c>
      <c r="B16" s="160">
        <f>'2016 Bill Impact'!E75</f>
        <v>150.88338017599997</v>
      </c>
      <c r="C16" s="151">
        <f>'2016 Bill Impact'!I75</f>
        <v>150.70958617599999</v>
      </c>
      <c r="D16" s="151">
        <f>'2016 Bill Impact'!K75</f>
        <v>-0.17379399999998668</v>
      </c>
      <c r="E16" s="165">
        <f>'2016 Bill Impact'!L75</f>
        <v>-1.1518432301640402E-3</v>
      </c>
    </row>
    <row r="17" spans="1:5" x14ac:dyDescent="0.2">
      <c r="A17" s="158" t="s">
        <v>116</v>
      </c>
      <c r="B17" s="161">
        <f>'2016 Bill Impact'!E111</f>
        <v>268.53980032999999</v>
      </c>
      <c r="C17" s="155">
        <f>'2016 Bill Impact'!I111</f>
        <v>264.88560633000003</v>
      </c>
      <c r="D17" s="155">
        <f>'2016 Bill Impact'!K111</f>
        <v>-3.6541939999999613</v>
      </c>
      <c r="E17" s="166">
        <f>'2016 Bill Impact'!L111</f>
        <v>-1.3607643989864582E-2</v>
      </c>
    </row>
    <row r="18" spans="1:5" x14ac:dyDescent="0.2">
      <c r="A18" s="153"/>
      <c r="B18" s="160"/>
      <c r="C18" s="151"/>
      <c r="D18" s="151"/>
      <c r="E18" s="165"/>
    </row>
    <row r="19" spans="1:5" x14ac:dyDescent="0.2">
      <c r="A19" s="153"/>
      <c r="B19" s="182" t="s">
        <v>99</v>
      </c>
      <c r="C19" s="181" t="s">
        <v>102</v>
      </c>
      <c r="D19" s="181" t="s">
        <v>100</v>
      </c>
      <c r="E19" s="181" t="s">
        <v>101</v>
      </c>
    </row>
    <row r="20" spans="1:5" x14ac:dyDescent="0.2">
      <c r="A20" s="156" t="s">
        <v>118</v>
      </c>
      <c r="B20" s="171">
        <f>C15</f>
        <v>66.708657062700013</v>
      </c>
      <c r="C20" s="152">
        <f>'2017 Bill Impact'!I39</f>
        <v>69.084030062699995</v>
      </c>
      <c r="D20" s="152">
        <f>'2017 Bill Impact'!K39</f>
        <v>2.375372999999982</v>
      </c>
      <c r="E20" s="164">
        <f>'2017 Bill Impact'!L39</f>
        <v>3.5608166984494316E-2</v>
      </c>
    </row>
    <row r="21" spans="1:5" x14ac:dyDescent="0.2">
      <c r="A21" s="157" t="s">
        <v>106</v>
      </c>
      <c r="B21" s="172">
        <f>C16</f>
        <v>150.70958617599999</v>
      </c>
      <c r="C21" s="151">
        <f>'2017 Bill Impact'!I75</f>
        <v>150.524379176</v>
      </c>
      <c r="D21" s="151">
        <f>'2017 Bill Impact'!K75</f>
        <v>-0.18520699999999124</v>
      </c>
      <c r="E21" s="165">
        <f>'2017 Bill Impact'!L75</f>
        <v>-1.228899930650118E-3</v>
      </c>
    </row>
    <row r="22" spans="1:5" x14ac:dyDescent="0.2">
      <c r="A22" s="158" t="s">
        <v>116</v>
      </c>
      <c r="B22" s="173">
        <f>C17</f>
        <v>264.88560633000003</v>
      </c>
      <c r="C22" s="155">
        <f>'2017 Bill Impact'!I111</f>
        <v>261.21999933000001</v>
      </c>
      <c r="D22" s="155">
        <f>'2017 Bill Impact'!K111</f>
        <v>-3.6656070000000227</v>
      </c>
      <c r="E22" s="166">
        <f>'2017 Bill Impact'!L111</f>
        <v>-1.383845294875452E-2</v>
      </c>
    </row>
    <row r="23" spans="1:5" x14ac:dyDescent="0.2">
      <c r="A23" s="153"/>
      <c r="B23" s="154"/>
      <c r="C23" s="154"/>
      <c r="D23" s="154"/>
      <c r="E23" s="163"/>
    </row>
    <row r="24" spans="1:5" x14ac:dyDescent="0.2">
      <c r="A24" s="177"/>
      <c r="B24" s="182" t="s">
        <v>102</v>
      </c>
      <c r="C24" s="181" t="s">
        <v>103</v>
      </c>
      <c r="D24" s="181" t="s">
        <v>100</v>
      </c>
      <c r="E24" s="181" t="s">
        <v>101</v>
      </c>
    </row>
    <row r="25" spans="1:5" x14ac:dyDescent="0.2">
      <c r="A25" s="156" t="s">
        <v>118</v>
      </c>
      <c r="B25" s="174">
        <f>C20</f>
        <v>69.084030062699995</v>
      </c>
      <c r="C25" s="152">
        <f>'2018 Bill Impact'!I39</f>
        <v>71.48177706269999</v>
      </c>
      <c r="D25" s="152">
        <f>'2018 Bill Impact'!K39</f>
        <v>2.3977469999999954</v>
      </c>
      <c r="E25" s="164">
        <f>'2018 Bill Impact'!L39</f>
        <v>3.4707688561651961E-2</v>
      </c>
    </row>
    <row r="26" spans="1:5" x14ac:dyDescent="0.2">
      <c r="A26" s="157" t="s">
        <v>106</v>
      </c>
      <c r="B26" s="175">
        <f>C21</f>
        <v>150.524379176</v>
      </c>
      <c r="C26" s="151">
        <f>'2018 Bill Impact'!I75</f>
        <v>150.36154617600002</v>
      </c>
      <c r="D26" s="151">
        <f>'2018 Bill Impact'!K75</f>
        <v>-0.1628329999999778</v>
      </c>
      <c r="E26" s="165">
        <f>'2018 Bill Impact'!L75</f>
        <v>-1.0817716099634778E-3</v>
      </c>
    </row>
    <row r="27" spans="1:5" x14ac:dyDescent="0.2">
      <c r="A27" s="158" t="s">
        <v>116</v>
      </c>
      <c r="B27" s="176">
        <f>C22</f>
        <v>261.21999933000001</v>
      </c>
      <c r="C27" s="155">
        <f>'2018 Bill Impact'!I111</f>
        <v>257.57676633</v>
      </c>
      <c r="D27" s="155">
        <f>'2018 Bill Impact'!K111</f>
        <v>-3.6432330000000093</v>
      </c>
      <c r="E27" s="166">
        <f>'2018 Bill Impact'!L111</f>
        <v>-1.3946991077806059E-2</v>
      </c>
    </row>
    <row r="28" spans="1:5" x14ac:dyDescent="0.2">
      <c r="A28" s="153"/>
      <c r="B28" s="154"/>
      <c r="C28" s="154"/>
      <c r="D28" s="154"/>
      <c r="E28" s="163"/>
    </row>
    <row r="29" spans="1:5" x14ac:dyDescent="0.2">
      <c r="A29" s="153"/>
      <c r="B29" s="182" t="s">
        <v>103</v>
      </c>
      <c r="C29" s="181" t="s">
        <v>104</v>
      </c>
      <c r="D29" s="181" t="s">
        <v>100</v>
      </c>
      <c r="E29" s="181" t="s">
        <v>101</v>
      </c>
    </row>
    <row r="30" spans="1:5" x14ac:dyDescent="0.2">
      <c r="A30" s="156" t="s">
        <v>118</v>
      </c>
      <c r="B30" s="171">
        <f>C25</f>
        <v>71.48177706269999</v>
      </c>
      <c r="C30" s="152">
        <f>'2019 Bill Impact'!I39</f>
        <v>72.951568062700005</v>
      </c>
      <c r="D30" s="152">
        <f>'2019 Bill Impact'!K39</f>
        <v>1.4697910000000149</v>
      </c>
      <c r="E30" s="164">
        <f>'2019 Bill Impact'!L39</f>
        <v>2.0561757980789963E-2</v>
      </c>
    </row>
    <row r="31" spans="1:5" x14ac:dyDescent="0.2">
      <c r="A31" s="157" t="s">
        <v>106</v>
      </c>
      <c r="B31" s="172">
        <f>C26</f>
        <v>150.36154617600002</v>
      </c>
      <c r="C31" s="151">
        <f>'2019 Bill Impact'!I75</f>
        <v>149.24747917599998</v>
      </c>
      <c r="D31" s="151">
        <f>'2019 Bill Impact'!K75</f>
        <v>-1.1140670000000341</v>
      </c>
      <c r="E31" s="165">
        <f>'2019 Bill Impact'!L75</f>
        <v>-7.4092547485246074E-3</v>
      </c>
    </row>
    <row r="32" spans="1:5" x14ac:dyDescent="0.2">
      <c r="A32" s="158" t="s">
        <v>116</v>
      </c>
      <c r="B32" s="173">
        <f>C27</f>
        <v>257.57676633</v>
      </c>
      <c r="C32" s="155">
        <f>'2019 Bill Impact'!I111</f>
        <v>252.95065932999998</v>
      </c>
      <c r="D32" s="155">
        <f>'2019 Bill Impact'!K111</f>
        <v>-4.6261070000000188</v>
      </c>
      <c r="E32" s="166">
        <f>'2019 Bill Impact'!L111</f>
        <v>-1.7960109779750821E-2</v>
      </c>
    </row>
    <row r="33" spans="1:5" x14ac:dyDescent="0.2">
      <c r="A33" s="153"/>
      <c r="B33" s="154"/>
      <c r="C33" s="154"/>
      <c r="D33" s="154"/>
      <c r="E33" s="163"/>
    </row>
    <row r="34" spans="1:5" x14ac:dyDescent="0.2">
      <c r="A34" s="153"/>
      <c r="B34" s="182" t="s">
        <v>104</v>
      </c>
      <c r="C34" s="181" t="s">
        <v>105</v>
      </c>
      <c r="D34" s="181" t="s">
        <v>100</v>
      </c>
      <c r="E34" s="181" t="s">
        <v>101</v>
      </c>
    </row>
    <row r="35" spans="1:5" x14ac:dyDescent="0.2">
      <c r="A35" s="156" t="s">
        <v>118</v>
      </c>
      <c r="B35" s="168">
        <f>C30</f>
        <v>72.951568062700005</v>
      </c>
      <c r="C35" s="152">
        <f>'2020 Bill Impact'!I39</f>
        <v>75.362197062699991</v>
      </c>
      <c r="D35" s="152">
        <f>'2020 Bill Impact'!K39</f>
        <v>2.4106289999999859</v>
      </c>
      <c r="E35" s="164">
        <f>'2020 Bill Impact'!L39</f>
        <v>3.3044238307915696E-2</v>
      </c>
    </row>
    <row r="36" spans="1:5" x14ac:dyDescent="0.2">
      <c r="A36" s="157" t="s">
        <v>106</v>
      </c>
      <c r="B36" s="169">
        <f>C31</f>
        <v>149.24747917599998</v>
      </c>
      <c r="C36" s="151">
        <f>'2020 Bill Impact'!I75</f>
        <v>149.120806176</v>
      </c>
      <c r="D36" s="151">
        <f>'2020 Bill Impact'!K75</f>
        <v>-0.12667299999998249</v>
      </c>
      <c r="E36" s="165">
        <f>'2020 Bill Impact'!L75</f>
        <v>-8.4874465350670558E-4</v>
      </c>
    </row>
    <row r="37" spans="1:5" x14ac:dyDescent="0.2">
      <c r="A37" s="158" t="s">
        <v>116</v>
      </c>
      <c r="B37" s="170">
        <f>C32</f>
        <v>252.95065932999998</v>
      </c>
      <c r="C37" s="155">
        <f>'2020 Bill Impact'!I111</f>
        <v>249.37522632999995</v>
      </c>
      <c r="D37" s="155">
        <f>'2020 Bill Impact'!K111</f>
        <v>-3.5754330000000323</v>
      </c>
      <c r="E37" s="166">
        <f>'2020 Bill Impact'!L111</f>
        <v>-1.413490286789687E-2</v>
      </c>
    </row>
  </sheetData>
  <pageMargins left="0.7" right="0.7" top="0.75" bottom="0.75" header="0.3" footer="0.3"/>
  <pageSetup orientation="portrait" r:id="rId1"/>
  <headerFooter>
    <oddHeader>&amp;RFiled: 2016-10-18
EB-2016-0082
Draft Rate Order
Attachment 3
Page &amp;P of &amp;N</oddHeader>
  </headerFooter>
  <ignoredErrors>
    <ignoredError sqref="B4:B9 C4:C9 D4:E9" unlocked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G19"/>
  <sheetViews>
    <sheetView showGridLines="0" tabSelected="1" view="pageLayout" zoomScaleNormal="100" workbookViewId="0">
      <selection activeCell="L1" sqref="L1"/>
    </sheetView>
  </sheetViews>
  <sheetFormatPr defaultColWidth="9.140625" defaultRowHeight="12.75" x14ac:dyDescent="0.2"/>
  <cols>
    <col min="1" max="1" width="19" style="71" bestFit="1" customWidth="1"/>
    <col min="2" max="3" width="9.140625" style="71"/>
    <col min="4" max="4" width="10.85546875" style="71" bestFit="1" customWidth="1"/>
    <col min="5" max="5" width="9.28515625" style="71" bestFit="1" customWidth="1"/>
    <col min="6" max="6" width="15" style="71" customWidth="1"/>
    <col min="7" max="7" width="11.5703125" style="71" bestFit="1" customWidth="1"/>
    <col min="8" max="16384" width="9.140625" style="71"/>
  </cols>
  <sheetData>
    <row r="1" spans="1:7" s="72" customFormat="1" x14ac:dyDescent="0.2">
      <c r="E1" s="2"/>
      <c r="G1" s="3"/>
    </row>
    <row r="2" spans="1:7" s="72" customFormat="1" x14ac:dyDescent="0.2">
      <c r="E2" s="2"/>
      <c r="G2" s="3"/>
    </row>
    <row r="3" spans="1:7" s="72" customFormat="1" x14ac:dyDescent="0.2">
      <c r="E3" s="2"/>
      <c r="G3" s="3"/>
    </row>
    <row r="4" spans="1:7" s="72" customFormat="1" x14ac:dyDescent="0.2">
      <c r="E4" s="2"/>
      <c r="G4" s="3"/>
    </row>
    <row r="5" spans="1:7" s="72" customFormat="1" x14ac:dyDescent="0.2">
      <c r="E5" s="2"/>
      <c r="G5" s="3"/>
    </row>
    <row r="9" spans="1:7" x14ac:dyDescent="0.2">
      <c r="A9" s="115" t="s">
        <v>85</v>
      </c>
      <c r="B9" s="116"/>
      <c r="C9" s="116"/>
      <c r="D9" s="116"/>
      <c r="E9" s="116"/>
      <c r="F9" s="116"/>
      <c r="G9" s="117"/>
    </row>
    <row r="10" spans="1:7" ht="38.25" x14ac:dyDescent="0.2">
      <c r="A10" s="122" t="s">
        <v>71</v>
      </c>
      <c r="B10" s="122" t="s">
        <v>72</v>
      </c>
      <c r="C10" s="122" t="s">
        <v>73</v>
      </c>
      <c r="D10" s="122" t="s">
        <v>74</v>
      </c>
      <c r="E10" s="122" t="s">
        <v>73</v>
      </c>
      <c r="F10" s="122" t="s">
        <v>75</v>
      </c>
      <c r="G10" s="122" t="s">
        <v>73</v>
      </c>
    </row>
    <row r="11" spans="1:7" x14ac:dyDescent="0.2">
      <c r="A11" s="110" t="s">
        <v>76</v>
      </c>
      <c r="B11" s="110"/>
      <c r="C11" s="110"/>
      <c r="D11" s="110"/>
      <c r="E11" s="110"/>
      <c r="F11" s="110"/>
      <c r="G11" s="110"/>
    </row>
    <row r="12" spans="1:7" x14ac:dyDescent="0.2">
      <c r="A12" s="110" t="s">
        <v>77</v>
      </c>
      <c r="B12" s="111">
        <f>'2016 Bill Impact'!C14</f>
        <v>12.98</v>
      </c>
      <c r="C12" s="111"/>
      <c r="D12" s="112">
        <f>'2016 Bill Impact'!C17</f>
        <v>2.2200000000000001E-2</v>
      </c>
      <c r="E12" s="112"/>
      <c r="F12" s="113">
        <f>'App.2-PA_Res_Rate_Design_16'!B20</f>
        <v>4959005.9754000008</v>
      </c>
      <c r="G12" s="113"/>
    </row>
    <row r="13" spans="1:7" x14ac:dyDescent="0.2">
      <c r="A13" s="110" t="s">
        <v>38</v>
      </c>
      <c r="B13" s="111"/>
      <c r="C13" s="111"/>
      <c r="D13" s="112"/>
      <c r="E13" s="112"/>
      <c r="F13" s="113"/>
      <c r="G13" s="113"/>
    </row>
    <row r="14" spans="1:7" x14ac:dyDescent="0.2">
      <c r="A14" s="110" t="s">
        <v>78</v>
      </c>
      <c r="B14" s="111">
        <f>'2016 Bill Impact'!G14</f>
        <v>16.38</v>
      </c>
      <c r="C14" s="111">
        <f>B14-B12</f>
        <v>3.3999999999999986</v>
      </c>
      <c r="D14" s="112">
        <f>'2016 Bill Impact'!G17</f>
        <v>1.78E-2</v>
      </c>
      <c r="E14" s="112">
        <f>D14-D12</f>
        <v>-4.4000000000000011E-3</v>
      </c>
      <c r="F14" s="113">
        <f>'App.2-PA_Res_Rate_Design_16'!E45</f>
        <v>4964129.5045999996</v>
      </c>
      <c r="G14" s="114">
        <f>F14-F12</f>
        <v>5123.5291999988258</v>
      </c>
    </row>
    <row r="15" spans="1:7" x14ac:dyDescent="0.2">
      <c r="A15" s="110" t="s">
        <v>79</v>
      </c>
      <c r="B15" s="111">
        <f>'2017 Bill Impact'!G14</f>
        <v>19.77</v>
      </c>
      <c r="C15" s="111">
        <f>B15-B14</f>
        <v>3.3900000000000006</v>
      </c>
      <c r="D15" s="112">
        <f>'2017 Bill Impact'!G17</f>
        <v>1.3299999999999999E-2</v>
      </c>
      <c r="E15" s="112">
        <f>D15-D14</f>
        <v>-4.5000000000000005E-3</v>
      </c>
      <c r="F15" s="113">
        <f>'App.2-PA_Res_Rate_Design_17'!E45</f>
        <v>4954932.8230999997</v>
      </c>
      <c r="G15" s="114">
        <f>F15-F14</f>
        <v>-9196.6814999999478</v>
      </c>
    </row>
    <row r="16" spans="1:7" x14ac:dyDescent="0.2">
      <c r="A16" s="110" t="s">
        <v>80</v>
      </c>
      <c r="B16" s="111">
        <f>'2018 Bill Impact'!G14</f>
        <v>23.18</v>
      </c>
      <c r="C16" s="111">
        <f>B16-B15</f>
        <v>3.41</v>
      </c>
      <c r="D16" s="112">
        <f>'2018 Bill Impact'!G17</f>
        <v>8.8999999999999999E-3</v>
      </c>
      <c r="E16" s="112">
        <f>D16-D15</f>
        <v>-4.3999999999999994E-3</v>
      </c>
      <c r="F16" s="113">
        <f>'App.2-PA_Res_Rate_Design_18'!E45</f>
        <v>4961710.5522999996</v>
      </c>
      <c r="G16" s="114">
        <f>F16-F15</f>
        <v>6777.7291999999434</v>
      </c>
    </row>
    <row r="17" spans="1:7" x14ac:dyDescent="0.2">
      <c r="A17" s="110" t="s">
        <v>81</v>
      </c>
      <c r="B17" s="111">
        <f>'2019 Bill Impact'!G14</f>
        <v>26.57</v>
      </c>
      <c r="C17" s="111">
        <f>B17-B16</f>
        <v>3.3900000000000006</v>
      </c>
      <c r="D17" s="112">
        <f>'2019 Bill Impact'!G17</f>
        <v>4.4000000000000003E-3</v>
      </c>
      <c r="E17" s="112">
        <f>D17-D16</f>
        <v>-4.4999999999999997E-3</v>
      </c>
      <c r="F17" s="113">
        <f>'App.2-PA_Res_Rate_Design_19'!E45</f>
        <v>4952513.8708000006</v>
      </c>
      <c r="G17" s="114">
        <f>F17-F16</f>
        <v>-9196.6814999990165</v>
      </c>
    </row>
    <row r="18" spans="1:7" x14ac:dyDescent="0.2">
      <c r="A18" s="110" t="s">
        <v>82</v>
      </c>
      <c r="B18" s="111">
        <f>'2020 Bill Impact'!G14</f>
        <v>29.98</v>
      </c>
      <c r="C18" s="111">
        <f>B18-B17</f>
        <v>3.41</v>
      </c>
      <c r="D18" s="112">
        <f>'2020 Bill Impact'!G17</f>
        <v>0</v>
      </c>
      <c r="E18" s="112">
        <f>D18-D17</f>
        <v>-4.4000000000000003E-3</v>
      </c>
      <c r="F18" s="113">
        <f>App.2PA_Res_Rate_Design_20!E45</f>
        <v>4959291.5999999996</v>
      </c>
      <c r="G18" s="114">
        <f>F18-F17</f>
        <v>6777.7291999990121</v>
      </c>
    </row>
    <row r="19" spans="1:7" ht="25.5" x14ac:dyDescent="0.2">
      <c r="A19" s="118" t="s">
        <v>83</v>
      </c>
      <c r="B19" s="119"/>
      <c r="C19" s="120">
        <f>AVERAGE(C14:C18)</f>
        <v>3.4</v>
      </c>
      <c r="D19" s="180">
        <f>AVERAGE(D14:D18)</f>
        <v>8.8800000000000007E-3</v>
      </c>
      <c r="E19" s="180"/>
      <c r="F19" s="118" t="s">
        <v>84</v>
      </c>
      <c r="G19" s="121">
        <f>SUM(G14:G18)</f>
        <v>285.62459999881685</v>
      </c>
    </row>
  </sheetData>
  <pageMargins left="0.7" right="0.7" top="0.75" bottom="0.75" header="0.3" footer="0.3"/>
  <pageSetup orientation="portrait" r:id="rId1"/>
  <headerFooter>
    <oddHeader>&amp;RFiled: 2016-10-18
EB-2016-0082
Draft Rate Order
Attachment 3
Page &amp;P of &amp;N</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5" tint="0.59999389629810485"/>
    <pageSetUpPr fitToPage="1"/>
  </sheetPr>
  <dimension ref="A1:F61"/>
  <sheetViews>
    <sheetView showGridLines="0" tabSelected="1" view="pageLayout" zoomScaleNormal="100" workbookViewId="0">
      <selection activeCell="L1" sqref="L1"/>
    </sheetView>
  </sheetViews>
  <sheetFormatPr defaultColWidth="9.140625" defaultRowHeight="12.75" x14ac:dyDescent="0.2"/>
  <cols>
    <col min="1" max="1" width="32" style="1" customWidth="1"/>
    <col min="2" max="2" width="21.5703125" style="1" customWidth="1"/>
    <col min="3" max="4" width="21" style="1" customWidth="1"/>
    <col min="5" max="5" width="19.7109375" style="1" customWidth="1"/>
    <col min="6" max="6" width="15" style="1" customWidth="1"/>
    <col min="7" max="16384" width="9.140625" style="1"/>
  </cols>
  <sheetData>
    <row r="1" spans="1:6" x14ac:dyDescent="0.2">
      <c r="E1" s="2"/>
      <c r="F1" s="3"/>
    </row>
    <row r="2" spans="1:6" x14ac:dyDescent="0.2">
      <c r="E2" s="2"/>
      <c r="F2" s="3"/>
    </row>
    <row r="3" spans="1:6" x14ac:dyDescent="0.2">
      <c r="E3" s="2"/>
      <c r="F3" s="3"/>
    </row>
    <row r="4" spans="1:6" x14ac:dyDescent="0.2">
      <c r="E4" s="2"/>
      <c r="F4" s="3"/>
    </row>
    <row r="5" spans="1:6" x14ac:dyDescent="0.2">
      <c r="E5" s="2"/>
      <c r="F5" s="3"/>
    </row>
    <row r="6" spans="1:6" x14ac:dyDescent="0.2">
      <c r="E6" s="2"/>
      <c r="F6" s="3"/>
    </row>
    <row r="7" spans="1:6" x14ac:dyDescent="0.2">
      <c r="E7" s="178"/>
      <c r="F7" s="179"/>
    </row>
    <row r="9" spans="1:6" ht="18" x14ac:dyDescent="0.25">
      <c r="A9" s="248" t="s">
        <v>110</v>
      </c>
      <c r="B9" s="248"/>
      <c r="C9" s="248"/>
      <c r="D9" s="248"/>
      <c r="E9" s="248"/>
      <c r="F9" s="248"/>
    </row>
    <row r="10" spans="1:6" ht="18" x14ac:dyDescent="0.25">
      <c r="A10" s="248" t="s">
        <v>0</v>
      </c>
      <c r="B10" s="248"/>
      <c r="C10" s="248"/>
      <c r="D10" s="248"/>
      <c r="E10" s="248"/>
      <c r="F10" s="248"/>
    </row>
    <row r="12" spans="1:6" x14ac:dyDescent="0.2">
      <c r="A12" s="4"/>
    </row>
    <row r="14" spans="1:6" x14ac:dyDescent="0.2">
      <c r="A14" s="5" t="s">
        <v>1</v>
      </c>
      <c r="B14" s="5"/>
    </row>
    <row r="15" spans="1:6" ht="13.5" thickBot="1" x14ac:dyDescent="0.25"/>
    <row r="16" spans="1:6" ht="18" customHeight="1" x14ac:dyDescent="0.2">
      <c r="A16" s="249" t="s">
        <v>2</v>
      </c>
      <c r="B16" s="250"/>
      <c r="C16" s="4"/>
    </row>
    <row r="17" spans="1:6" ht="12.75" customHeight="1" x14ac:dyDescent="0.2">
      <c r="A17" s="6" t="s">
        <v>3</v>
      </c>
      <c r="B17" s="7">
        <v>13785</v>
      </c>
      <c r="E17" s="61"/>
      <c r="F17" s="62"/>
    </row>
    <row r="18" spans="1:6" ht="12.75" customHeight="1" thickBot="1" x14ac:dyDescent="0.25">
      <c r="A18" s="8" t="s">
        <v>4</v>
      </c>
      <c r="B18" s="9">
        <v>126660107</v>
      </c>
      <c r="E18" s="61"/>
      <c r="F18" s="62"/>
    </row>
    <row r="19" spans="1:6" ht="12.75" customHeight="1" thickBot="1" x14ac:dyDescent="0.25"/>
    <row r="20" spans="1:6" ht="33.75" customHeight="1" thickBot="1" x14ac:dyDescent="0.25">
      <c r="A20" s="10" t="s">
        <v>5</v>
      </c>
      <c r="B20" s="11">
        <f>(B17*B23*12)+B18*B24</f>
        <v>4959005.9754000008</v>
      </c>
      <c r="C20" s="243"/>
    </row>
    <row r="21" spans="1:6" ht="12.75" customHeight="1" thickBot="1" x14ac:dyDescent="0.25"/>
    <row r="22" spans="1:6" ht="15.75" customHeight="1" x14ac:dyDescent="0.2">
      <c r="A22" s="249" t="s">
        <v>6</v>
      </c>
      <c r="B22" s="250"/>
    </row>
    <row r="23" spans="1:6" ht="12.75" customHeight="1" x14ac:dyDescent="0.2">
      <c r="A23" s="6" t="s">
        <v>7</v>
      </c>
      <c r="B23" s="12">
        <v>12.98</v>
      </c>
    </row>
    <row r="24" spans="1:6" ht="12.75" customHeight="1" thickBot="1" x14ac:dyDescent="0.25">
      <c r="A24" s="8" t="s">
        <v>8</v>
      </c>
      <c r="B24" s="13">
        <v>2.2200000000000001E-2</v>
      </c>
    </row>
    <row r="25" spans="1:6" ht="12.75" customHeight="1" x14ac:dyDescent="0.2">
      <c r="B25" s="1" t="s">
        <v>34</v>
      </c>
    </row>
    <row r="26" spans="1:6" ht="12.75" customHeight="1" x14ac:dyDescent="0.2">
      <c r="A26" s="5" t="s">
        <v>9</v>
      </c>
    </row>
    <row r="27" spans="1:6" ht="12.75" customHeight="1" thickBot="1" x14ac:dyDescent="0.25"/>
    <row r="28" spans="1:6" ht="12.75" customHeight="1" x14ac:dyDescent="0.2">
      <c r="A28" s="14"/>
      <c r="B28" s="15" t="s">
        <v>10</v>
      </c>
      <c r="C28" s="16" t="s">
        <v>11</v>
      </c>
      <c r="D28" s="17" t="s">
        <v>12</v>
      </c>
      <c r="E28" s="18" t="s">
        <v>13</v>
      </c>
    </row>
    <row r="29" spans="1:6" ht="12.75" customHeight="1" x14ac:dyDescent="0.25">
      <c r="A29" s="6" t="s">
        <v>14</v>
      </c>
      <c r="B29" s="19">
        <f>IF(B23="","",B23)</f>
        <v>12.98</v>
      </c>
      <c r="C29" s="20">
        <f>IF(B17="","",B17)</f>
        <v>13785</v>
      </c>
      <c r="D29" s="21">
        <f>IF(ISERROR(B29*C29*12),"",B29*C29*12)</f>
        <v>2147151.6</v>
      </c>
      <c r="E29" s="22">
        <f>IF(ISERROR(D29/D31),"",D29/D31)</f>
        <v>0.43298024052628969</v>
      </c>
    </row>
    <row r="30" spans="1:6" ht="12.75" customHeight="1" x14ac:dyDescent="0.25">
      <c r="A30" s="6" t="s">
        <v>15</v>
      </c>
      <c r="B30" s="19">
        <f>IF(B24="","",B24)</f>
        <v>2.2200000000000001E-2</v>
      </c>
      <c r="C30" s="23">
        <f>IF(B18="","",B18)</f>
        <v>126660107</v>
      </c>
      <c r="D30" s="21">
        <f>IF(ISERROR(B30*C30),"",B30*C30)</f>
        <v>2811854.3754000003</v>
      </c>
      <c r="E30" s="22">
        <f>IF(ISERROR(D30/D31),"",D30/D31)</f>
        <v>0.56701975947371019</v>
      </c>
    </row>
    <row r="31" spans="1:6" ht="12.75" customHeight="1" thickBot="1" x14ac:dyDescent="0.3">
      <c r="A31" s="24" t="s">
        <v>16</v>
      </c>
      <c r="B31" s="25" t="s">
        <v>17</v>
      </c>
      <c r="C31" s="26" t="s">
        <v>17</v>
      </c>
      <c r="D31" s="27">
        <f>IF(ISERROR(D29+D30),"",D29+D30)</f>
        <v>4959005.9754000008</v>
      </c>
      <c r="E31" s="28" t="s">
        <v>17</v>
      </c>
    </row>
    <row r="32" spans="1:6" ht="12.75" customHeight="1" x14ac:dyDescent="0.2">
      <c r="A32" s="4"/>
    </row>
    <row r="33" spans="1:6" ht="12.75" customHeight="1" x14ac:dyDescent="0.2">
      <c r="A33" s="29" t="s">
        <v>18</v>
      </c>
    </row>
    <row r="34" spans="1:6" ht="12.75" customHeight="1" thickBot="1" x14ac:dyDescent="0.25">
      <c r="A34" s="4"/>
    </row>
    <row r="35" spans="1:6" ht="33.75" customHeight="1" thickBot="1" x14ac:dyDescent="0.25">
      <c r="A35" s="30" t="s">
        <v>19</v>
      </c>
      <c r="B35" s="31">
        <v>5</v>
      </c>
      <c r="C35" s="4"/>
    </row>
    <row r="36" spans="1:6" ht="12.75" customHeight="1" thickBot="1" x14ac:dyDescent="0.25">
      <c r="A36" s="4"/>
    </row>
    <row r="37" spans="1:6" ht="39" customHeight="1" x14ac:dyDescent="0.2">
      <c r="A37" s="32"/>
      <c r="B37" s="33" t="s">
        <v>20</v>
      </c>
      <c r="C37" s="34" t="s">
        <v>21</v>
      </c>
      <c r="D37" s="35" t="s">
        <v>22</v>
      </c>
    </row>
    <row r="38" spans="1:6" ht="12.75" customHeight="1" x14ac:dyDescent="0.25">
      <c r="A38" s="6" t="s">
        <v>14</v>
      </c>
      <c r="B38" s="21">
        <f>IF(ISERROR(B$20*E29),"",B$20*E29)</f>
        <v>2147151.6</v>
      </c>
      <c r="C38" s="36">
        <f>IF(ISERROR(ROUND(B38/B17/12,2)),"",ROUND(B38/B17/12,2))</f>
        <v>12.98</v>
      </c>
      <c r="D38" s="37">
        <f>IF(ISERROR(C38*B17*12),"",C38*B17*12)</f>
        <v>2147151.6</v>
      </c>
    </row>
    <row r="39" spans="1:6" ht="12.75" customHeight="1" x14ac:dyDescent="0.25">
      <c r="A39" s="38" t="s">
        <v>15</v>
      </c>
      <c r="B39" s="39">
        <f>IF(ISERROR(B$20*E30),"",B$20*E30)</f>
        <v>2811854.3754000003</v>
      </c>
      <c r="C39" s="40">
        <f>IF(ISERROR(ROUND(B39/B18,4)),"",ROUND(B39/B18,4))</f>
        <v>2.2200000000000001E-2</v>
      </c>
      <c r="D39" s="37">
        <f>IF(ISERROR(C39*B18),"",C39*B18)</f>
        <v>2811854.3754000003</v>
      </c>
    </row>
    <row r="40" spans="1:6" ht="12.75" customHeight="1" thickBot="1" x14ac:dyDescent="0.3">
      <c r="A40" s="41" t="s">
        <v>16</v>
      </c>
      <c r="B40" s="42">
        <f>IF(ISERROR(B38+B39),"",B38+B39)</f>
        <v>4959005.9754000008</v>
      </c>
      <c r="C40" s="43" t="s">
        <v>17</v>
      </c>
      <c r="D40" s="44">
        <f>IF(ISERROR(D38+D39),"",D38+D39)</f>
        <v>4959005.9754000008</v>
      </c>
    </row>
    <row r="41" spans="1:6" ht="12.75" customHeight="1" thickBot="1" x14ac:dyDescent="0.25">
      <c r="A41" s="4"/>
    </row>
    <row r="42" spans="1:6" ht="27" customHeight="1" x14ac:dyDescent="0.2">
      <c r="A42" s="32"/>
      <c r="B42" s="16" t="s">
        <v>23</v>
      </c>
      <c r="C42" s="45" t="s">
        <v>24</v>
      </c>
      <c r="D42" s="46" t="s">
        <v>25</v>
      </c>
      <c r="E42" s="47" t="s">
        <v>26</v>
      </c>
      <c r="F42" s="4"/>
    </row>
    <row r="43" spans="1:6" ht="12.75" customHeight="1" x14ac:dyDescent="0.25">
      <c r="A43" s="6" t="s">
        <v>14</v>
      </c>
      <c r="B43" s="48">
        <f>IF(ISERROR(((1-E29)/B35)+E29),"",((1-E29)/B35)+E29)</f>
        <v>0.54638419242103176</v>
      </c>
      <c r="C43" s="49">
        <f>IF(ISERROR(B43*B$20),"",B43*B$20)</f>
        <v>2709522.4750800002</v>
      </c>
      <c r="D43" s="36">
        <f>IF(ISERROR(ROUND(C43/B17/12,2)),"",ROUND(C43/B17/12,2))</f>
        <v>16.38</v>
      </c>
      <c r="E43" s="37">
        <f>IF(ISERROR(D43*12*B17),"",D43*12*B17)</f>
        <v>2709579.6</v>
      </c>
      <c r="F43" s="4"/>
    </row>
    <row r="44" spans="1:6" ht="12.75" customHeight="1" x14ac:dyDescent="0.25">
      <c r="A44" s="38" t="s">
        <v>15</v>
      </c>
      <c r="B44" s="50">
        <f>IF(ISERROR(1-B43),"",1-B43)</f>
        <v>0.45361580757896824</v>
      </c>
      <c r="C44" s="51">
        <f>IF(ISERROR(B44*B$20),"",B44*B$20)</f>
        <v>2249483.5003200006</v>
      </c>
      <c r="D44" s="40">
        <f>IF(ISERROR(ROUND(C44/B18,4)),"",ROUND(C44/B18,4))</f>
        <v>1.78E-2</v>
      </c>
      <c r="E44" s="52">
        <f>IF(ISERROR(D44*B18),"",D44*B18)</f>
        <v>2254549.9046</v>
      </c>
      <c r="F44" s="4"/>
    </row>
    <row r="45" spans="1:6" ht="12.75" customHeight="1" thickBot="1" x14ac:dyDescent="0.3">
      <c r="A45" s="41" t="s">
        <v>16</v>
      </c>
      <c r="B45" s="53" t="s">
        <v>17</v>
      </c>
      <c r="C45" s="27">
        <f>IF(ISERROR(SUM(C43:C44)),"",SUM(C43:C44))</f>
        <v>4959005.9754000008</v>
      </c>
      <c r="D45" s="43" t="s">
        <v>17</v>
      </c>
      <c r="E45" s="54">
        <f>IF(ISERROR(E43+E44),"",E43+E44)</f>
        <v>4964129.5045999996</v>
      </c>
    </row>
    <row r="46" spans="1:6" ht="12.75" customHeight="1" thickBot="1" x14ac:dyDescent="0.25">
      <c r="A46" s="4"/>
    </row>
    <row r="47" spans="1:6" ht="14.25" customHeight="1" x14ac:dyDescent="0.2">
      <c r="A47" s="251" t="s">
        <v>27</v>
      </c>
      <c r="B47" s="252"/>
    </row>
    <row r="48" spans="1:6" ht="12.75" customHeight="1" x14ac:dyDescent="0.25">
      <c r="A48" s="6" t="s">
        <v>28</v>
      </c>
      <c r="B48" s="37">
        <f>IF(ISERROR(D43-C38),"",D43-C38)</f>
        <v>3.3999999999999986</v>
      </c>
    </row>
    <row r="49" spans="1:6" ht="18" customHeight="1" x14ac:dyDescent="0.25">
      <c r="A49" s="253" t="s">
        <v>29</v>
      </c>
      <c r="B49" s="52">
        <f>IF(ISERROR((D43*12*B17)+(D44*B18)-B20),"",(D43*12*B17)+(D44*B18)-B20)</f>
        <v>5123.5291999988258</v>
      </c>
    </row>
    <row r="50" spans="1:6" ht="21.75" customHeight="1" thickBot="1" x14ac:dyDescent="0.3">
      <c r="A50" s="254"/>
      <c r="B50" s="55">
        <f>IF(ISERROR(B49/B20), "", B49/B20)</f>
        <v>1.0331766538324355E-3</v>
      </c>
    </row>
    <row r="51" spans="1:6" ht="12.75" customHeight="1" x14ac:dyDescent="0.2">
      <c r="A51" s="4"/>
    </row>
    <row r="52" spans="1:6" ht="12.75" customHeight="1" x14ac:dyDescent="0.2">
      <c r="A52" s="5" t="s">
        <v>30</v>
      </c>
    </row>
    <row r="54" spans="1:6" ht="12.75" customHeight="1" x14ac:dyDescent="0.2">
      <c r="A54" s="246" t="s">
        <v>31</v>
      </c>
      <c r="B54" s="246"/>
      <c r="C54" s="246"/>
      <c r="D54" s="246"/>
      <c r="E54" s="246"/>
    </row>
    <row r="55" spans="1:6" x14ac:dyDescent="0.2">
      <c r="A55" s="246"/>
      <c r="B55" s="246"/>
      <c r="C55" s="246"/>
      <c r="D55" s="246"/>
      <c r="E55" s="246"/>
    </row>
    <row r="56" spans="1:6" x14ac:dyDescent="0.2">
      <c r="B56" s="56"/>
      <c r="C56" s="56"/>
      <c r="D56" s="56"/>
      <c r="E56" s="56"/>
      <c r="F56" s="56"/>
    </row>
    <row r="57" spans="1:6" ht="12.75" customHeight="1" x14ac:dyDescent="0.2">
      <c r="A57" s="247" t="s">
        <v>32</v>
      </c>
      <c r="B57" s="247"/>
      <c r="C57" s="247"/>
      <c r="D57" s="247"/>
      <c r="E57" s="247"/>
      <c r="F57" s="56"/>
    </row>
    <row r="58" spans="1:6" x14ac:dyDescent="0.2">
      <c r="A58" s="247"/>
      <c r="B58" s="247"/>
      <c r="C58" s="247"/>
      <c r="D58" s="247"/>
      <c r="E58" s="247"/>
      <c r="F58" s="57"/>
    </row>
    <row r="59" spans="1:6" x14ac:dyDescent="0.2">
      <c r="A59" s="247"/>
      <c r="B59" s="247"/>
      <c r="C59" s="247"/>
      <c r="D59" s="247"/>
      <c r="E59" s="247"/>
      <c r="F59" s="57"/>
    </row>
    <row r="60" spans="1:6" ht="12.75" customHeight="1" x14ac:dyDescent="0.2">
      <c r="A60" s="247" t="s">
        <v>33</v>
      </c>
      <c r="B60" s="247"/>
      <c r="C60" s="247"/>
      <c r="D60" s="247"/>
      <c r="E60" s="247"/>
      <c r="F60" s="58"/>
    </row>
    <row r="61" spans="1:6" x14ac:dyDescent="0.2">
      <c r="A61" s="247"/>
      <c r="B61" s="247"/>
      <c r="C61" s="247"/>
      <c r="D61" s="247"/>
      <c r="E61" s="247"/>
    </row>
  </sheetData>
  <mergeCells count="9">
    <mergeCell ref="A54:E55"/>
    <mergeCell ref="A57:E59"/>
    <mergeCell ref="A60:E61"/>
    <mergeCell ref="A9:F9"/>
    <mergeCell ref="A10:F10"/>
    <mergeCell ref="A16:B16"/>
    <mergeCell ref="A22:B22"/>
    <mergeCell ref="A47:B47"/>
    <mergeCell ref="A49:A50"/>
  </mergeCells>
  <dataValidations count="1">
    <dataValidation allowBlank="1" showInputMessage="1" showErrorMessage="1" promptTitle="Date Format" prompt="E.g:  &quot;August 1, 2011&quot;" sqref="F7"/>
  </dataValidations>
  <pageMargins left="0.7" right="0.7" top="0.75" bottom="0.75" header="0.3" footer="0.3"/>
  <pageSetup scale="69" orientation="portrait" r:id="rId1"/>
  <headerFooter>
    <oddHeader>&amp;RFiled: 2016-10-18
EB-2016-0082
Draft Rate Order
Attachment 3
Page &amp;P of &amp;N</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pageSetUpPr fitToPage="1"/>
  </sheetPr>
  <dimension ref="A1:F61"/>
  <sheetViews>
    <sheetView showGridLines="0" tabSelected="1" view="pageLayout" topLeftCell="C1" zoomScaleNormal="100" workbookViewId="0">
      <selection activeCell="L1" sqref="L1"/>
    </sheetView>
  </sheetViews>
  <sheetFormatPr defaultColWidth="9.140625" defaultRowHeight="12.75" x14ac:dyDescent="0.2"/>
  <cols>
    <col min="1" max="1" width="32" style="72" customWidth="1"/>
    <col min="2" max="2" width="21.5703125" style="72" customWidth="1"/>
    <col min="3" max="4" width="21" style="72" customWidth="1"/>
    <col min="5" max="5" width="19.7109375" style="72" customWidth="1"/>
    <col min="6" max="6" width="15" style="72" customWidth="1"/>
    <col min="7" max="16384" width="9.140625" style="72"/>
  </cols>
  <sheetData>
    <row r="1" spans="1:6" x14ac:dyDescent="0.2">
      <c r="E1" s="2"/>
      <c r="F1" s="3"/>
    </row>
    <row r="2" spans="1:6" x14ac:dyDescent="0.2">
      <c r="E2" s="2"/>
      <c r="F2" s="3"/>
    </row>
    <row r="3" spans="1:6" x14ac:dyDescent="0.2">
      <c r="E3" s="2"/>
      <c r="F3" s="3"/>
    </row>
    <row r="4" spans="1:6" x14ac:dyDescent="0.2">
      <c r="E4" s="2"/>
      <c r="F4" s="3"/>
    </row>
    <row r="5" spans="1:6" x14ac:dyDescent="0.2">
      <c r="E5" s="2"/>
      <c r="F5" s="3"/>
    </row>
    <row r="6" spans="1:6" x14ac:dyDescent="0.2">
      <c r="E6" s="2"/>
      <c r="F6" s="3"/>
    </row>
    <row r="7" spans="1:6" x14ac:dyDescent="0.2">
      <c r="E7" s="178"/>
      <c r="F7" s="179"/>
    </row>
    <row r="9" spans="1:6" ht="18" x14ac:dyDescent="0.25">
      <c r="A9" s="248" t="s">
        <v>111</v>
      </c>
      <c r="B9" s="248"/>
      <c r="C9" s="248"/>
      <c r="D9" s="248"/>
      <c r="E9" s="248"/>
      <c r="F9" s="248"/>
    </row>
    <row r="10" spans="1:6" ht="18" x14ac:dyDescent="0.25">
      <c r="A10" s="248" t="s">
        <v>0</v>
      </c>
      <c r="B10" s="248"/>
      <c r="C10" s="248"/>
      <c r="D10" s="248"/>
      <c r="E10" s="248"/>
      <c r="F10" s="248"/>
    </row>
    <row r="12" spans="1:6" x14ac:dyDescent="0.2">
      <c r="A12" s="4"/>
    </row>
    <row r="14" spans="1:6" x14ac:dyDescent="0.2">
      <c r="A14" s="73" t="s">
        <v>1</v>
      </c>
      <c r="B14" s="73"/>
    </row>
    <row r="15" spans="1:6" ht="13.5" thickBot="1" x14ac:dyDescent="0.25"/>
    <row r="16" spans="1:6" ht="18" customHeight="1" x14ac:dyDescent="0.2">
      <c r="A16" s="249" t="s">
        <v>2</v>
      </c>
      <c r="B16" s="250"/>
      <c r="C16" s="4"/>
    </row>
    <row r="17" spans="1:5" x14ac:dyDescent="0.2">
      <c r="A17" s="6" t="s">
        <v>3</v>
      </c>
      <c r="B17" s="7">
        <v>13785</v>
      </c>
      <c r="E17" s="62"/>
    </row>
    <row r="18" spans="1:5" ht="13.5" thickBot="1" x14ac:dyDescent="0.25">
      <c r="A18" s="8" t="s">
        <v>4</v>
      </c>
      <c r="B18" s="9">
        <v>126660107</v>
      </c>
      <c r="E18" s="62"/>
    </row>
    <row r="19" spans="1:5" ht="13.5" thickBot="1" x14ac:dyDescent="0.25"/>
    <row r="20" spans="1:5" ht="27.75" thickBot="1" x14ac:dyDescent="0.25">
      <c r="A20" s="10" t="s">
        <v>5</v>
      </c>
      <c r="B20" s="11">
        <f>'App.2-PA_Res_Rate_Design_16'!B20</f>
        <v>4959005.9754000008</v>
      </c>
    </row>
    <row r="21" spans="1:5" ht="13.5" thickBot="1" x14ac:dyDescent="0.25"/>
    <row r="22" spans="1:5" x14ac:dyDescent="0.2">
      <c r="A22" s="249" t="s">
        <v>6</v>
      </c>
      <c r="B22" s="250"/>
    </row>
    <row r="23" spans="1:5" x14ac:dyDescent="0.2">
      <c r="A23" s="6" t="s">
        <v>7</v>
      </c>
      <c r="B23" s="12">
        <v>12.98</v>
      </c>
    </row>
    <row r="24" spans="1:5" ht="13.5" thickBot="1" x14ac:dyDescent="0.25">
      <c r="A24" s="8" t="s">
        <v>8</v>
      </c>
      <c r="B24" s="13">
        <v>2.2200000000000001E-2</v>
      </c>
    </row>
    <row r="25" spans="1:5" x14ac:dyDescent="0.2">
      <c r="B25" s="72" t="s">
        <v>34</v>
      </c>
    </row>
    <row r="26" spans="1:5" x14ac:dyDescent="0.2">
      <c r="A26" s="73" t="s">
        <v>9</v>
      </c>
    </row>
    <row r="27" spans="1:5" ht="13.5" thickBot="1" x14ac:dyDescent="0.25"/>
    <row r="28" spans="1:5" x14ac:dyDescent="0.2">
      <c r="A28" s="14"/>
      <c r="B28" s="15" t="s">
        <v>10</v>
      </c>
      <c r="C28" s="16" t="s">
        <v>11</v>
      </c>
      <c r="D28" s="17" t="s">
        <v>12</v>
      </c>
      <c r="E28" s="60" t="s">
        <v>13</v>
      </c>
    </row>
    <row r="29" spans="1:5" ht="15" x14ac:dyDescent="0.25">
      <c r="A29" s="6" t="s">
        <v>14</v>
      </c>
      <c r="B29" s="19">
        <f>'App.2-PA_Res_Rate_Design_16'!D43</f>
        <v>16.38</v>
      </c>
      <c r="C29" s="20">
        <f>IF(B17="","",B17)</f>
        <v>13785</v>
      </c>
      <c r="D29" s="21">
        <f>IF(ISERROR(B29*C29*12),"",B29*C29*12)</f>
        <v>2709579.5999999996</v>
      </c>
      <c r="E29" s="22">
        <f>IF(ISERROR(D29/D31),"",D29/D31)</f>
        <v>0.54583177120765558</v>
      </c>
    </row>
    <row r="30" spans="1:5" ht="15" x14ac:dyDescent="0.25">
      <c r="A30" s="6" t="s">
        <v>15</v>
      </c>
      <c r="B30" s="19">
        <f>'App.2-PA_Res_Rate_Design_16'!D44</f>
        <v>1.78E-2</v>
      </c>
      <c r="C30" s="23">
        <f>IF(B18="","",B18)</f>
        <v>126660107</v>
      </c>
      <c r="D30" s="21">
        <f>IF(ISERROR(B30*C30),"",B30*C30)</f>
        <v>2254549.9046</v>
      </c>
      <c r="E30" s="22">
        <f>IF(ISERROR(D30/D31),"",D30/D31)</f>
        <v>0.45416822879234442</v>
      </c>
    </row>
    <row r="31" spans="1:5" ht="15.75" thickBot="1" x14ac:dyDescent="0.3">
      <c r="A31" s="24" t="s">
        <v>16</v>
      </c>
      <c r="B31" s="25" t="s">
        <v>17</v>
      </c>
      <c r="C31" s="26" t="s">
        <v>17</v>
      </c>
      <c r="D31" s="27">
        <f>IF(ISERROR(D29+D30),"",D29+D30)</f>
        <v>4964129.5045999996</v>
      </c>
      <c r="E31" s="28" t="s">
        <v>17</v>
      </c>
    </row>
    <row r="32" spans="1:5" x14ac:dyDescent="0.2">
      <c r="A32" s="4"/>
    </row>
    <row r="33" spans="1:6" ht="12.75" customHeight="1" x14ac:dyDescent="0.2">
      <c r="A33" s="29" t="s">
        <v>18</v>
      </c>
    </row>
    <row r="34" spans="1:6" ht="12.75" customHeight="1" thickBot="1" x14ac:dyDescent="0.25">
      <c r="A34" s="4"/>
    </row>
    <row r="35" spans="1:6" ht="33.75" customHeight="1" thickBot="1" x14ac:dyDescent="0.25">
      <c r="A35" s="30" t="s">
        <v>19</v>
      </c>
      <c r="B35" s="31">
        <f>'App.2-PA_Res_Rate_Design_16'!B35-1</f>
        <v>4</v>
      </c>
      <c r="C35" s="4"/>
    </row>
    <row r="36" spans="1:6" ht="12.75" customHeight="1" thickBot="1" x14ac:dyDescent="0.25">
      <c r="A36" s="4"/>
    </row>
    <row r="37" spans="1:6" ht="39" customHeight="1" x14ac:dyDescent="0.2">
      <c r="A37" s="32"/>
      <c r="B37" s="33" t="s">
        <v>20</v>
      </c>
      <c r="C37" s="34" t="s">
        <v>21</v>
      </c>
      <c r="D37" s="35" t="s">
        <v>22</v>
      </c>
    </row>
    <row r="38" spans="1:6" ht="12.75" customHeight="1" x14ac:dyDescent="0.25">
      <c r="A38" s="6" t="s">
        <v>14</v>
      </c>
      <c r="B38" s="21">
        <f>IF(ISERROR(B$20*E29),"",B$20*E29)</f>
        <v>2706783.0149819301</v>
      </c>
      <c r="C38" s="36">
        <f>IF(ISERROR(ROUND(B38/B17/12,2)),"",ROUND(B38/B17/12,2))</f>
        <v>16.36</v>
      </c>
      <c r="D38" s="37">
        <f>IF(ISERROR(C38*B17*12),"",C38*B17*12)</f>
        <v>2706271.2</v>
      </c>
    </row>
    <row r="39" spans="1:6" ht="12.75" customHeight="1" x14ac:dyDescent="0.25">
      <c r="A39" s="38" t="s">
        <v>15</v>
      </c>
      <c r="B39" s="39">
        <f>IF(ISERROR(B$20*E30),"",B$20*E30)</f>
        <v>2252222.9604180707</v>
      </c>
      <c r="C39" s="40">
        <f>IF(ISERROR(ROUND(B39/B18,4)),"",ROUND(B39/B18,4))</f>
        <v>1.78E-2</v>
      </c>
      <c r="D39" s="37">
        <f>IF(ISERROR(C39*B18),"",C39*B18)</f>
        <v>2254549.9046</v>
      </c>
    </row>
    <row r="40" spans="1:6" ht="12.75" customHeight="1" thickBot="1" x14ac:dyDescent="0.3">
      <c r="A40" s="41" t="s">
        <v>16</v>
      </c>
      <c r="B40" s="42">
        <f>IF(ISERROR(B38+B39),"",B38+B39)</f>
        <v>4959005.9754000008</v>
      </c>
      <c r="C40" s="43" t="s">
        <v>17</v>
      </c>
      <c r="D40" s="44">
        <f>IF(ISERROR(D38+D39),"",D38+D39)</f>
        <v>4960821.1046000002</v>
      </c>
    </row>
    <row r="41" spans="1:6" ht="12.75" customHeight="1" thickBot="1" x14ac:dyDescent="0.25">
      <c r="A41" s="4"/>
    </row>
    <row r="42" spans="1:6" ht="27" customHeight="1" x14ac:dyDescent="0.2">
      <c r="A42" s="32"/>
      <c r="B42" s="16" t="s">
        <v>23</v>
      </c>
      <c r="C42" s="45" t="s">
        <v>24</v>
      </c>
      <c r="D42" s="46" t="s">
        <v>25</v>
      </c>
      <c r="E42" s="47" t="s">
        <v>26</v>
      </c>
      <c r="F42" s="4"/>
    </row>
    <row r="43" spans="1:6" ht="12.75" customHeight="1" x14ac:dyDescent="0.25">
      <c r="A43" s="6" t="s">
        <v>14</v>
      </c>
      <c r="B43" s="48">
        <f>IF(ISERROR(((1-E29)/B35)+E29),"",((1-E29)/B35)+E29)</f>
        <v>0.65937382840574166</v>
      </c>
      <c r="C43" s="49">
        <f>IF(ISERROR(B43*B$20),"",B43*B$20)</f>
        <v>3269838.7550864476</v>
      </c>
      <c r="D43" s="36">
        <f>IF(ISERROR(ROUND(C43/B17/12,2)),"",ROUND(C43/B17/12,2))</f>
        <v>19.77</v>
      </c>
      <c r="E43" s="37">
        <f>IF(ISERROR(D43*12*B17),"",D43*12*B17)</f>
        <v>3270353.4</v>
      </c>
      <c r="F43" s="4"/>
    </row>
    <row r="44" spans="1:6" ht="12.75" customHeight="1" x14ac:dyDescent="0.25">
      <c r="A44" s="38" t="s">
        <v>15</v>
      </c>
      <c r="B44" s="50">
        <f>IF(ISERROR(1-B43),"",1-B43)</f>
        <v>0.34062617159425834</v>
      </c>
      <c r="C44" s="51">
        <f>IF(ISERROR(B44*B$20),"",B44*B$20)</f>
        <v>1689167.2203135532</v>
      </c>
      <c r="D44" s="40">
        <f>IF(ISERROR(ROUND(C44/B18,4)),"",ROUND(C44/B18,4))</f>
        <v>1.3299999999999999E-2</v>
      </c>
      <c r="E44" s="52">
        <f>IF(ISERROR(D44*B18),"",D44*B18)</f>
        <v>1684579.4231</v>
      </c>
      <c r="F44" s="4"/>
    </row>
    <row r="45" spans="1:6" ht="12.75" customHeight="1" thickBot="1" x14ac:dyDescent="0.3">
      <c r="A45" s="41" t="s">
        <v>16</v>
      </c>
      <c r="B45" s="53" t="s">
        <v>17</v>
      </c>
      <c r="C45" s="27">
        <f>IF(ISERROR(SUM(C43:C44)),"",SUM(C43:C44))</f>
        <v>4959005.9754000008</v>
      </c>
      <c r="D45" s="43" t="s">
        <v>17</v>
      </c>
      <c r="E45" s="54">
        <f>IF(ISERROR(E43+E44),"",E43+E44)</f>
        <v>4954932.8230999997</v>
      </c>
    </row>
    <row r="46" spans="1:6" ht="12.75" customHeight="1" thickBot="1" x14ac:dyDescent="0.25">
      <c r="A46" s="4"/>
    </row>
    <row r="47" spans="1:6" ht="14.25" customHeight="1" x14ac:dyDescent="0.2">
      <c r="A47" s="251" t="s">
        <v>27</v>
      </c>
      <c r="B47" s="252"/>
    </row>
    <row r="48" spans="1:6" ht="12.75" customHeight="1" x14ac:dyDescent="0.25">
      <c r="A48" s="6" t="s">
        <v>28</v>
      </c>
      <c r="B48" s="37">
        <f>IF(ISERROR(D43-C38),"",D43-C38)</f>
        <v>3.41</v>
      </c>
    </row>
    <row r="49" spans="1:6" ht="18" customHeight="1" x14ac:dyDescent="0.25">
      <c r="A49" s="253" t="s">
        <v>29</v>
      </c>
      <c r="B49" s="52">
        <f>IF(ISERROR((D43*12*B17)+(D44*B18)-B20),"",(D43*12*B17)+(D44*B18)-B20)</f>
        <v>-4073.1523000011221</v>
      </c>
    </row>
    <row r="50" spans="1:6" ht="21.75" customHeight="1" thickBot="1" x14ac:dyDescent="0.3">
      <c r="A50" s="254"/>
      <c r="B50" s="55">
        <f>IF(ISERROR(B49/B20), "", B49/B20)</f>
        <v>-8.2136466868696918E-4</v>
      </c>
    </row>
    <row r="51" spans="1:6" ht="12.75" customHeight="1" x14ac:dyDescent="0.2">
      <c r="A51" s="4"/>
    </row>
    <row r="52" spans="1:6" ht="12.75" customHeight="1" x14ac:dyDescent="0.2">
      <c r="A52" s="73" t="s">
        <v>30</v>
      </c>
    </row>
    <row r="54" spans="1:6" ht="12.75" customHeight="1" x14ac:dyDescent="0.2">
      <c r="A54" s="246" t="s">
        <v>31</v>
      </c>
      <c r="B54" s="246"/>
      <c r="C54" s="246"/>
      <c r="D54" s="246"/>
      <c r="E54" s="246"/>
    </row>
    <row r="55" spans="1:6" x14ac:dyDescent="0.2">
      <c r="A55" s="246"/>
      <c r="B55" s="246"/>
      <c r="C55" s="246"/>
      <c r="D55" s="246"/>
      <c r="E55" s="246"/>
    </row>
    <row r="56" spans="1:6" x14ac:dyDescent="0.2">
      <c r="B56" s="56"/>
      <c r="C56" s="56"/>
      <c r="D56" s="56"/>
      <c r="E56" s="56"/>
      <c r="F56" s="56"/>
    </row>
    <row r="57" spans="1:6" ht="12.75" customHeight="1" x14ac:dyDescent="0.2">
      <c r="A57" s="247" t="s">
        <v>32</v>
      </c>
      <c r="B57" s="247"/>
      <c r="C57" s="247"/>
      <c r="D57" s="247"/>
      <c r="E57" s="247"/>
      <c r="F57" s="56"/>
    </row>
    <row r="58" spans="1:6" x14ac:dyDescent="0.2">
      <c r="A58" s="247"/>
      <c r="B58" s="247"/>
      <c r="C58" s="247"/>
      <c r="D58" s="247"/>
      <c r="E58" s="247"/>
      <c r="F58" s="59"/>
    </row>
    <row r="59" spans="1:6" x14ac:dyDescent="0.2">
      <c r="A59" s="247"/>
      <c r="B59" s="247"/>
      <c r="C59" s="247"/>
      <c r="D59" s="247"/>
      <c r="E59" s="247"/>
      <c r="F59" s="59"/>
    </row>
    <row r="60" spans="1:6" ht="12.75" customHeight="1" x14ac:dyDescent="0.2">
      <c r="A60" s="247" t="s">
        <v>33</v>
      </c>
      <c r="B60" s="247"/>
      <c r="C60" s="247"/>
      <c r="D60" s="247"/>
      <c r="E60" s="247"/>
      <c r="F60" s="58"/>
    </row>
    <row r="61" spans="1:6" x14ac:dyDescent="0.2">
      <c r="A61" s="247"/>
      <c r="B61" s="247"/>
      <c r="C61" s="247"/>
      <c r="D61" s="247"/>
      <c r="E61" s="247"/>
    </row>
  </sheetData>
  <mergeCells count="9">
    <mergeCell ref="A54:E55"/>
    <mergeCell ref="A57:E59"/>
    <mergeCell ref="A60:E61"/>
    <mergeCell ref="A9:F9"/>
    <mergeCell ref="A10:F10"/>
    <mergeCell ref="A16:B16"/>
    <mergeCell ref="A22:B22"/>
    <mergeCell ref="A47:B47"/>
    <mergeCell ref="A49:A50"/>
  </mergeCells>
  <dataValidations count="1">
    <dataValidation allowBlank="1" showInputMessage="1" showErrorMessage="1" promptTitle="Date Format" prompt="E.g:  &quot;August 1, 2011&quot;" sqref="F7"/>
  </dataValidations>
  <pageMargins left="0.7" right="0.7" top="0.75" bottom="0.75" header="0.3" footer="0.3"/>
  <pageSetup scale="69" orientation="portrait" r:id="rId1"/>
  <headerFooter>
    <oddHeader>&amp;RFiled: 2016-10-18
EB-2016-0082
Draft Rate Order
Attachment 3
Page &amp;P of &amp;N</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pageSetUpPr fitToPage="1"/>
  </sheetPr>
  <dimension ref="A1:F61"/>
  <sheetViews>
    <sheetView showGridLines="0" tabSelected="1" view="pageLayout" topLeftCell="C1" zoomScaleNormal="100" workbookViewId="0">
      <selection activeCell="L1" sqref="L1"/>
    </sheetView>
  </sheetViews>
  <sheetFormatPr defaultColWidth="9.140625" defaultRowHeight="12.75" x14ac:dyDescent="0.2"/>
  <cols>
    <col min="1" max="1" width="32" style="72" customWidth="1"/>
    <col min="2" max="2" width="21.5703125" style="72" customWidth="1"/>
    <col min="3" max="4" width="21" style="72" customWidth="1"/>
    <col min="5" max="5" width="19.7109375" style="72" customWidth="1"/>
    <col min="6" max="6" width="15" style="72" customWidth="1"/>
    <col min="7" max="16384" width="9.140625" style="72"/>
  </cols>
  <sheetData>
    <row r="1" spans="1:6" x14ac:dyDescent="0.2">
      <c r="E1" s="2"/>
      <c r="F1" s="3"/>
    </row>
    <row r="2" spans="1:6" x14ac:dyDescent="0.2">
      <c r="E2" s="2"/>
      <c r="F2" s="3"/>
    </row>
    <row r="3" spans="1:6" x14ac:dyDescent="0.2">
      <c r="E3" s="2"/>
      <c r="F3" s="3"/>
    </row>
    <row r="4" spans="1:6" x14ac:dyDescent="0.2">
      <c r="E4" s="2"/>
      <c r="F4" s="3"/>
    </row>
    <row r="5" spans="1:6" x14ac:dyDescent="0.2">
      <c r="E5" s="2"/>
      <c r="F5" s="3"/>
    </row>
    <row r="6" spans="1:6" x14ac:dyDescent="0.2">
      <c r="E6" s="2"/>
      <c r="F6" s="3"/>
    </row>
    <row r="7" spans="1:6" x14ac:dyDescent="0.2">
      <c r="E7" s="178"/>
      <c r="F7" s="179"/>
    </row>
    <row r="9" spans="1:6" ht="18" x14ac:dyDescent="0.25">
      <c r="A9" s="248" t="s">
        <v>112</v>
      </c>
      <c r="B9" s="248"/>
      <c r="C9" s="248"/>
      <c r="D9" s="248"/>
      <c r="E9" s="248"/>
      <c r="F9" s="248"/>
    </row>
    <row r="10" spans="1:6" ht="18" x14ac:dyDescent="0.25">
      <c r="A10" s="248" t="s">
        <v>0</v>
      </c>
      <c r="B10" s="248"/>
      <c r="C10" s="248"/>
      <c r="D10" s="248"/>
      <c r="E10" s="248"/>
      <c r="F10" s="248"/>
    </row>
    <row r="12" spans="1:6" x14ac:dyDescent="0.2">
      <c r="A12" s="4"/>
    </row>
    <row r="14" spans="1:6" x14ac:dyDescent="0.2">
      <c r="A14" s="73" t="s">
        <v>1</v>
      </c>
      <c r="B14" s="73"/>
    </row>
    <row r="15" spans="1:6" ht="13.5" thickBot="1" x14ac:dyDescent="0.25"/>
    <row r="16" spans="1:6" ht="18" customHeight="1" x14ac:dyDescent="0.2">
      <c r="A16" s="249" t="s">
        <v>2</v>
      </c>
      <c r="B16" s="250"/>
      <c r="C16" s="4"/>
    </row>
    <row r="17" spans="1:5" x14ac:dyDescent="0.2">
      <c r="A17" s="6" t="s">
        <v>3</v>
      </c>
      <c r="B17" s="7">
        <v>13785</v>
      </c>
      <c r="E17" s="62"/>
    </row>
    <row r="18" spans="1:5" ht="13.5" thickBot="1" x14ac:dyDescent="0.25">
      <c r="A18" s="8" t="s">
        <v>4</v>
      </c>
      <c r="B18" s="9">
        <v>126660107</v>
      </c>
      <c r="E18" s="62"/>
    </row>
    <row r="19" spans="1:5" ht="13.5" thickBot="1" x14ac:dyDescent="0.25"/>
    <row r="20" spans="1:5" ht="27.75" thickBot="1" x14ac:dyDescent="0.25">
      <c r="A20" s="10" t="s">
        <v>5</v>
      </c>
      <c r="B20" s="11">
        <f>'App.2-PA_Res_Rate_Design_17'!B20</f>
        <v>4959005.9754000008</v>
      </c>
    </row>
    <row r="21" spans="1:5" ht="13.5" thickBot="1" x14ac:dyDescent="0.25"/>
    <row r="22" spans="1:5" x14ac:dyDescent="0.2">
      <c r="A22" s="249" t="s">
        <v>6</v>
      </c>
      <c r="B22" s="250"/>
    </row>
    <row r="23" spans="1:5" x14ac:dyDescent="0.2">
      <c r="A23" s="6" t="s">
        <v>7</v>
      </c>
      <c r="B23" s="12">
        <v>12.98</v>
      </c>
    </row>
    <row r="24" spans="1:5" ht="13.5" thickBot="1" x14ac:dyDescent="0.25">
      <c r="A24" s="8" t="s">
        <v>8</v>
      </c>
      <c r="B24" s="13">
        <v>2.2200000000000001E-2</v>
      </c>
    </row>
    <row r="25" spans="1:5" x14ac:dyDescent="0.2">
      <c r="B25" s="72" t="s">
        <v>34</v>
      </c>
    </row>
    <row r="26" spans="1:5" x14ac:dyDescent="0.2">
      <c r="A26" s="73" t="s">
        <v>9</v>
      </c>
    </row>
    <row r="27" spans="1:5" ht="13.5" thickBot="1" x14ac:dyDescent="0.25"/>
    <row r="28" spans="1:5" x14ac:dyDescent="0.2">
      <c r="A28" s="14"/>
      <c r="B28" s="15" t="s">
        <v>10</v>
      </c>
      <c r="C28" s="16" t="s">
        <v>11</v>
      </c>
      <c r="D28" s="17" t="s">
        <v>12</v>
      </c>
      <c r="E28" s="60" t="s">
        <v>13</v>
      </c>
    </row>
    <row r="29" spans="1:5" ht="15" x14ac:dyDescent="0.25">
      <c r="A29" s="6" t="s">
        <v>14</v>
      </c>
      <c r="B29" s="19">
        <f>'App.2-PA_Res_Rate_Design_17'!D43</f>
        <v>19.77</v>
      </c>
      <c r="C29" s="20">
        <f>IF(B17="","",B17)</f>
        <v>13785</v>
      </c>
      <c r="D29" s="21">
        <f>IF(ISERROR(B29*C29*12),"",B29*C29*12)</f>
        <v>3270353.4000000004</v>
      </c>
      <c r="E29" s="22">
        <f>IF(ISERROR(D29/D31),"",D29/D31)</f>
        <v>0.66001972514209362</v>
      </c>
    </row>
    <row r="30" spans="1:5" ht="15" x14ac:dyDescent="0.25">
      <c r="A30" s="6" t="s">
        <v>15</v>
      </c>
      <c r="B30" s="19">
        <f>'App.2-PA_Res_Rate_Design_17'!D44</f>
        <v>1.3299999999999999E-2</v>
      </c>
      <c r="C30" s="23">
        <f>IF(B18="","",B18)</f>
        <v>126660107</v>
      </c>
      <c r="D30" s="21">
        <f>IF(ISERROR(B30*C30),"",B30*C30)</f>
        <v>1684579.4231</v>
      </c>
      <c r="E30" s="22">
        <f>IF(ISERROR(D30/D31),"",D30/D31)</f>
        <v>0.33998027485790633</v>
      </c>
    </row>
    <row r="31" spans="1:5" ht="15.75" thickBot="1" x14ac:dyDescent="0.3">
      <c r="A31" s="24" t="s">
        <v>16</v>
      </c>
      <c r="B31" s="25" t="s">
        <v>17</v>
      </c>
      <c r="C31" s="26" t="s">
        <v>17</v>
      </c>
      <c r="D31" s="27">
        <f>IF(ISERROR(D29+D30),"",D29+D30)</f>
        <v>4954932.8231000006</v>
      </c>
      <c r="E31" s="28" t="s">
        <v>17</v>
      </c>
    </row>
    <row r="32" spans="1:5" x14ac:dyDescent="0.2">
      <c r="A32" s="4"/>
    </row>
    <row r="33" spans="1:6" ht="12.75" customHeight="1" x14ac:dyDescent="0.2">
      <c r="A33" s="29" t="s">
        <v>18</v>
      </c>
    </row>
    <row r="34" spans="1:6" ht="12.75" customHeight="1" thickBot="1" x14ac:dyDescent="0.25">
      <c r="A34" s="4"/>
    </row>
    <row r="35" spans="1:6" ht="33.75" customHeight="1" thickBot="1" x14ac:dyDescent="0.25">
      <c r="A35" s="30" t="s">
        <v>19</v>
      </c>
      <c r="B35" s="31">
        <f>'App.2-PA_Res_Rate_Design_17'!B35-1</f>
        <v>3</v>
      </c>
      <c r="C35" s="4"/>
    </row>
    <row r="36" spans="1:6" ht="12.75" customHeight="1" thickBot="1" x14ac:dyDescent="0.25">
      <c r="A36" s="4"/>
    </row>
    <row r="37" spans="1:6" ht="39" customHeight="1" x14ac:dyDescent="0.2">
      <c r="A37" s="32"/>
      <c r="B37" s="33" t="s">
        <v>20</v>
      </c>
      <c r="C37" s="34" t="s">
        <v>21</v>
      </c>
      <c r="D37" s="35" t="s">
        <v>22</v>
      </c>
    </row>
    <row r="38" spans="1:6" ht="12.75" customHeight="1" x14ac:dyDescent="0.25">
      <c r="A38" s="6" t="s">
        <v>14</v>
      </c>
      <c r="B38" s="21">
        <f>IF(ISERROR(B$20*E29),"",B$20*E29)</f>
        <v>3273041.7608615085</v>
      </c>
      <c r="C38" s="36">
        <f>IF(ISERROR(ROUND(B38/B17/12,2)),"",ROUND(B38/B17/12,2))</f>
        <v>19.79</v>
      </c>
      <c r="D38" s="37">
        <f>IF(ISERROR(C38*B17*12),"",C38*B17*12)</f>
        <v>3273661.8</v>
      </c>
    </row>
    <row r="39" spans="1:6" ht="12.75" customHeight="1" x14ac:dyDescent="0.25">
      <c r="A39" s="38" t="s">
        <v>15</v>
      </c>
      <c r="B39" s="39">
        <f>IF(ISERROR(B$20*E30),"",B$20*E30)</f>
        <v>1685964.214538492</v>
      </c>
      <c r="C39" s="40">
        <f>IF(ISERROR(ROUND(B39/B18,4)),"",ROUND(B39/B18,4))</f>
        <v>1.3299999999999999E-2</v>
      </c>
      <c r="D39" s="37">
        <f>IF(ISERROR(C39*B18),"",C39*B18)</f>
        <v>1684579.4231</v>
      </c>
    </row>
    <row r="40" spans="1:6" ht="12.75" customHeight="1" thickBot="1" x14ac:dyDescent="0.3">
      <c r="A40" s="41" t="s">
        <v>16</v>
      </c>
      <c r="B40" s="42">
        <f>IF(ISERROR(B38+B39),"",B38+B39)</f>
        <v>4959005.9754000008</v>
      </c>
      <c r="C40" s="43" t="s">
        <v>17</v>
      </c>
      <c r="D40" s="44">
        <f>IF(ISERROR(D38+D39),"",D38+D39)</f>
        <v>4958241.2231000001</v>
      </c>
    </row>
    <row r="41" spans="1:6" ht="12.75" customHeight="1" thickBot="1" x14ac:dyDescent="0.25">
      <c r="A41" s="4"/>
    </row>
    <row r="42" spans="1:6" ht="27" customHeight="1" x14ac:dyDescent="0.2">
      <c r="A42" s="32"/>
      <c r="B42" s="16" t="s">
        <v>23</v>
      </c>
      <c r="C42" s="45" t="s">
        <v>24</v>
      </c>
      <c r="D42" s="46" t="s">
        <v>25</v>
      </c>
      <c r="E42" s="47" t="s">
        <v>26</v>
      </c>
      <c r="F42" s="4"/>
    </row>
    <row r="43" spans="1:6" ht="12.75" customHeight="1" x14ac:dyDescent="0.25">
      <c r="A43" s="6" t="s">
        <v>14</v>
      </c>
      <c r="B43" s="48">
        <f>IF(ISERROR(((1-E29)/B35)+E29),"",((1-E29)/B35)+E29)</f>
        <v>0.77334648342806245</v>
      </c>
      <c r="C43" s="49">
        <f>IF(ISERROR(B43*B$20),"",B43*B$20)</f>
        <v>3835029.8323743395</v>
      </c>
      <c r="D43" s="36">
        <f>IF(ISERROR(ROUND(C43/B17/12,2)),"",ROUND(C43/B17/12,2))</f>
        <v>23.18</v>
      </c>
      <c r="E43" s="37">
        <f>IF(ISERROR(D43*12*B17),"",D43*12*B17)</f>
        <v>3834435.5999999996</v>
      </c>
      <c r="F43" s="4"/>
    </row>
    <row r="44" spans="1:6" ht="12.75" customHeight="1" x14ac:dyDescent="0.25">
      <c r="A44" s="38" t="s">
        <v>15</v>
      </c>
      <c r="B44" s="50">
        <f>IF(ISERROR(1-B43),"",1-B43)</f>
        <v>0.22665351657193755</v>
      </c>
      <c r="C44" s="51">
        <f>IF(ISERROR(B44*B$20),"",B44*B$20)</f>
        <v>1123976.1430256614</v>
      </c>
      <c r="D44" s="40">
        <f>IF(ISERROR(ROUND(C44/B18,4)),"",ROUND(C44/B18,4))</f>
        <v>8.8999999999999999E-3</v>
      </c>
      <c r="E44" s="52">
        <f>IF(ISERROR(D44*B18),"",D44*B18)</f>
        <v>1127274.9523</v>
      </c>
      <c r="F44" s="4"/>
    </row>
    <row r="45" spans="1:6" ht="12.75" customHeight="1" thickBot="1" x14ac:dyDescent="0.3">
      <c r="A45" s="41" t="s">
        <v>16</v>
      </c>
      <c r="B45" s="53" t="s">
        <v>17</v>
      </c>
      <c r="C45" s="27">
        <f>IF(ISERROR(SUM(C43:C44)),"",SUM(C43:C44))</f>
        <v>4959005.9754000008</v>
      </c>
      <c r="D45" s="43" t="s">
        <v>17</v>
      </c>
      <c r="E45" s="54">
        <f>IF(ISERROR(E43+E44),"",E43+E44)</f>
        <v>4961710.5522999996</v>
      </c>
    </row>
    <row r="46" spans="1:6" ht="12.75" customHeight="1" thickBot="1" x14ac:dyDescent="0.25">
      <c r="A46" s="4"/>
    </row>
    <row r="47" spans="1:6" ht="14.25" customHeight="1" x14ac:dyDescent="0.2">
      <c r="A47" s="251" t="s">
        <v>27</v>
      </c>
      <c r="B47" s="252"/>
    </row>
    <row r="48" spans="1:6" ht="12.75" customHeight="1" x14ac:dyDescent="0.25">
      <c r="A48" s="6" t="s">
        <v>28</v>
      </c>
      <c r="B48" s="37">
        <f>IF(ISERROR(D43-C38),"",D43-C38)</f>
        <v>3.3900000000000006</v>
      </c>
    </row>
    <row r="49" spans="1:6" ht="18" customHeight="1" x14ac:dyDescent="0.25">
      <c r="A49" s="253" t="s">
        <v>29</v>
      </c>
      <c r="B49" s="52">
        <f>IF(ISERROR((D43*12*B17)+(D44*B18)-B20),"",(D43*12*B17)+(D44*B18)-B20)</f>
        <v>2704.5768999988213</v>
      </c>
    </row>
    <row r="50" spans="1:6" ht="21.75" customHeight="1" thickBot="1" x14ac:dyDescent="0.3">
      <c r="A50" s="254"/>
      <c r="B50" s="55">
        <f>IF(ISERROR(B49/B20), "", B49/B20)</f>
        <v>5.4538690080539092E-4</v>
      </c>
    </row>
    <row r="51" spans="1:6" ht="12.75" customHeight="1" x14ac:dyDescent="0.2">
      <c r="A51" s="4"/>
    </row>
    <row r="52" spans="1:6" ht="12.75" customHeight="1" x14ac:dyDescent="0.2">
      <c r="A52" s="73" t="s">
        <v>30</v>
      </c>
    </row>
    <row r="54" spans="1:6" ht="12.75" customHeight="1" x14ac:dyDescent="0.2">
      <c r="A54" s="246" t="s">
        <v>31</v>
      </c>
      <c r="B54" s="246"/>
      <c r="C54" s="246"/>
      <c r="D54" s="246"/>
      <c r="E54" s="246"/>
    </row>
    <row r="55" spans="1:6" x14ac:dyDescent="0.2">
      <c r="A55" s="246"/>
      <c r="B55" s="246"/>
      <c r="C55" s="246"/>
      <c r="D55" s="246"/>
      <c r="E55" s="246"/>
    </row>
    <row r="56" spans="1:6" x14ac:dyDescent="0.2">
      <c r="B56" s="56"/>
      <c r="C56" s="56"/>
      <c r="D56" s="56"/>
      <c r="E56" s="56"/>
      <c r="F56" s="56"/>
    </row>
    <row r="57" spans="1:6" ht="12.75" customHeight="1" x14ac:dyDescent="0.2">
      <c r="A57" s="247" t="s">
        <v>32</v>
      </c>
      <c r="B57" s="247"/>
      <c r="C57" s="247"/>
      <c r="D57" s="247"/>
      <c r="E57" s="247"/>
      <c r="F57" s="56"/>
    </row>
    <row r="58" spans="1:6" x14ac:dyDescent="0.2">
      <c r="A58" s="247"/>
      <c r="B58" s="247"/>
      <c r="C58" s="247"/>
      <c r="D58" s="247"/>
      <c r="E58" s="247"/>
      <c r="F58" s="59"/>
    </row>
    <row r="59" spans="1:6" x14ac:dyDescent="0.2">
      <c r="A59" s="247"/>
      <c r="B59" s="247"/>
      <c r="C59" s="247"/>
      <c r="D59" s="247"/>
      <c r="E59" s="247"/>
      <c r="F59" s="59"/>
    </row>
    <row r="60" spans="1:6" ht="12.75" customHeight="1" x14ac:dyDescent="0.2">
      <c r="A60" s="247" t="s">
        <v>33</v>
      </c>
      <c r="B60" s="247"/>
      <c r="C60" s="247"/>
      <c r="D60" s="247"/>
      <c r="E60" s="247"/>
      <c r="F60" s="58"/>
    </row>
    <row r="61" spans="1:6" x14ac:dyDescent="0.2">
      <c r="A61" s="247"/>
      <c r="B61" s="247"/>
      <c r="C61" s="247"/>
      <c r="D61" s="247"/>
      <c r="E61" s="247"/>
    </row>
  </sheetData>
  <mergeCells count="9">
    <mergeCell ref="A54:E55"/>
    <mergeCell ref="A57:E59"/>
    <mergeCell ref="A60:E61"/>
    <mergeCell ref="A9:F9"/>
    <mergeCell ref="A10:F10"/>
    <mergeCell ref="A16:B16"/>
    <mergeCell ref="A22:B22"/>
    <mergeCell ref="A47:B47"/>
    <mergeCell ref="A49:A50"/>
  </mergeCells>
  <dataValidations count="1">
    <dataValidation allowBlank="1" showInputMessage="1" showErrorMessage="1" promptTitle="Date Format" prompt="E.g:  &quot;August 1, 2011&quot;" sqref="F7"/>
  </dataValidations>
  <pageMargins left="0.7" right="0.7" top="0.75" bottom="0.75" header="0.3" footer="0.3"/>
  <pageSetup scale="69" orientation="portrait" r:id="rId1"/>
  <headerFooter>
    <oddHeader>&amp;RFiled: 2016-10-18
EB-2016-0082
Draft Rate Order
Attachment 3
Page &amp;P of &amp;N</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pageSetUpPr fitToPage="1"/>
  </sheetPr>
  <dimension ref="A1:F61"/>
  <sheetViews>
    <sheetView showGridLines="0" tabSelected="1" view="pageLayout" topLeftCell="C1" zoomScaleNormal="100" workbookViewId="0">
      <selection activeCell="L1" sqref="L1"/>
    </sheetView>
  </sheetViews>
  <sheetFormatPr defaultColWidth="9.140625" defaultRowHeight="12.75" x14ac:dyDescent="0.2"/>
  <cols>
    <col min="1" max="1" width="32" style="72" customWidth="1"/>
    <col min="2" max="2" width="21.5703125" style="72" customWidth="1"/>
    <col min="3" max="4" width="21" style="72" customWidth="1"/>
    <col min="5" max="5" width="19.7109375" style="72" customWidth="1"/>
    <col min="6" max="6" width="15" style="72" customWidth="1"/>
    <col min="7" max="16384" width="9.140625" style="72"/>
  </cols>
  <sheetData>
    <row r="1" spans="1:6" x14ac:dyDescent="0.2">
      <c r="E1" s="2"/>
      <c r="F1" s="3"/>
    </row>
    <row r="2" spans="1:6" x14ac:dyDescent="0.2">
      <c r="E2" s="2"/>
      <c r="F2" s="3"/>
    </row>
    <row r="3" spans="1:6" x14ac:dyDescent="0.2">
      <c r="E3" s="2"/>
      <c r="F3" s="3"/>
    </row>
    <row r="4" spans="1:6" x14ac:dyDescent="0.2">
      <c r="E4" s="2"/>
      <c r="F4" s="3"/>
    </row>
    <row r="5" spans="1:6" x14ac:dyDescent="0.2">
      <c r="E5" s="2"/>
      <c r="F5" s="3"/>
    </row>
    <row r="6" spans="1:6" x14ac:dyDescent="0.2">
      <c r="E6" s="2"/>
      <c r="F6" s="3"/>
    </row>
    <row r="7" spans="1:6" x14ac:dyDescent="0.2">
      <c r="E7" s="178"/>
      <c r="F7" s="179"/>
    </row>
    <row r="9" spans="1:6" ht="18" x14ac:dyDescent="0.25">
      <c r="A9" s="248" t="s">
        <v>113</v>
      </c>
      <c r="B9" s="248"/>
      <c r="C9" s="248"/>
      <c r="D9" s="248"/>
      <c r="E9" s="248"/>
      <c r="F9" s="248"/>
    </row>
    <row r="10" spans="1:6" ht="18" x14ac:dyDescent="0.25">
      <c r="A10" s="248" t="s">
        <v>0</v>
      </c>
      <c r="B10" s="248"/>
      <c r="C10" s="248"/>
      <c r="D10" s="248"/>
      <c r="E10" s="248"/>
      <c r="F10" s="248"/>
    </row>
    <row r="12" spans="1:6" x14ac:dyDescent="0.2">
      <c r="A12" s="4"/>
    </row>
    <row r="14" spans="1:6" x14ac:dyDescent="0.2">
      <c r="A14" s="73" t="s">
        <v>1</v>
      </c>
      <c r="B14" s="73"/>
    </row>
    <row r="15" spans="1:6" ht="13.5" thickBot="1" x14ac:dyDescent="0.25"/>
    <row r="16" spans="1:6" ht="18" customHeight="1" x14ac:dyDescent="0.2">
      <c r="A16" s="249" t="s">
        <v>2</v>
      </c>
      <c r="B16" s="250"/>
      <c r="C16" s="4"/>
    </row>
    <row r="17" spans="1:5" x14ac:dyDescent="0.2">
      <c r="A17" s="6" t="s">
        <v>3</v>
      </c>
      <c r="B17" s="7">
        <v>13785</v>
      </c>
      <c r="E17" s="62"/>
    </row>
    <row r="18" spans="1:5" ht="13.5" thickBot="1" x14ac:dyDescent="0.25">
      <c r="A18" s="8" t="s">
        <v>4</v>
      </c>
      <c r="B18" s="9">
        <v>126660107</v>
      </c>
      <c r="E18" s="62"/>
    </row>
    <row r="19" spans="1:5" ht="13.5" thickBot="1" x14ac:dyDescent="0.25"/>
    <row r="20" spans="1:5" ht="27.75" thickBot="1" x14ac:dyDescent="0.25">
      <c r="A20" s="10" t="s">
        <v>5</v>
      </c>
      <c r="B20" s="11">
        <f>'App.2-PA_Res_Rate_Design_18'!B20</f>
        <v>4959005.9754000008</v>
      </c>
    </row>
    <row r="21" spans="1:5" ht="13.5" thickBot="1" x14ac:dyDescent="0.25"/>
    <row r="22" spans="1:5" x14ac:dyDescent="0.2">
      <c r="A22" s="249" t="s">
        <v>6</v>
      </c>
      <c r="B22" s="250"/>
    </row>
    <row r="23" spans="1:5" x14ac:dyDescent="0.2">
      <c r="A23" s="6" t="s">
        <v>7</v>
      </c>
      <c r="B23" s="12">
        <v>12.98</v>
      </c>
    </row>
    <row r="24" spans="1:5" ht="13.5" thickBot="1" x14ac:dyDescent="0.25">
      <c r="A24" s="8" t="s">
        <v>8</v>
      </c>
      <c r="B24" s="13">
        <v>2.2200000000000001E-2</v>
      </c>
    </row>
    <row r="25" spans="1:5" x14ac:dyDescent="0.2">
      <c r="B25" s="72" t="s">
        <v>34</v>
      </c>
    </row>
    <row r="26" spans="1:5" x14ac:dyDescent="0.2">
      <c r="A26" s="73" t="s">
        <v>9</v>
      </c>
    </row>
    <row r="27" spans="1:5" ht="13.5" thickBot="1" x14ac:dyDescent="0.25"/>
    <row r="28" spans="1:5" x14ac:dyDescent="0.2">
      <c r="A28" s="14"/>
      <c r="B28" s="15" t="s">
        <v>10</v>
      </c>
      <c r="C28" s="16" t="s">
        <v>11</v>
      </c>
      <c r="D28" s="17" t="s">
        <v>12</v>
      </c>
      <c r="E28" s="60" t="s">
        <v>13</v>
      </c>
    </row>
    <row r="29" spans="1:5" ht="15" x14ac:dyDescent="0.25">
      <c r="A29" s="6" t="s">
        <v>14</v>
      </c>
      <c r="B29" s="19">
        <f>'App.2-PA_Res_Rate_Design_18'!D43</f>
        <v>23.18</v>
      </c>
      <c r="C29" s="20">
        <f>IF(B17="","",B17)</f>
        <v>13785</v>
      </c>
      <c r="D29" s="21">
        <f>IF(ISERROR(B29*C29*12),"",B29*C29*12)</f>
        <v>3834435.5999999996</v>
      </c>
      <c r="E29" s="22">
        <f>IF(ISERROR(D29/D31),"",D29/D31)</f>
        <v>0.77280517667894755</v>
      </c>
    </row>
    <row r="30" spans="1:5" ht="15" x14ac:dyDescent="0.25">
      <c r="A30" s="6" t="s">
        <v>15</v>
      </c>
      <c r="B30" s="19">
        <f>'App.2-PA_Res_Rate_Design_18'!D44</f>
        <v>8.8999999999999999E-3</v>
      </c>
      <c r="C30" s="23">
        <f>IF(B18="","",B18)</f>
        <v>126660107</v>
      </c>
      <c r="D30" s="21">
        <f>IF(ISERROR(B30*C30),"",B30*C30)</f>
        <v>1127274.9523</v>
      </c>
      <c r="E30" s="22">
        <f>IF(ISERROR(D30/D31),"",D30/D31)</f>
        <v>0.22719482332105245</v>
      </c>
    </row>
    <row r="31" spans="1:5" ht="15.75" thickBot="1" x14ac:dyDescent="0.3">
      <c r="A31" s="24" t="s">
        <v>16</v>
      </c>
      <c r="B31" s="25" t="s">
        <v>17</v>
      </c>
      <c r="C31" s="26" t="s">
        <v>17</v>
      </c>
      <c r="D31" s="27">
        <f>IF(ISERROR(D29+D30),"",D29+D30)</f>
        <v>4961710.5522999996</v>
      </c>
      <c r="E31" s="28" t="s">
        <v>17</v>
      </c>
    </row>
    <row r="32" spans="1:5" x14ac:dyDescent="0.2">
      <c r="A32" s="4"/>
    </row>
    <row r="33" spans="1:6" ht="12.75" customHeight="1" x14ac:dyDescent="0.2">
      <c r="A33" s="29" t="s">
        <v>18</v>
      </c>
    </row>
    <row r="34" spans="1:6" ht="12.75" customHeight="1" thickBot="1" x14ac:dyDescent="0.25">
      <c r="A34" s="4"/>
    </row>
    <row r="35" spans="1:6" ht="33.75" customHeight="1" thickBot="1" x14ac:dyDescent="0.25">
      <c r="A35" s="30" t="s">
        <v>19</v>
      </c>
      <c r="B35" s="31">
        <f>'App.2-PA_Res_Rate_Design_18'!B35-1</f>
        <v>2</v>
      </c>
      <c r="C35" s="4"/>
    </row>
    <row r="36" spans="1:6" ht="12.75" customHeight="1" thickBot="1" x14ac:dyDescent="0.25">
      <c r="A36" s="4"/>
    </row>
    <row r="37" spans="1:6" ht="39" customHeight="1" x14ac:dyDescent="0.2">
      <c r="A37" s="32"/>
      <c r="B37" s="33" t="s">
        <v>20</v>
      </c>
      <c r="C37" s="34" t="s">
        <v>21</v>
      </c>
      <c r="D37" s="35" t="s">
        <v>22</v>
      </c>
    </row>
    <row r="38" spans="1:6" ht="12.75" customHeight="1" x14ac:dyDescent="0.25">
      <c r="A38" s="6" t="s">
        <v>14</v>
      </c>
      <c r="B38" s="21">
        <f>IF(ISERROR(B$20*E29),"",B$20*E29)</f>
        <v>3832345.4889709544</v>
      </c>
      <c r="C38" s="36">
        <f>IF(ISERROR(ROUND(B38/B17/12,2)),"",ROUND(B38/B17/12,2))</f>
        <v>23.17</v>
      </c>
      <c r="D38" s="37">
        <f>IF(ISERROR(C38*B17*12),"",C38*B17*12)</f>
        <v>3832781.4000000004</v>
      </c>
    </row>
    <row r="39" spans="1:6" ht="12.75" customHeight="1" x14ac:dyDescent="0.25">
      <c r="A39" s="38" t="s">
        <v>15</v>
      </c>
      <c r="B39" s="39">
        <f>IF(ISERROR(B$20*E30),"",B$20*E30)</f>
        <v>1126660.4864290466</v>
      </c>
      <c r="C39" s="40">
        <f>IF(ISERROR(ROUND(B39/B18,4)),"",ROUND(B39/B18,4))</f>
        <v>8.8999999999999999E-3</v>
      </c>
      <c r="D39" s="37">
        <f>IF(ISERROR(C39*B18),"",C39*B18)</f>
        <v>1127274.9523</v>
      </c>
    </row>
    <row r="40" spans="1:6" ht="12.75" customHeight="1" thickBot="1" x14ac:dyDescent="0.3">
      <c r="A40" s="41" t="s">
        <v>16</v>
      </c>
      <c r="B40" s="42">
        <f>IF(ISERROR(B38+B39),"",B38+B39)</f>
        <v>4959005.9754000008</v>
      </c>
      <c r="C40" s="43" t="s">
        <v>17</v>
      </c>
      <c r="D40" s="44">
        <f>IF(ISERROR(D38+D39),"",D38+D39)</f>
        <v>4960056.3523000004</v>
      </c>
    </row>
    <row r="41" spans="1:6" ht="12.75" customHeight="1" thickBot="1" x14ac:dyDescent="0.25">
      <c r="A41" s="4"/>
    </row>
    <row r="42" spans="1:6" ht="27" customHeight="1" x14ac:dyDescent="0.2">
      <c r="A42" s="32"/>
      <c r="B42" s="16" t="s">
        <v>23</v>
      </c>
      <c r="C42" s="45" t="s">
        <v>24</v>
      </c>
      <c r="D42" s="46" t="s">
        <v>25</v>
      </c>
      <c r="E42" s="47" t="s">
        <v>26</v>
      </c>
      <c r="F42" s="4"/>
    </row>
    <row r="43" spans="1:6" ht="12.75" customHeight="1" x14ac:dyDescent="0.25">
      <c r="A43" s="6" t="s">
        <v>14</v>
      </c>
      <c r="B43" s="48">
        <f>IF(ISERROR(((1-E29)/B35)+E29),"",((1-E29)/B35)+E29)</f>
        <v>0.88640258833947372</v>
      </c>
      <c r="C43" s="49">
        <f>IF(ISERROR(B43*B$20),"",B43*B$20)</f>
        <v>4395675.7321854774</v>
      </c>
      <c r="D43" s="36">
        <f>IF(ISERROR(ROUND(C43/B17/12,2)),"",ROUND(C43/B17/12,2))</f>
        <v>26.57</v>
      </c>
      <c r="E43" s="37">
        <f>IF(ISERROR(D43*12*B17),"",D43*12*B17)</f>
        <v>4395209.4000000004</v>
      </c>
      <c r="F43" s="4"/>
    </row>
    <row r="44" spans="1:6" ht="12.75" customHeight="1" x14ac:dyDescent="0.25">
      <c r="A44" s="38" t="s">
        <v>15</v>
      </c>
      <c r="B44" s="50">
        <f>IF(ISERROR(1-B43),"",1-B43)</f>
        <v>0.11359741166052628</v>
      </c>
      <c r="C44" s="51">
        <f>IF(ISERROR(B44*B$20),"",B44*B$20)</f>
        <v>563330.24321452354</v>
      </c>
      <c r="D44" s="40">
        <f>IF(ISERROR(ROUND(C44/B18,4)),"",ROUND(C44/B18,4))</f>
        <v>4.4000000000000003E-3</v>
      </c>
      <c r="E44" s="52">
        <f>IF(ISERROR(D44*B18),"",D44*B18)</f>
        <v>557304.47080000001</v>
      </c>
      <c r="F44" s="4"/>
    </row>
    <row r="45" spans="1:6" ht="12.75" customHeight="1" thickBot="1" x14ac:dyDescent="0.3">
      <c r="A45" s="41" t="s">
        <v>16</v>
      </c>
      <c r="B45" s="53" t="s">
        <v>17</v>
      </c>
      <c r="C45" s="27">
        <f>IF(ISERROR(SUM(C43:C44)),"",SUM(C43:C44))</f>
        <v>4959005.9754000008</v>
      </c>
      <c r="D45" s="43" t="s">
        <v>17</v>
      </c>
      <c r="E45" s="54">
        <f>IF(ISERROR(E43+E44),"",E43+E44)</f>
        <v>4952513.8708000006</v>
      </c>
    </row>
    <row r="46" spans="1:6" ht="12.75" customHeight="1" thickBot="1" x14ac:dyDescent="0.25">
      <c r="A46" s="4"/>
    </row>
    <row r="47" spans="1:6" ht="14.25" customHeight="1" x14ac:dyDescent="0.2">
      <c r="A47" s="251" t="s">
        <v>27</v>
      </c>
      <c r="B47" s="252"/>
    </row>
    <row r="48" spans="1:6" ht="12.75" customHeight="1" x14ac:dyDescent="0.25">
      <c r="A48" s="6" t="s">
        <v>28</v>
      </c>
      <c r="B48" s="37">
        <f>IF(ISERROR(D43-C38),"",D43-C38)</f>
        <v>3.3999999999999986</v>
      </c>
    </row>
    <row r="49" spans="1:6" ht="18" customHeight="1" x14ac:dyDescent="0.25">
      <c r="A49" s="253" t="s">
        <v>29</v>
      </c>
      <c r="B49" s="52">
        <f>IF(ISERROR((D43*12*B17)+(D44*B18)-B20),"",(D43*12*B17)+(D44*B18)-B20)</f>
        <v>-6492.1046000001952</v>
      </c>
    </row>
    <row r="50" spans="1:6" ht="21.75" customHeight="1" thickBot="1" x14ac:dyDescent="0.3">
      <c r="A50" s="254"/>
      <c r="B50" s="55">
        <f>IF(ISERROR(B49/B20), "", B49/B20)</f>
        <v>-1.3091544217138258E-3</v>
      </c>
    </row>
    <row r="51" spans="1:6" ht="12.75" customHeight="1" x14ac:dyDescent="0.2">
      <c r="A51" s="4"/>
    </row>
    <row r="52" spans="1:6" ht="12.75" customHeight="1" x14ac:dyDescent="0.2">
      <c r="A52" s="73" t="s">
        <v>30</v>
      </c>
    </row>
    <row r="54" spans="1:6" ht="12.75" customHeight="1" x14ac:dyDescent="0.2">
      <c r="A54" s="246" t="s">
        <v>31</v>
      </c>
      <c r="B54" s="246"/>
      <c r="C54" s="246"/>
      <c r="D54" s="246"/>
      <c r="E54" s="246"/>
    </row>
    <row r="55" spans="1:6" x14ac:dyDescent="0.2">
      <c r="A55" s="246"/>
      <c r="B55" s="246"/>
      <c r="C55" s="246"/>
      <c r="D55" s="246"/>
      <c r="E55" s="246"/>
    </row>
    <row r="56" spans="1:6" x14ac:dyDescent="0.2">
      <c r="B56" s="56"/>
      <c r="C56" s="56"/>
      <c r="D56" s="56"/>
      <c r="E56" s="56"/>
      <c r="F56" s="56"/>
    </row>
    <row r="57" spans="1:6" ht="12.75" customHeight="1" x14ac:dyDescent="0.2">
      <c r="A57" s="247" t="s">
        <v>32</v>
      </c>
      <c r="B57" s="247"/>
      <c r="C57" s="247"/>
      <c r="D57" s="247"/>
      <c r="E57" s="247"/>
      <c r="F57" s="56"/>
    </row>
    <row r="58" spans="1:6" x14ac:dyDescent="0.2">
      <c r="A58" s="247"/>
      <c r="B58" s="247"/>
      <c r="C58" s="247"/>
      <c r="D58" s="247"/>
      <c r="E58" s="247"/>
      <c r="F58" s="59"/>
    </row>
    <row r="59" spans="1:6" x14ac:dyDescent="0.2">
      <c r="A59" s="247"/>
      <c r="B59" s="247"/>
      <c r="C59" s="247"/>
      <c r="D59" s="247"/>
      <c r="E59" s="247"/>
      <c r="F59" s="59"/>
    </row>
    <row r="60" spans="1:6" ht="12.75" customHeight="1" x14ac:dyDescent="0.2">
      <c r="A60" s="247" t="s">
        <v>33</v>
      </c>
      <c r="B60" s="247"/>
      <c r="C60" s="247"/>
      <c r="D60" s="247"/>
      <c r="E60" s="247"/>
      <c r="F60" s="58"/>
    </row>
    <row r="61" spans="1:6" x14ac:dyDescent="0.2">
      <c r="A61" s="247"/>
      <c r="B61" s="247"/>
      <c r="C61" s="247"/>
      <c r="D61" s="247"/>
      <c r="E61" s="247"/>
    </row>
  </sheetData>
  <mergeCells count="9">
    <mergeCell ref="A54:E55"/>
    <mergeCell ref="A57:E59"/>
    <mergeCell ref="A60:E61"/>
    <mergeCell ref="A9:F9"/>
    <mergeCell ref="A10:F10"/>
    <mergeCell ref="A16:B16"/>
    <mergeCell ref="A22:B22"/>
    <mergeCell ref="A47:B47"/>
    <mergeCell ref="A49:A50"/>
  </mergeCells>
  <dataValidations count="1">
    <dataValidation allowBlank="1" showInputMessage="1" showErrorMessage="1" promptTitle="Date Format" prompt="E.g:  &quot;August 1, 2011&quot;" sqref="F7"/>
  </dataValidations>
  <pageMargins left="0.7" right="0.7" top="0.75" bottom="0.75" header="0.3" footer="0.3"/>
  <pageSetup scale="69" orientation="portrait" r:id="rId1"/>
  <headerFooter>
    <oddHeader>&amp;RFiled: 2016-10-18
EB-2016-0082
Draft Rate Order
Attachment 3
Page &amp;P of &amp;N</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pageSetUpPr fitToPage="1"/>
  </sheetPr>
  <dimension ref="A1:F61"/>
  <sheetViews>
    <sheetView showGridLines="0" tabSelected="1" view="pageLayout" topLeftCell="C1" zoomScaleNormal="100" workbookViewId="0">
      <selection activeCell="L1" sqref="L1"/>
    </sheetView>
  </sheetViews>
  <sheetFormatPr defaultColWidth="9.140625" defaultRowHeight="12.75" x14ac:dyDescent="0.2"/>
  <cols>
    <col min="1" max="1" width="32" style="72" customWidth="1"/>
    <col min="2" max="2" width="21.5703125" style="72" customWidth="1"/>
    <col min="3" max="4" width="21" style="72" customWidth="1"/>
    <col min="5" max="5" width="19.7109375" style="72" customWidth="1"/>
    <col min="6" max="6" width="15" style="72" customWidth="1"/>
    <col min="7" max="16384" width="9.140625" style="72"/>
  </cols>
  <sheetData>
    <row r="1" spans="1:6" x14ac:dyDescent="0.2">
      <c r="E1" s="2"/>
      <c r="F1" s="3"/>
    </row>
    <row r="2" spans="1:6" x14ac:dyDescent="0.2">
      <c r="E2" s="2"/>
      <c r="F2" s="3"/>
    </row>
    <row r="3" spans="1:6" x14ac:dyDescent="0.2">
      <c r="E3" s="2"/>
      <c r="F3" s="3"/>
    </row>
    <row r="4" spans="1:6" x14ac:dyDescent="0.2">
      <c r="E4" s="2"/>
      <c r="F4" s="3"/>
    </row>
    <row r="5" spans="1:6" x14ac:dyDescent="0.2">
      <c r="E5" s="2"/>
      <c r="F5" s="3"/>
    </row>
    <row r="6" spans="1:6" x14ac:dyDescent="0.2">
      <c r="E6" s="2"/>
      <c r="F6" s="3"/>
    </row>
    <row r="7" spans="1:6" x14ac:dyDescent="0.2">
      <c r="E7" s="178"/>
      <c r="F7" s="179"/>
    </row>
    <row r="9" spans="1:6" ht="18" x14ac:dyDescent="0.25">
      <c r="A9" s="248" t="s">
        <v>114</v>
      </c>
      <c r="B9" s="248"/>
      <c r="C9" s="248"/>
      <c r="D9" s="248"/>
      <c r="E9" s="248"/>
      <c r="F9" s="248"/>
    </row>
    <row r="10" spans="1:6" ht="18" x14ac:dyDescent="0.25">
      <c r="A10" s="248" t="s">
        <v>0</v>
      </c>
      <c r="B10" s="248"/>
      <c r="C10" s="248"/>
      <c r="D10" s="248"/>
      <c r="E10" s="248"/>
      <c r="F10" s="248"/>
    </row>
    <row r="12" spans="1:6" x14ac:dyDescent="0.2">
      <c r="A12" s="4"/>
    </row>
    <row r="14" spans="1:6" x14ac:dyDescent="0.2">
      <c r="A14" s="73" t="s">
        <v>1</v>
      </c>
      <c r="B14" s="73"/>
    </row>
    <row r="15" spans="1:6" ht="13.5" thickBot="1" x14ac:dyDescent="0.25"/>
    <row r="16" spans="1:6" ht="18" customHeight="1" x14ac:dyDescent="0.2">
      <c r="A16" s="249" t="s">
        <v>2</v>
      </c>
      <c r="B16" s="250"/>
      <c r="C16" s="4"/>
    </row>
    <row r="17" spans="1:5" x14ac:dyDescent="0.2">
      <c r="A17" s="6" t="s">
        <v>3</v>
      </c>
      <c r="B17" s="7">
        <v>13785</v>
      </c>
      <c r="E17" s="62"/>
    </row>
    <row r="18" spans="1:5" ht="13.5" thickBot="1" x14ac:dyDescent="0.25">
      <c r="A18" s="8" t="s">
        <v>4</v>
      </c>
      <c r="B18" s="9">
        <v>126660107</v>
      </c>
      <c r="E18" s="62"/>
    </row>
    <row r="19" spans="1:5" ht="13.5" thickBot="1" x14ac:dyDescent="0.25"/>
    <row r="20" spans="1:5" ht="27.75" thickBot="1" x14ac:dyDescent="0.25">
      <c r="A20" s="10" t="s">
        <v>5</v>
      </c>
      <c r="B20" s="11">
        <f>'App.2-PA_Res_Rate_Design_19'!B20</f>
        <v>4959005.9754000008</v>
      </c>
    </row>
    <row r="21" spans="1:5" ht="13.5" thickBot="1" x14ac:dyDescent="0.25"/>
    <row r="22" spans="1:5" x14ac:dyDescent="0.2">
      <c r="A22" s="249" t="s">
        <v>6</v>
      </c>
      <c r="B22" s="250"/>
    </row>
    <row r="23" spans="1:5" x14ac:dyDescent="0.2">
      <c r="A23" s="6" t="s">
        <v>7</v>
      </c>
      <c r="B23" s="12">
        <v>12.98</v>
      </c>
    </row>
    <row r="24" spans="1:5" ht="13.5" thickBot="1" x14ac:dyDescent="0.25">
      <c r="A24" s="8" t="s">
        <v>8</v>
      </c>
      <c r="B24" s="13">
        <v>2.2200000000000001E-2</v>
      </c>
    </row>
    <row r="25" spans="1:5" x14ac:dyDescent="0.2">
      <c r="B25" s="72" t="s">
        <v>34</v>
      </c>
    </row>
    <row r="26" spans="1:5" x14ac:dyDescent="0.2">
      <c r="A26" s="73" t="s">
        <v>9</v>
      </c>
    </row>
    <row r="27" spans="1:5" ht="13.5" thickBot="1" x14ac:dyDescent="0.25"/>
    <row r="28" spans="1:5" x14ac:dyDescent="0.2">
      <c r="A28" s="14"/>
      <c r="B28" s="15" t="s">
        <v>10</v>
      </c>
      <c r="C28" s="16" t="s">
        <v>11</v>
      </c>
      <c r="D28" s="17" t="s">
        <v>12</v>
      </c>
      <c r="E28" s="60" t="s">
        <v>13</v>
      </c>
    </row>
    <row r="29" spans="1:5" ht="15" x14ac:dyDescent="0.25">
      <c r="A29" s="6" t="s">
        <v>14</v>
      </c>
      <c r="B29" s="19">
        <f>'App.2-PA_Res_Rate_Design_19'!D43</f>
        <v>26.57</v>
      </c>
      <c r="C29" s="20">
        <f>IF(B17="","",B17)</f>
        <v>13785</v>
      </c>
      <c r="D29" s="21">
        <f>IF(ISERROR(B29*C29*12),"",B29*C29*12)</f>
        <v>4395209.4000000004</v>
      </c>
      <c r="E29" s="22">
        <f>IF(ISERROR(D29/D31),"",D29/D31)</f>
        <v>0.8874703866886946</v>
      </c>
    </row>
    <row r="30" spans="1:5" ht="15" x14ac:dyDescent="0.25">
      <c r="A30" s="6" t="s">
        <v>15</v>
      </c>
      <c r="B30" s="19">
        <f>'App.2-PA_Res_Rate_Design_19'!D44</f>
        <v>4.4000000000000003E-3</v>
      </c>
      <c r="C30" s="23">
        <f>IF(B18="","",B18)</f>
        <v>126660107</v>
      </c>
      <c r="D30" s="21">
        <f>IF(ISERROR(B30*C30),"",B30*C30)</f>
        <v>557304.47080000001</v>
      </c>
      <c r="E30" s="22">
        <f>IF(ISERROR(D30/D31),"",D30/D31)</f>
        <v>0.11252961331130533</v>
      </c>
    </row>
    <row r="31" spans="1:5" ht="15.75" thickBot="1" x14ac:dyDescent="0.3">
      <c r="A31" s="24" t="s">
        <v>16</v>
      </c>
      <c r="B31" s="25" t="s">
        <v>17</v>
      </c>
      <c r="C31" s="26" t="s">
        <v>17</v>
      </c>
      <c r="D31" s="27">
        <f>IF(ISERROR(D29+D30),"",D29+D30)</f>
        <v>4952513.8708000006</v>
      </c>
      <c r="E31" s="28" t="s">
        <v>17</v>
      </c>
    </row>
    <row r="32" spans="1:5" x14ac:dyDescent="0.2">
      <c r="A32" s="4"/>
    </row>
    <row r="33" spans="1:6" ht="12.75" customHeight="1" x14ac:dyDescent="0.2">
      <c r="A33" s="29" t="s">
        <v>18</v>
      </c>
    </row>
    <row r="34" spans="1:6" ht="12.75" customHeight="1" thickBot="1" x14ac:dyDescent="0.25">
      <c r="A34" s="4"/>
    </row>
    <row r="35" spans="1:6" ht="33.75" customHeight="1" thickBot="1" x14ac:dyDescent="0.25">
      <c r="A35" s="30" t="s">
        <v>19</v>
      </c>
      <c r="B35" s="31">
        <f>'App.2-PA_Res_Rate_Design_19'!B35-1</f>
        <v>1</v>
      </c>
      <c r="C35" s="4"/>
    </row>
    <row r="36" spans="1:6" ht="12.75" customHeight="1" thickBot="1" x14ac:dyDescent="0.25">
      <c r="A36" s="4"/>
    </row>
    <row r="37" spans="1:6" ht="39" customHeight="1" x14ac:dyDescent="0.2">
      <c r="A37" s="32"/>
      <c r="B37" s="33" t="s">
        <v>20</v>
      </c>
      <c r="C37" s="34" t="s">
        <v>21</v>
      </c>
      <c r="D37" s="35" t="s">
        <v>22</v>
      </c>
    </row>
    <row r="38" spans="1:6" ht="12.75" customHeight="1" x14ac:dyDescent="0.25">
      <c r="A38" s="6" t="s">
        <v>14</v>
      </c>
      <c r="B38" s="21">
        <f>IF(ISERROR(B$20*E29),"",B$20*E29)</f>
        <v>4400970.9505797857</v>
      </c>
      <c r="C38" s="36">
        <f>IF(ISERROR(ROUND(B38/B17/12,2)),"",ROUND(B38/B17/12,2))</f>
        <v>26.6</v>
      </c>
      <c r="D38" s="37">
        <f>IF(ISERROR(C38*B17*12),"",C38*B17*12)</f>
        <v>4400172</v>
      </c>
    </row>
    <row r="39" spans="1:6" ht="12.75" customHeight="1" x14ac:dyDescent="0.25">
      <c r="A39" s="38" t="s">
        <v>15</v>
      </c>
      <c r="B39" s="39">
        <f>IF(ISERROR(B$20*E30),"",B$20*E30)</f>
        <v>558035.0248202146</v>
      </c>
      <c r="C39" s="40">
        <f>IF(ISERROR(ROUND(B39/B18,4)),"",ROUND(B39/B18,4))</f>
        <v>4.4000000000000003E-3</v>
      </c>
      <c r="D39" s="37">
        <f>IF(ISERROR(C39*B18),"",C39*B18)</f>
        <v>557304.47080000001</v>
      </c>
    </row>
    <row r="40" spans="1:6" ht="12.75" customHeight="1" thickBot="1" x14ac:dyDescent="0.3">
      <c r="A40" s="41" t="s">
        <v>16</v>
      </c>
      <c r="B40" s="42">
        <f>IF(ISERROR(B38+B39),"",B38+B39)</f>
        <v>4959005.9754000008</v>
      </c>
      <c r="C40" s="43" t="s">
        <v>17</v>
      </c>
      <c r="D40" s="44">
        <f>IF(ISERROR(D38+D39),"",D38+D39)</f>
        <v>4957476.4708000002</v>
      </c>
    </row>
    <row r="41" spans="1:6" ht="12.75" customHeight="1" thickBot="1" x14ac:dyDescent="0.25">
      <c r="A41" s="4"/>
    </row>
    <row r="42" spans="1:6" ht="27" customHeight="1" x14ac:dyDescent="0.2">
      <c r="A42" s="32"/>
      <c r="B42" s="16" t="s">
        <v>23</v>
      </c>
      <c r="C42" s="45" t="s">
        <v>24</v>
      </c>
      <c r="D42" s="46" t="s">
        <v>25</v>
      </c>
      <c r="E42" s="47" t="s">
        <v>26</v>
      </c>
      <c r="F42" s="4"/>
    </row>
    <row r="43" spans="1:6" ht="12.75" customHeight="1" x14ac:dyDescent="0.25">
      <c r="A43" s="6" t="s">
        <v>14</v>
      </c>
      <c r="B43" s="48">
        <f>IF(ISERROR(((1-E29)/B35)+E29),"",((1-E29)/B35)+E29)</f>
        <v>1</v>
      </c>
      <c r="C43" s="49">
        <f>IF(ISERROR(B43*B$20),"",B43*B$20)</f>
        <v>4959005.9754000008</v>
      </c>
      <c r="D43" s="36">
        <f>IF(ISERROR(ROUND(C43/B17/12,2)),"",ROUND(C43/B17/12,2))</f>
        <v>29.98</v>
      </c>
      <c r="E43" s="37">
        <f>IF(ISERROR(D43*12*B17),"",D43*12*B17)</f>
        <v>4959291.5999999996</v>
      </c>
      <c r="F43" s="4"/>
    </row>
    <row r="44" spans="1:6" ht="12.75" customHeight="1" x14ac:dyDescent="0.25">
      <c r="A44" s="38" t="s">
        <v>15</v>
      </c>
      <c r="B44" s="50">
        <f>IF(ISERROR(1-B43),"",1-B43)</f>
        <v>0</v>
      </c>
      <c r="C44" s="51">
        <f>IF(ISERROR(B44*B$20),"",B44*B$20)</f>
        <v>0</v>
      </c>
      <c r="D44" s="40">
        <f>IF(ISERROR(ROUND(C44/B18,4)),"",ROUND(C44/B18,4))</f>
        <v>0</v>
      </c>
      <c r="E44" s="52">
        <f>IF(ISERROR(D44*B18),"",D44*B18)</f>
        <v>0</v>
      </c>
      <c r="F44" s="4"/>
    </row>
    <row r="45" spans="1:6" ht="12.75" customHeight="1" thickBot="1" x14ac:dyDescent="0.3">
      <c r="A45" s="41" t="s">
        <v>16</v>
      </c>
      <c r="B45" s="53" t="s">
        <v>17</v>
      </c>
      <c r="C45" s="27">
        <f>IF(ISERROR(SUM(C43:C44)),"",SUM(C43:C44))</f>
        <v>4959005.9754000008</v>
      </c>
      <c r="D45" s="43" t="s">
        <v>17</v>
      </c>
      <c r="E45" s="54">
        <f>IF(ISERROR(E43+E44),"",E43+E44)</f>
        <v>4959291.5999999996</v>
      </c>
    </row>
    <row r="46" spans="1:6" ht="12.75" customHeight="1" thickBot="1" x14ac:dyDescent="0.25">
      <c r="A46" s="4"/>
    </row>
    <row r="47" spans="1:6" ht="14.25" customHeight="1" x14ac:dyDescent="0.2">
      <c r="A47" s="251" t="s">
        <v>27</v>
      </c>
      <c r="B47" s="252"/>
    </row>
    <row r="48" spans="1:6" ht="12.75" customHeight="1" x14ac:dyDescent="0.25">
      <c r="A48" s="6" t="s">
        <v>28</v>
      </c>
      <c r="B48" s="37">
        <f>IF(ISERROR(D43-C38),"",D43-C38)</f>
        <v>3.379999999999999</v>
      </c>
    </row>
    <row r="49" spans="1:6" ht="18" customHeight="1" x14ac:dyDescent="0.25">
      <c r="A49" s="253" t="s">
        <v>29</v>
      </c>
      <c r="B49" s="52">
        <f>IF(ISERROR((D43*12*B17)+(D44*B18)-B20),"",(D43*12*B17)+(D44*B18)-B20)</f>
        <v>285.62459999881685</v>
      </c>
    </row>
    <row r="50" spans="1:6" ht="21.75" customHeight="1" thickBot="1" x14ac:dyDescent="0.3">
      <c r="A50" s="254"/>
      <c r="B50" s="55">
        <f>IF(ISERROR(B49/B20), "", B49/B20)</f>
        <v>5.7597147778346435E-5</v>
      </c>
    </row>
    <row r="51" spans="1:6" ht="12.75" customHeight="1" x14ac:dyDescent="0.2">
      <c r="A51" s="4"/>
    </row>
    <row r="52" spans="1:6" ht="12.75" customHeight="1" x14ac:dyDescent="0.2">
      <c r="A52" s="73" t="s">
        <v>30</v>
      </c>
    </row>
    <row r="54" spans="1:6" ht="12.75" customHeight="1" x14ac:dyDescent="0.2">
      <c r="A54" s="246" t="s">
        <v>31</v>
      </c>
      <c r="B54" s="246"/>
      <c r="C54" s="246"/>
      <c r="D54" s="246"/>
      <c r="E54" s="246"/>
    </row>
    <row r="55" spans="1:6" x14ac:dyDescent="0.2">
      <c r="A55" s="246"/>
      <c r="B55" s="246"/>
      <c r="C55" s="246"/>
      <c r="D55" s="246"/>
      <c r="E55" s="246"/>
    </row>
    <row r="56" spans="1:6" x14ac:dyDescent="0.2">
      <c r="B56" s="56"/>
      <c r="C56" s="56"/>
      <c r="D56" s="56"/>
      <c r="E56" s="56"/>
      <c r="F56" s="56"/>
    </row>
    <row r="57" spans="1:6" ht="12.75" customHeight="1" x14ac:dyDescent="0.2">
      <c r="A57" s="247" t="s">
        <v>32</v>
      </c>
      <c r="B57" s="247"/>
      <c r="C57" s="247"/>
      <c r="D57" s="247"/>
      <c r="E57" s="247"/>
      <c r="F57" s="56"/>
    </row>
    <row r="58" spans="1:6" x14ac:dyDescent="0.2">
      <c r="A58" s="247"/>
      <c r="B58" s="247"/>
      <c r="C58" s="247"/>
      <c r="D58" s="247"/>
      <c r="E58" s="247"/>
      <c r="F58" s="59"/>
    </row>
    <row r="59" spans="1:6" x14ac:dyDescent="0.2">
      <c r="A59" s="247"/>
      <c r="B59" s="247"/>
      <c r="C59" s="247"/>
      <c r="D59" s="247"/>
      <c r="E59" s="247"/>
      <c r="F59" s="59"/>
    </row>
    <row r="60" spans="1:6" ht="12.75" customHeight="1" x14ac:dyDescent="0.2">
      <c r="A60" s="247" t="s">
        <v>33</v>
      </c>
      <c r="B60" s="247"/>
      <c r="C60" s="247"/>
      <c r="D60" s="247"/>
      <c r="E60" s="247"/>
      <c r="F60" s="58"/>
    </row>
    <row r="61" spans="1:6" x14ac:dyDescent="0.2">
      <c r="A61" s="247"/>
      <c r="B61" s="247"/>
      <c r="C61" s="247"/>
      <c r="D61" s="247"/>
      <c r="E61" s="247"/>
    </row>
  </sheetData>
  <mergeCells count="9">
    <mergeCell ref="A54:E55"/>
    <mergeCell ref="A57:E59"/>
    <mergeCell ref="A60:E61"/>
    <mergeCell ref="A9:F9"/>
    <mergeCell ref="A10:F10"/>
    <mergeCell ref="A16:B16"/>
    <mergeCell ref="A22:B22"/>
    <mergeCell ref="A47:B47"/>
    <mergeCell ref="A49:A50"/>
  </mergeCells>
  <dataValidations disablePrompts="1" count="1">
    <dataValidation allowBlank="1" showInputMessage="1" showErrorMessage="1" promptTitle="Date Format" prompt="E.g:  &quot;August 1, 2011&quot;" sqref="F7"/>
  </dataValidations>
  <pageMargins left="0.7" right="0.7" top="0.75" bottom="0.75" header="0.3" footer="0.3"/>
  <pageSetup scale="69" orientation="portrait" r:id="rId1"/>
  <headerFooter>
    <oddHeader>&amp;RFiled: 2016-10-18
EB-2016-0082
Draft Rate Order
Attachment 3
Page &amp;P of &amp;N</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pageSetUpPr fitToPage="1"/>
  </sheetPr>
  <dimension ref="A1:L112"/>
  <sheetViews>
    <sheetView showGridLines="0" tabSelected="1" view="pageLayout" topLeftCell="B1" zoomScaleNormal="90" workbookViewId="0">
      <selection activeCell="L1" sqref="L1"/>
    </sheetView>
  </sheetViews>
  <sheetFormatPr defaultColWidth="9.140625" defaultRowHeight="15" x14ac:dyDescent="0.25"/>
  <cols>
    <col min="1" max="1" width="73.85546875" style="232" bestFit="1" customWidth="1"/>
    <col min="2" max="2" width="8.85546875" style="232" bestFit="1" customWidth="1"/>
    <col min="3" max="3" width="10.5703125" style="232" bestFit="1" customWidth="1"/>
    <col min="4" max="4" width="8.42578125" style="232" bestFit="1" customWidth="1"/>
    <col min="5" max="5" width="11.5703125" style="186" bestFit="1" customWidth="1"/>
    <col min="6" max="6" width="8.85546875" style="186" customWidth="1"/>
    <col min="7" max="7" width="10.5703125" style="186" bestFit="1" customWidth="1"/>
    <col min="8" max="8" width="8.42578125" style="186" bestFit="1" customWidth="1"/>
    <col min="9" max="9" width="11.5703125" style="186" bestFit="1" customWidth="1"/>
    <col min="10" max="10" width="8.85546875" style="186" customWidth="1"/>
    <col min="11" max="11" width="8.85546875" style="186" bestFit="1" customWidth="1"/>
    <col min="12" max="12" width="11" style="186" customWidth="1"/>
    <col min="13" max="16384" width="9.140625" style="186"/>
  </cols>
  <sheetData>
    <row r="1" spans="1:12" s="183" customFormat="1" x14ac:dyDescent="0.25">
      <c r="E1" s="184"/>
      <c r="L1" s="185"/>
    </row>
    <row r="2" spans="1:12" s="183" customFormat="1" x14ac:dyDescent="0.25">
      <c r="E2" s="184"/>
      <c r="L2" s="185"/>
    </row>
    <row r="3" spans="1:12" s="183" customFormat="1" x14ac:dyDescent="0.25">
      <c r="E3" s="184"/>
      <c r="L3" s="185"/>
    </row>
    <row r="4" spans="1:12" s="183" customFormat="1" x14ac:dyDescent="0.25">
      <c r="E4" s="184"/>
      <c r="L4" s="185"/>
    </row>
    <row r="5" spans="1:12" s="183" customFormat="1" x14ac:dyDescent="0.25">
      <c r="E5" s="184"/>
      <c r="L5" s="242"/>
    </row>
    <row r="6" spans="1:12" s="183" customFormat="1" ht="14.25" x14ac:dyDescent="0.2"/>
    <row r="7" spans="1:12" x14ac:dyDescent="0.25">
      <c r="A7" s="229" t="s">
        <v>97</v>
      </c>
      <c r="B7" s="230"/>
      <c r="C7" s="231"/>
    </row>
    <row r="8" spans="1:12" hidden="1" x14ac:dyDescent="0.25">
      <c r="A8" s="233"/>
      <c r="B8" s="234"/>
      <c r="C8" s="235"/>
    </row>
    <row r="9" spans="1:12" x14ac:dyDescent="0.25">
      <c r="A9" s="233" t="s">
        <v>66</v>
      </c>
      <c r="B9" s="234"/>
      <c r="C9" s="236">
        <v>285</v>
      </c>
    </row>
    <row r="10" spans="1:12" x14ac:dyDescent="0.25">
      <c r="A10" s="237" t="s">
        <v>65</v>
      </c>
      <c r="B10" s="238"/>
      <c r="C10" s="239">
        <v>1.0430999999999999</v>
      </c>
    </row>
    <row r="12" spans="1:12" x14ac:dyDescent="0.25">
      <c r="A12" s="187"/>
      <c r="B12" s="188"/>
      <c r="C12" s="255" t="s">
        <v>37</v>
      </c>
      <c r="D12" s="256"/>
      <c r="E12" s="257"/>
      <c r="F12" s="187"/>
      <c r="G12" s="255" t="s">
        <v>59</v>
      </c>
      <c r="H12" s="256"/>
      <c r="I12" s="257"/>
      <c r="J12" s="187"/>
      <c r="K12" s="255" t="s">
        <v>39</v>
      </c>
      <c r="L12" s="257"/>
    </row>
    <row r="13" spans="1:12" ht="30" x14ac:dyDescent="0.25">
      <c r="A13" s="187"/>
      <c r="B13" s="189"/>
      <c r="C13" s="190" t="s">
        <v>108</v>
      </c>
      <c r="D13" s="190" t="s">
        <v>35</v>
      </c>
      <c r="E13" s="191" t="s">
        <v>109</v>
      </c>
      <c r="F13" s="219"/>
      <c r="G13" s="190" t="s">
        <v>108</v>
      </c>
      <c r="H13" s="190" t="s">
        <v>35</v>
      </c>
      <c r="I13" s="191" t="s">
        <v>109</v>
      </c>
      <c r="J13" s="219"/>
      <c r="K13" s="220" t="s">
        <v>109</v>
      </c>
      <c r="L13" s="221" t="s">
        <v>41</v>
      </c>
    </row>
    <row r="14" spans="1:12" x14ac:dyDescent="0.25">
      <c r="A14" s="194" t="s">
        <v>36</v>
      </c>
      <c r="B14" s="195" t="s">
        <v>61</v>
      </c>
      <c r="C14" s="67">
        <v>12.98</v>
      </c>
      <c r="D14" s="109">
        <v>1</v>
      </c>
      <c r="E14" s="67">
        <f>C14*D14</f>
        <v>12.98</v>
      </c>
      <c r="F14" s="75"/>
      <c r="G14" s="67">
        <f>'App.2-PA_Res_Rate_Design_16'!D43</f>
        <v>16.38</v>
      </c>
      <c r="H14" s="109">
        <v>1</v>
      </c>
      <c r="I14" s="67">
        <f>G14*H14</f>
        <v>16.38</v>
      </c>
      <c r="J14" s="75"/>
      <c r="K14" s="67">
        <f>I14-E14</f>
        <v>3.3999999999999986</v>
      </c>
      <c r="L14" s="96">
        <f t="shared" ref="L14:L36" si="0">IF(I14-E14=0, " 0.00%", I14/E14-1)</f>
        <v>0.2619414483821263</v>
      </c>
    </row>
    <row r="15" spans="1:12" x14ac:dyDescent="0.25">
      <c r="A15" s="196" t="s">
        <v>60</v>
      </c>
      <c r="B15" s="197" t="s">
        <v>61</v>
      </c>
      <c r="C15" s="67">
        <v>-0.13</v>
      </c>
      <c r="D15" s="109">
        <v>1</v>
      </c>
      <c r="E15" s="67">
        <f t="shared" ref="E15:E32" si="1">C15*D15</f>
        <v>-0.13</v>
      </c>
      <c r="F15" s="75"/>
      <c r="G15" s="67">
        <f>-G14*0.01</f>
        <v>-0.1638</v>
      </c>
      <c r="H15" s="109">
        <v>1</v>
      </c>
      <c r="I15" s="67">
        <f t="shared" ref="I15:I19" si="2">G15*H15</f>
        <v>-0.1638</v>
      </c>
      <c r="J15" s="86"/>
      <c r="K15" s="67">
        <f t="shared" ref="K15:K19" si="3">I15-E15</f>
        <v>-3.3799999999999997E-2</v>
      </c>
      <c r="L15" s="96">
        <f t="shared" si="0"/>
        <v>0.26</v>
      </c>
    </row>
    <row r="16" spans="1:12" x14ac:dyDescent="0.25">
      <c r="A16" s="196" t="s">
        <v>63</v>
      </c>
      <c r="B16" s="197" t="s">
        <v>61</v>
      </c>
      <c r="C16" s="67">
        <v>0.64</v>
      </c>
      <c r="D16" s="109">
        <v>1</v>
      </c>
      <c r="E16" s="67">
        <f t="shared" si="1"/>
        <v>0.64</v>
      </c>
      <c r="F16" s="75"/>
      <c r="G16" s="67">
        <v>0.64</v>
      </c>
      <c r="H16" s="109">
        <v>1</v>
      </c>
      <c r="I16" s="67">
        <f t="shared" si="2"/>
        <v>0.64</v>
      </c>
      <c r="J16" s="86"/>
      <c r="K16" s="67">
        <f t="shared" si="3"/>
        <v>0</v>
      </c>
      <c r="L16" s="96" t="str">
        <f t="shared" si="0"/>
        <v xml:space="preserve"> 0.00%</v>
      </c>
    </row>
    <row r="17" spans="1:12" x14ac:dyDescent="0.25">
      <c r="A17" s="196" t="s">
        <v>42</v>
      </c>
      <c r="B17" s="197" t="s">
        <v>62</v>
      </c>
      <c r="C17" s="70">
        <v>2.2200000000000001E-2</v>
      </c>
      <c r="D17" s="76">
        <f>$C$9</f>
        <v>285</v>
      </c>
      <c r="E17" s="67">
        <f t="shared" si="1"/>
        <v>6.327</v>
      </c>
      <c r="F17" s="75"/>
      <c r="G17" s="70">
        <f>'App.2-PA_Res_Rate_Design_16'!D44</f>
        <v>1.78E-2</v>
      </c>
      <c r="H17" s="76">
        <f>$C$9</f>
        <v>285</v>
      </c>
      <c r="I17" s="67">
        <f t="shared" si="2"/>
        <v>5.0730000000000004</v>
      </c>
      <c r="J17" s="86"/>
      <c r="K17" s="67">
        <f t="shared" si="3"/>
        <v>-1.2539999999999996</v>
      </c>
      <c r="L17" s="96">
        <f t="shared" si="0"/>
        <v>-0.19819819819819817</v>
      </c>
    </row>
    <row r="18" spans="1:12" x14ac:dyDescent="0.25">
      <c r="A18" s="196" t="s">
        <v>60</v>
      </c>
      <c r="B18" s="197" t="s">
        <v>62</v>
      </c>
      <c r="C18" s="70">
        <v>-2.0000000000000001E-4</v>
      </c>
      <c r="D18" s="76">
        <f t="shared" ref="D18:D19" si="4">$C$9</f>
        <v>285</v>
      </c>
      <c r="E18" s="67">
        <f t="shared" si="1"/>
        <v>-5.7000000000000002E-2</v>
      </c>
      <c r="F18" s="75"/>
      <c r="G18" s="70">
        <f>ROUND(-G17*0.01,4)</f>
        <v>-2.0000000000000001E-4</v>
      </c>
      <c r="H18" s="76">
        <f t="shared" ref="H18:H19" si="5">$C$9</f>
        <v>285</v>
      </c>
      <c r="I18" s="67">
        <f t="shared" si="2"/>
        <v>-5.7000000000000002E-2</v>
      </c>
      <c r="J18" s="86"/>
      <c r="K18" s="67">
        <f t="shared" si="3"/>
        <v>0</v>
      </c>
      <c r="L18" s="96" t="str">
        <f t="shared" si="0"/>
        <v xml:space="preserve"> 0.00%</v>
      </c>
    </row>
    <row r="19" spans="1:12" x14ac:dyDescent="0.25">
      <c r="A19" s="198" t="s">
        <v>64</v>
      </c>
      <c r="B19" s="197" t="s">
        <v>62</v>
      </c>
      <c r="C19" s="70">
        <v>8.0000000000000004E-4</v>
      </c>
      <c r="D19" s="76">
        <f t="shared" si="4"/>
        <v>285</v>
      </c>
      <c r="E19" s="67">
        <f t="shared" si="1"/>
        <v>0.22800000000000001</v>
      </c>
      <c r="F19" s="75"/>
      <c r="G19" s="70">
        <v>8.0000000000000004E-4</v>
      </c>
      <c r="H19" s="76">
        <f t="shared" si="5"/>
        <v>285</v>
      </c>
      <c r="I19" s="67">
        <f t="shared" si="2"/>
        <v>0.22800000000000001</v>
      </c>
      <c r="J19" s="86"/>
      <c r="K19" s="67">
        <f t="shared" si="3"/>
        <v>0</v>
      </c>
      <c r="L19" s="96" t="str">
        <f t="shared" si="0"/>
        <v xml:space="preserve"> 0.00%</v>
      </c>
    </row>
    <row r="20" spans="1:12" x14ac:dyDescent="0.25">
      <c r="A20" s="199" t="s">
        <v>43</v>
      </c>
      <c r="B20" s="200"/>
      <c r="C20" s="64"/>
      <c r="D20" s="80"/>
      <c r="E20" s="63">
        <f>SUM(E14:E19)</f>
        <v>19.988000000000003</v>
      </c>
      <c r="F20" s="77"/>
      <c r="G20" s="64"/>
      <c r="H20" s="80"/>
      <c r="I20" s="63">
        <f>SUM(I14:I19)</f>
        <v>22.100200000000005</v>
      </c>
      <c r="J20" s="65"/>
      <c r="K20" s="141">
        <f t="shared" ref="K20:K23" si="6">I20-E20</f>
        <v>2.1122000000000014</v>
      </c>
      <c r="L20" s="97">
        <f t="shared" si="0"/>
        <v>0.10567340404242542</v>
      </c>
    </row>
    <row r="21" spans="1:12" ht="15.75" customHeight="1" x14ac:dyDescent="0.25">
      <c r="A21" s="201" t="s">
        <v>44</v>
      </c>
      <c r="B21" s="197" t="s">
        <v>62</v>
      </c>
      <c r="C21" s="87">
        <f>C31*0.64+C32*0.18+C33*0.18</f>
        <v>0.10214000000000001</v>
      </c>
      <c r="D21" s="78">
        <f>($C$9*$C$10)-$C$9</f>
        <v>12.283500000000004</v>
      </c>
      <c r="E21" s="89">
        <f t="shared" si="1"/>
        <v>1.2546366900000006</v>
      </c>
      <c r="F21" s="77"/>
      <c r="G21" s="87">
        <f>G31*0.64+G32*0.18+G33*0.18</f>
        <v>0.10214000000000001</v>
      </c>
      <c r="H21" s="78">
        <f>($C$9*$C$10)-$C$9</f>
        <v>12.283500000000004</v>
      </c>
      <c r="I21" s="89">
        <f t="shared" ref="I21" si="7">G21*H21</f>
        <v>1.2546366900000006</v>
      </c>
      <c r="J21" s="65"/>
      <c r="K21" s="67">
        <f t="shared" si="6"/>
        <v>0</v>
      </c>
      <c r="L21" s="96" t="str">
        <f t="shared" si="0"/>
        <v xml:space="preserve"> 0.00%</v>
      </c>
    </row>
    <row r="22" spans="1:12" ht="15" hidden="1" customHeight="1" x14ac:dyDescent="0.25">
      <c r="A22" s="201" t="s">
        <v>45</v>
      </c>
      <c r="B22" s="197" t="s">
        <v>62</v>
      </c>
      <c r="C22" s="108">
        <v>0</v>
      </c>
      <c r="D22" s="78">
        <v>0</v>
      </c>
      <c r="E22" s="89">
        <v>0</v>
      </c>
      <c r="F22" s="77"/>
      <c r="G22" s="108">
        <v>0</v>
      </c>
      <c r="H22" s="78">
        <v>0</v>
      </c>
      <c r="I22" s="89">
        <v>0</v>
      </c>
      <c r="J22" s="65"/>
      <c r="K22" s="67">
        <f t="shared" si="6"/>
        <v>0</v>
      </c>
      <c r="L22" s="96" t="str">
        <f t="shared" si="0"/>
        <v xml:space="preserve"> 0.00%</v>
      </c>
    </row>
    <row r="23" spans="1:12" x14ac:dyDescent="0.25">
      <c r="A23" s="196" t="s">
        <v>46</v>
      </c>
      <c r="B23" s="197" t="s">
        <v>61</v>
      </c>
      <c r="C23" s="107">
        <v>0.79</v>
      </c>
      <c r="D23" s="78">
        <v>1</v>
      </c>
      <c r="E23" s="89">
        <f t="shared" si="1"/>
        <v>0.79</v>
      </c>
      <c r="F23" s="77"/>
      <c r="G23" s="107">
        <v>0.79</v>
      </c>
      <c r="H23" s="78">
        <v>1</v>
      </c>
      <c r="I23" s="89">
        <f t="shared" ref="I23" si="8">G23*H23</f>
        <v>0.79</v>
      </c>
      <c r="J23" s="65"/>
      <c r="K23" s="67">
        <f t="shared" si="6"/>
        <v>0</v>
      </c>
      <c r="L23" s="96" t="str">
        <f t="shared" si="0"/>
        <v xml:space="preserve"> 0.00%</v>
      </c>
    </row>
    <row r="24" spans="1:12" x14ac:dyDescent="0.25">
      <c r="A24" s="202" t="s">
        <v>47</v>
      </c>
      <c r="B24" s="203"/>
      <c r="C24" s="80"/>
      <c r="D24" s="80"/>
      <c r="E24" s="90">
        <f>SUM(E20:E23)</f>
        <v>22.032636690000004</v>
      </c>
      <c r="F24" s="77"/>
      <c r="G24" s="80"/>
      <c r="H24" s="80"/>
      <c r="I24" s="90">
        <f>SUM(I20:I23)</f>
        <v>24.144836690000005</v>
      </c>
      <c r="J24" s="65"/>
      <c r="K24" s="141">
        <f t="shared" ref="K24:K26" si="9">I24-E24</f>
        <v>2.1122000000000014</v>
      </c>
      <c r="L24" s="97">
        <f t="shared" si="0"/>
        <v>9.5866873752730175E-2</v>
      </c>
    </row>
    <row r="25" spans="1:12" x14ac:dyDescent="0.25">
      <c r="A25" s="204" t="s">
        <v>48</v>
      </c>
      <c r="B25" s="197" t="s">
        <v>62</v>
      </c>
      <c r="C25" s="87">
        <v>7.4999999999999997E-3</v>
      </c>
      <c r="D25" s="81">
        <f>$C$9*$C$10</f>
        <v>297.2835</v>
      </c>
      <c r="E25" s="89">
        <f t="shared" si="1"/>
        <v>2.2296262499999999</v>
      </c>
      <c r="F25" s="77"/>
      <c r="G25" s="87">
        <v>7.4999999999999997E-3</v>
      </c>
      <c r="H25" s="81">
        <f>$C$9*$C$10</f>
        <v>297.2835</v>
      </c>
      <c r="I25" s="89">
        <f t="shared" ref="I25:I26" si="10">G25*H25</f>
        <v>2.2296262499999999</v>
      </c>
      <c r="J25" s="65"/>
      <c r="K25" s="95">
        <f t="shared" si="9"/>
        <v>0</v>
      </c>
      <c r="L25" s="96" t="str">
        <f t="shared" si="0"/>
        <v xml:space="preserve"> 0.00%</v>
      </c>
    </row>
    <row r="26" spans="1:12" x14ac:dyDescent="0.25">
      <c r="A26" s="205" t="s">
        <v>49</v>
      </c>
      <c r="B26" s="197" t="s">
        <v>62</v>
      </c>
      <c r="C26" s="87">
        <v>5.4000000000000003E-3</v>
      </c>
      <c r="D26" s="81">
        <f>$C$9*$C$10</f>
        <v>297.2835</v>
      </c>
      <c r="E26" s="89">
        <f t="shared" si="1"/>
        <v>1.6053309</v>
      </c>
      <c r="F26" s="77"/>
      <c r="G26" s="87">
        <v>5.4000000000000003E-3</v>
      </c>
      <c r="H26" s="81">
        <f>$C$9*$C$10</f>
        <v>297.2835</v>
      </c>
      <c r="I26" s="89">
        <f t="shared" si="10"/>
        <v>1.6053309</v>
      </c>
      <c r="J26" s="65"/>
      <c r="K26" s="95">
        <f t="shared" si="9"/>
        <v>0</v>
      </c>
      <c r="L26" s="96" t="str">
        <f t="shared" si="0"/>
        <v xml:space="preserve"> 0.00%</v>
      </c>
    </row>
    <row r="27" spans="1:12" x14ac:dyDescent="0.25">
      <c r="A27" s="202" t="s">
        <v>50</v>
      </c>
      <c r="B27" s="200"/>
      <c r="C27" s="80"/>
      <c r="D27" s="80"/>
      <c r="E27" s="90">
        <f>SUM(E24:E26)</f>
        <v>25.867593840000001</v>
      </c>
      <c r="F27" s="82"/>
      <c r="G27" s="80"/>
      <c r="H27" s="80"/>
      <c r="I27" s="90">
        <f>SUM(I24:I26)</f>
        <v>27.979793840000003</v>
      </c>
      <c r="J27" s="66"/>
      <c r="K27" s="141">
        <f t="shared" ref="K27:K33" si="11">I27-E27</f>
        <v>2.1122000000000014</v>
      </c>
      <c r="L27" s="97">
        <f>IF(I27-E27=0, " 0.00%", I27/E27-1)</f>
        <v>8.165428965154975E-2</v>
      </c>
    </row>
    <row r="28" spans="1:12" x14ac:dyDescent="0.25">
      <c r="A28" s="206" t="s">
        <v>51</v>
      </c>
      <c r="B28" s="197" t="s">
        <v>62</v>
      </c>
      <c r="C28" s="88">
        <v>4.4000000000000003E-3</v>
      </c>
      <c r="D28" s="81">
        <f>$C$9*$C$10</f>
        <v>297.2835</v>
      </c>
      <c r="E28" s="67">
        <f t="shared" si="1"/>
        <v>1.3080474000000002</v>
      </c>
      <c r="F28" s="79"/>
      <c r="G28" s="88">
        <v>4.4000000000000003E-3</v>
      </c>
      <c r="H28" s="81">
        <f>$C$9*$C$10</f>
        <v>297.2835</v>
      </c>
      <c r="I28" s="67">
        <f t="shared" ref="I28:I32" si="12">G28*H28</f>
        <v>1.3080474000000002</v>
      </c>
      <c r="J28" s="65"/>
      <c r="K28" s="95">
        <f t="shared" si="11"/>
        <v>0</v>
      </c>
      <c r="L28" s="96" t="str">
        <f t="shared" si="0"/>
        <v xml:space="preserve"> 0.00%</v>
      </c>
    </row>
    <row r="29" spans="1:12" x14ac:dyDescent="0.25">
      <c r="A29" s="206" t="s">
        <v>52</v>
      </c>
      <c r="B29" s="197" t="s">
        <v>62</v>
      </c>
      <c r="C29" s="88">
        <v>1.2999999999999999E-3</v>
      </c>
      <c r="D29" s="81">
        <f>$C$9*$C$10</f>
        <v>297.2835</v>
      </c>
      <c r="E29" s="67">
        <f t="shared" si="1"/>
        <v>0.38646854999999997</v>
      </c>
      <c r="F29" s="79"/>
      <c r="G29" s="88">
        <v>1.2999999999999999E-3</v>
      </c>
      <c r="H29" s="81">
        <f>$C$9*$C$10</f>
        <v>297.2835</v>
      </c>
      <c r="I29" s="67">
        <f t="shared" si="12"/>
        <v>0.38646854999999997</v>
      </c>
      <c r="J29" s="65"/>
      <c r="K29" s="95">
        <f t="shared" si="11"/>
        <v>0</v>
      </c>
      <c r="L29" s="96" t="str">
        <f t="shared" si="0"/>
        <v xml:space="preserve"> 0.00%</v>
      </c>
    </row>
    <row r="30" spans="1:12" x14ac:dyDescent="0.25">
      <c r="A30" s="196" t="s">
        <v>53</v>
      </c>
      <c r="B30" s="197" t="s">
        <v>61</v>
      </c>
      <c r="C30" s="69">
        <v>0.25</v>
      </c>
      <c r="D30" s="81">
        <v>1</v>
      </c>
      <c r="E30" s="67">
        <f t="shared" si="1"/>
        <v>0.25</v>
      </c>
      <c r="F30" s="79"/>
      <c r="G30" s="69">
        <v>0.25</v>
      </c>
      <c r="H30" s="81">
        <v>1</v>
      </c>
      <c r="I30" s="67">
        <f t="shared" si="12"/>
        <v>0.25</v>
      </c>
      <c r="J30" s="79"/>
      <c r="K30" s="95">
        <f t="shared" si="11"/>
        <v>0</v>
      </c>
      <c r="L30" s="96" t="str">
        <f t="shared" si="0"/>
        <v xml:space="preserve"> 0.00%</v>
      </c>
    </row>
    <row r="31" spans="1:12" x14ac:dyDescent="0.25">
      <c r="A31" s="196" t="s">
        <v>54</v>
      </c>
      <c r="B31" s="197" t="s">
        <v>62</v>
      </c>
      <c r="C31" s="83">
        <v>0.08</v>
      </c>
      <c r="D31" s="81">
        <f>$C$9*0.64</f>
        <v>182.4</v>
      </c>
      <c r="E31" s="67">
        <f t="shared" si="1"/>
        <v>14.592000000000001</v>
      </c>
      <c r="F31" s="79"/>
      <c r="G31" s="83">
        <v>0.08</v>
      </c>
      <c r="H31" s="81">
        <f>$C$9*0.64</f>
        <v>182.4</v>
      </c>
      <c r="I31" s="67">
        <f t="shared" si="12"/>
        <v>14.592000000000001</v>
      </c>
      <c r="J31" s="79"/>
      <c r="K31" s="95">
        <f t="shared" si="11"/>
        <v>0</v>
      </c>
      <c r="L31" s="96" t="str">
        <f t="shared" si="0"/>
        <v xml:space="preserve"> 0.00%</v>
      </c>
    </row>
    <row r="32" spans="1:12" x14ac:dyDescent="0.25">
      <c r="A32" s="196" t="s">
        <v>55</v>
      </c>
      <c r="B32" s="197" t="s">
        <v>62</v>
      </c>
      <c r="C32" s="83">
        <v>0.122</v>
      </c>
      <c r="D32" s="81">
        <f>$C$9*0.18</f>
        <v>51.3</v>
      </c>
      <c r="E32" s="67">
        <f t="shared" si="1"/>
        <v>6.2585999999999995</v>
      </c>
      <c r="F32" s="79"/>
      <c r="G32" s="83">
        <v>0.122</v>
      </c>
      <c r="H32" s="81">
        <f>$C$9*0.18</f>
        <v>51.3</v>
      </c>
      <c r="I32" s="67">
        <f t="shared" si="12"/>
        <v>6.2585999999999995</v>
      </c>
      <c r="J32" s="79"/>
      <c r="K32" s="95">
        <f t="shared" si="11"/>
        <v>0</v>
      </c>
      <c r="L32" s="96" t="str">
        <f t="shared" si="0"/>
        <v xml:space="preserve"> 0.00%</v>
      </c>
    </row>
    <row r="33" spans="1:12" ht="15.75" thickBot="1" x14ac:dyDescent="0.3">
      <c r="A33" s="207" t="s">
        <v>56</v>
      </c>
      <c r="B33" s="208" t="s">
        <v>62</v>
      </c>
      <c r="C33" s="83">
        <v>0.161</v>
      </c>
      <c r="D33" s="81">
        <f>$C$9*0.18</f>
        <v>51.3</v>
      </c>
      <c r="E33" s="67">
        <f>C33*D33</f>
        <v>8.2592999999999996</v>
      </c>
      <c r="F33" s="79"/>
      <c r="G33" s="83">
        <v>0.161</v>
      </c>
      <c r="H33" s="81">
        <f>$C$9*0.18</f>
        <v>51.3</v>
      </c>
      <c r="I33" s="67">
        <f>G33*H33</f>
        <v>8.2592999999999996</v>
      </c>
      <c r="J33" s="79"/>
      <c r="K33" s="95">
        <f t="shared" si="11"/>
        <v>0</v>
      </c>
      <c r="L33" s="96" t="str">
        <f t="shared" si="0"/>
        <v xml:space="preserve"> 0.00%</v>
      </c>
    </row>
    <row r="34" spans="1:12" ht="9" customHeight="1" thickBot="1" x14ac:dyDescent="0.3">
      <c r="A34" s="209"/>
      <c r="B34" s="210"/>
      <c r="C34" s="137"/>
      <c r="D34" s="84"/>
      <c r="E34" s="91"/>
      <c r="F34" s="84"/>
      <c r="G34" s="137"/>
      <c r="H34" s="84"/>
      <c r="I34" s="137"/>
      <c r="J34" s="84"/>
      <c r="K34" s="138"/>
      <c r="L34" s="98"/>
    </row>
    <row r="35" spans="1:12" x14ac:dyDescent="0.25">
      <c r="A35" s="211" t="s">
        <v>57</v>
      </c>
      <c r="B35" s="222"/>
      <c r="C35" s="102"/>
      <c r="D35" s="103"/>
      <c r="E35" s="92">
        <f>SUM(E27:E33)</f>
        <v>56.922009790000004</v>
      </c>
      <c r="F35" s="104"/>
      <c r="G35" s="105"/>
      <c r="H35" s="105"/>
      <c r="I35" s="136">
        <f>SUM(I27:I33)</f>
        <v>59.034209790000006</v>
      </c>
      <c r="J35" s="85"/>
      <c r="K35" s="140">
        <f t="shared" ref="K35:K39" si="13">I35-E35</f>
        <v>2.1122000000000014</v>
      </c>
      <c r="L35" s="68">
        <f>IF(I35-E35=0, " 0.00%", I35/E35-1)</f>
        <v>3.7106911856985558E-2</v>
      </c>
    </row>
    <row r="36" spans="1:12" x14ac:dyDescent="0.25">
      <c r="A36" s="213" t="s">
        <v>58</v>
      </c>
      <c r="B36" s="222"/>
      <c r="C36" s="102">
        <v>0.13</v>
      </c>
      <c r="D36" s="106"/>
      <c r="E36" s="93">
        <f>E35*C36</f>
        <v>7.3998612727000008</v>
      </c>
      <c r="F36" s="74"/>
      <c r="G36" s="102">
        <v>0.13</v>
      </c>
      <c r="H36" s="74"/>
      <c r="I36" s="100">
        <f>I35*G36</f>
        <v>7.674447272700001</v>
      </c>
      <c r="J36" s="86"/>
      <c r="K36" s="67">
        <f t="shared" si="13"/>
        <v>0.27458600000000022</v>
      </c>
      <c r="L36" s="96">
        <f t="shared" si="0"/>
        <v>3.7106911856985558E-2</v>
      </c>
    </row>
    <row r="37" spans="1:12" ht="15" hidden="1" customHeight="1" x14ac:dyDescent="0.25">
      <c r="A37" s="215" t="s">
        <v>117</v>
      </c>
      <c r="B37" s="222"/>
      <c r="C37" s="74"/>
      <c r="D37" s="106"/>
      <c r="E37" s="93">
        <f>E35+E36</f>
        <v>64.321871062700012</v>
      </c>
      <c r="F37" s="74"/>
      <c r="G37" s="74"/>
      <c r="H37" s="74"/>
      <c r="I37" s="100">
        <f>I35+I36</f>
        <v>66.708657062700013</v>
      </c>
      <c r="J37" s="86"/>
      <c r="K37" s="67">
        <f t="shared" si="13"/>
        <v>2.3867860000000007</v>
      </c>
      <c r="L37" s="96">
        <f t="shared" ref="L37" si="14">I37/E37-1</f>
        <v>3.7106911856985558E-2</v>
      </c>
    </row>
    <row r="38" spans="1:12" ht="15" hidden="1" customHeight="1" x14ac:dyDescent="0.25">
      <c r="A38" s="216"/>
      <c r="B38" s="222"/>
      <c r="C38" s="74"/>
      <c r="D38" s="106"/>
      <c r="E38" s="94">
        <v>0</v>
      </c>
      <c r="F38" s="74"/>
      <c r="G38" s="74"/>
      <c r="H38" s="74"/>
      <c r="I38" s="101">
        <v>0</v>
      </c>
      <c r="J38" s="86"/>
      <c r="K38" s="67">
        <f t="shared" si="13"/>
        <v>0</v>
      </c>
      <c r="L38" s="101">
        <v>0</v>
      </c>
    </row>
    <row r="39" spans="1:12" ht="15.75" thickBot="1" x14ac:dyDescent="0.3">
      <c r="A39" s="217" t="s">
        <v>96</v>
      </c>
      <c r="B39" s="218"/>
      <c r="C39" s="142"/>
      <c r="D39" s="143"/>
      <c r="E39" s="144">
        <f>E37+E38</f>
        <v>64.321871062700012</v>
      </c>
      <c r="F39" s="145"/>
      <c r="G39" s="145"/>
      <c r="H39" s="145"/>
      <c r="I39" s="149">
        <f>I37+I38</f>
        <v>66.708657062700013</v>
      </c>
      <c r="J39" s="146"/>
      <c r="K39" s="147">
        <f t="shared" si="13"/>
        <v>2.3867860000000007</v>
      </c>
      <c r="L39" s="148">
        <f t="shared" ref="L39" si="15">IF(I39-E39=0, " 0.00%", I39/E39-1)</f>
        <v>3.7106911856985558E-2</v>
      </c>
    </row>
    <row r="40" spans="1:12" ht="9" customHeight="1" thickBot="1" x14ac:dyDescent="0.3">
      <c r="A40" s="209"/>
      <c r="B40" s="210"/>
      <c r="C40" s="137"/>
      <c r="D40" s="84"/>
      <c r="E40" s="91"/>
      <c r="F40" s="84"/>
      <c r="G40" s="137"/>
      <c r="H40" s="84"/>
      <c r="I40" s="137"/>
      <c r="J40" s="84"/>
      <c r="K40" s="138"/>
      <c r="L40" s="98"/>
    </row>
    <row r="43" spans="1:12" x14ac:dyDescent="0.25">
      <c r="A43" s="229" t="s">
        <v>97</v>
      </c>
      <c r="B43" s="230"/>
      <c r="C43" s="231"/>
    </row>
    <row r="44" spans="1:12" hidden="1" x14ac:dyDescent="0.25">
      <c r="A44" s="233"/>
      <c r="B44" s="234"/>
      <c r="C44" s="235"/>
    </row>
    <row r="45" spans="1:12" x14ac:dyDescent="0.25">
      <c r="A45" s="233" t="s">
        <v>66</v>
      </c>
      <c r="B45" s="234"/>
      <c r="C45" s="236">
        <v>800</v>
      </c>
    </row>
    <row r="46" spans="1:12" x14ac:dyDescent="0.25">
      <c r="A46" s="237" t="s">
        <v>65</v>
      </c>
      <c r="B46" s="238"/>
      <c r="C46" s="239">
        <v>1.0430999999999999</v>
      </c>
    </row>
    <row r="48" spans="1:12" x14ac:dyDescent="0.25">
      <c r="A48" s="187"/>
      <c r="B48" s="188"/>
      <c r="C48" s="258" t="s">
        <v>37</v>
      </c>
      <c r="D48" s="259"/>
      <c r="E48" s="260"/>
      <c r="F48" s="187"/>
      <c r="G48" s="258" t="s">
        <v>59</v>
      </c>
      <c r="H48" s="259"/>
      <c r="I48" s="260"/>
      <c r="J48" s="187"/>
      <c r="K48" s="258" t="s">
        <v>39</v>
      </c>
      <c r="L48" s="260"/>
    </row>
    <row r="49" spans="1:12" ht="30" x14ac:dyDescent="0.25">
      <c r="A49" s="187"/>
      <c r="B49" s="189"/>
      <c r="C49" s="190" t="s">
        <v>108</v>
      </c>
      <c r="D49" s="190" t="s">
        <v>35</v>
      </c>
      <c r="E49" s="191" t="s">
        <v>109</v>
      </c>
      <c r="F49" s="187"/>
      <c r="G49" s="190" t="s">
        <v>108</v>
      </c>
      <c r="H49" s="190" t="s">
        <v>35</v>
      </c>
      <c r="I49" s="191" t="s">
        <v>109</v>
      </c>
      <c r="J49" s="187"/>
      <c r="K49" s="192" t="s">
        <v>40</v>
      </c>
      <c r="L49" s="193" t="s">
        <v>41</v>
      </c>
    </row>
    <row r="50" spans="1:12" x14ac:dyDescent="0.25">
      <c r="A50" s="194" t="s">
        <v>36</v>
      </c>
      <c r="B50" s="195" t="s">
        <v>61</v>
      </c>
      <c r="C50" s="67">
        <v>12.98</v>
      </c>
      <c r="D50" s="109">
        <v>1</v>
      </c>
      <c r="E50" s="67">
        <f>C50*D50</f>
        <v>12.98</v>
      </c>
      <c r="F50" s="75"/>
      <c r="G50" s="67">
        <f>G14</f>
        <v>16.38</v>
      </c>
      <c r="H50" s="109">
        <v>1</v>
      </c>
      <c r="I50" s="67">
        <f>G50*H50</f>
        <v>16.38</v>
      </c>
      <c r="J50" s="75"/>
      <c r="K50" s="67">
        <f>I50-E50</f>
        <v>3.3999999999999986</v>
      </c>
      <c r="L50" s="96">
        <f t="shared" ref="L50:L72" si="16">IF(I50-E50=0, " 0.00%", I50/E50-1)</f>
        <v>0.2619414483821263</v>
      </c>
    </row>
    <row r="51" spans="1:12" x14ac:dyDescent="0.25">
      <c r="A51" s="196" t="s">
        <v>60</v>
      </c>
      <c r="B51" s="197" t="s">
        <v>61</v>
      </c>
      <c r="C51" s="67">
        <v>-0.13</v>
      </c>
      <c r="D51" s="109">
        <v>1</v>
      </c>
      <c r="E51" s="67">
        <f t="shared" ref="E51:E55" si="17">C51*D51</f>
        <v>-0.13</v>
      </c>
      <c r="F51" s="75"/>
      <c r="G51" s="67">
        <f t="shared" ref="G51:G69" si="18">G15</f>
        <v>-0.1638</v>
      </c>
      <c r="H51" s="109">
        <v>1</v>
      </c>
      <c r="I51" s="67">
        <f t="shared" ref="I51:I55" si="19">G51*H51</f>
        <v>-0.1638</v>
      </c>
      <c r="J51" s="86"/>
      <c r="K51" s="67">
        <f t="shared" ref="K51:K69" si="20">I51-E51</f>
        <v>-3.3799999999999997E-2</v>
      </c>
      <c r="L51" s="96">
        <f t="shared" si="16"/>
        <v>0.26</v>
      </c>
    </row>
    <row r="52" spans="1:12" x14ac:dyDescent="0.25">
      <c r="A52" s="196" t="s">
        <v>63</v>
      </c>
      <c r="B52" s="197" t="s">
        <v>61</v>
      </c>
      <c r="C52" s="67">
        <v>0.64</v>
      </c>
      <c r="D52" s="109">
        <v>1</v>
      </c>
      <c r="E52" s="67">
        <f t="shared" si="17"/>
        <v>0.64</v>
      </c>
      <c r="F52" s="75"/>
      <c r="G52" s="67">
        <f t="shared" si="18"/>
        <v>0.64</v>
      </c>
      <c r="H52" s="109">
        <v>1</v>
      </c>
      <c r="I52" s="67">
        <f t="shared" si="19"/>
        <v>0.64</v>
      </c>
      <c r="J52" s="86"/>
      <c r="K52" s="67">
        <f t="shared" si="20"/>
        <v>0</v>
      </c>
      <c r="L52" s="96" t="str">
        <f t="shared" si="16"/>
        <v xml:space="preserve"> 0.00%</v>
      </c>
    </row>
    <row r="53" spans="1:12" x14ac:dyDescent="0.25">
      <c r="A53" s="196" t="s">
        <v>42</v>
      </c>
      <c r="B53" s="197" t="s">
        <v>62</v>
      </c>
      <c r="C53" s="70">
        <f>C17</f>
        <v>2.2200000000000001E-2</v>
      </c>
      <c r="D53" s="76">
        <f>$C$45</f>
        <v>800</v>
      </c>
      <c r="E53" s="67">
        <f t="shared" si="17"/>
        <v>17.760000000000002</v>
      </c>
      <c r="F53" s="75"/>
      <c r="G53" s="70">
        <f>G17</f>
        <v>1.78E-2</v>
      </c>
      <c r="H53" s="76">
        <f>$C$45</f>
        <v>800</v>
      </c>
      <c r="I53" s="67">
        <f t="shared" si="19"/>
        <v>14.24</v>
      </c>
      <c r="J53" s="86"/>
      <c r="K53" s="67">
        <f t="shared" si="20"/>
        <v>-3.5200000000000014</v>
      </c>
      <c r="L53" s="96">
        <f t="shared" si="16"/>
        <v>-0.19819819819819828</v>
      </c>
    </row>
    <row r="54" spans="1:12" x14ac:dyDescent="0.25">
      <c r="A54" s="196" t="s">
        <v>60</v>
      </c>
      <c r="B54" s="197" t="s">
        <v>62</v>
      </c>
      <c r="C54" s="70">
        <f>C18</f>
        <v>-2.0000000000000001E-4</v>
      </c>
      <c r="D54" s="76">
        <f t="shared" ref="D54:D55" si="21">$C$45</f>
        <v>800</v>
      </c>
      <c r="E54" s="67">
        <f t="shared" si="17"/>
        <v>-0.16</v>
      </c>
      <c r="F54" s="75"/>
      <c r="G54" s="70">
        <f>G18</f>
        <v>-2.0000000000000001E-4</v>
      </c>
      <c r="H54" s="76">
        <f t="shared" ref="H54:H55" si="22">$C$45</f>
        <v>800</v>
      </c>
      <c r="I54" s="67">
        <f t="shared" si="19"/>
        <v>-0.16</v>
      </c>
      <c r="J54" s="86"/>
      <c r="K54" s="67">
        <f t="shared" si="20"/>
        <v>0</v>
      </c>
      <c r="L54" s="96" t="str">
        <f t="shared" si="16"/>
        <v xml:space="preserve"> 0.00%</v>
      </c>
    </row>
    <row r="55" spans="1:12" x14ac:dyDescent="0.25">
      <c r="A55" s="198" t="s">
        <v>64</v>
      </c>
      <c r="B55" s="197" t="s">
        <v>62</v>
      </c>
      <c r="C55" s="70">
        <v>8.0000000000000004E-4</v>
      </c>
      <c r="D55" s="76">
        <f t="shared" si="21"/>
        <v>800</v>
      </c>
      <c r="E55" s="67">
        <f t="shared" si="17"/>
        <v>0.64</v>
      </c>
      <c r="F55" s="75"/>
      <c r="G55" s="70">
        <f t="shared" si="18"/>
        <v>8.0000000000000004E-4</v>
      </c>
      <c r="H55" s="76">
        <f t="shared" si="22"/>
        <v>800</v>
      </c>
      <c r="I55" s="67">
        <f t="shared" si="19"/>
        <v>0.64</v>
      </c>
      <c r="J55" s="86"/>
      <c r="K55" s="67">
        <f t="shared" si="20"/>
        <v>0</v>
      </c>
      <c r="L55" s="96" t="str">
        <f t="shared" si="16"/>
        <v xml:space="preserve"> 0.00%</v>
      </c>
    </row>
    <row r="56" spans="1:12" x14ac:dyDescent="0.25">
      <c r="A56" s="199" t="s">
        <v>43</v>
      </c>
      <c r="B56" s="200"/>
      <c r="C56" s="64"/>
      <c r="D56" s="80"/>
      <c r="E56" s="63">
        <f>SUM(E50:E55)</f>
        <v>31.73</v>
      </c>
      <c r="F56" s="77"/>
      <c r="G56" s="64">
        <f t="shared" si="18"/>
        <v>0</v>
      </c>
      <c r="H56" s="80"/>
      <c r="I56" s="63">
        <f>SUM(I50:I55)</f>
        <v>31.576200000000004</v>
      </c>
      <c r="J56" s="65"/>
      <c r="K56" s="141">
        <f t="shared" si="20"/>
        <v>-0.15379999999999683</v>
      </c>
      <c r="L56" s="97">
        <f t="shared" si="16"/>
        <v>-4.8471478096437925E-3</v>
      </c>
    </row>
    <row r="57" spans="1:12" x14ac:dyDescent="0.25">
      <c r="A57" s="201" t="s">
        <v>44</v>
      </c>
      <c r="B57" s="197" t="s">
        <v>62</v>
      </c>
      <c r="C57" s="87">
        <f>C67*0.64+C68*0.18+C69*0.18</f>
        <v>0.10214000000000001</v>
      </c>
      <c r="D57" s="78">
        <f>($C$45*$C$46)-$C$45</f>
        <v>34.479999999999905</v>
      </c>
      <c r="E57" s="89">
        <f t="shared" ref="E57" si="23">C57*D57</f>
        <v>3.5217871999999906</v>
      </c>
      <c r="F57" s="77"/>
      <c r="G57" s="87">
        <f t="shared" si="18"/>
        <v>0.10214000000000001</v>
      </c>
      <c r="H57" s="78">
        <f>($C$45*$C$46)-$C$45</f>
        <v>34.479999999999905</v>
      </c>
      <c r="I57" s="89">
        <f t="shared" ref="I57" si="24">G57*H57</f>
        <v>3.5217871999999906</v>
      </c>
      <c r="J57" s="65"/>
      <c r="K57" s="67">
        <f t="shared" si="20"/>
        <v>0</v>
      </c>
      <c r="L57" s="96" t="str">
        <f t="shared" si="16"/>
        <v xml:space="preserve"> 0.00%</v>
      </c>
    </row>
    <row r="58" spans="1:12" hidden="1" x14ac:dyDescent="0.25">
      <c r="A58" s="201" t="s">
        <v>45</v>
      </c>
      <c r="B58" s="197" t="s">
        <v>62</v>
      </c>
      <c r="C58" s="108">
        <v>0</v>
      </c>
      <c r="D58" s="78">
        <v>0</v>
      </c>
      <c r="E58" s="89">
        <v>0</v>
      </c>
      <c r="F58" s="77"/>
      <c r="G58" s="108">
        <f t="shared" si="18"/>
        <v>0</v>
      </c>
      <c r="H58" s="78">
        <v>0</v>
      </c>
      <c r="I58" s="89">
        <v>0</v>
      </c>
      <c r="J58" s="65"/>
      <c r="K58" s="67">
        <f t="shared" si="20"/>
        <v>0</v>
      </c>
      <c r="L58" s="96" t="str">
        <f t="shared" si="16"/>
        <v xml:space="preserve"> 0.00%</v>
      </c>
    </row>
    <row r="59" spans="1:12" x14ac:dyDescent="0.25">
      <c r="A59" s="196" t="s">
        <v>46</v>
      </c>
      <c r="B59" s="197" t="s">
        <v>61</v>
      </c>
      <c r="C59" s="107">
        <v>0.79</v>
      </c>
      <c r="D59" s="78">
        <v>1</v>
      </c>
      <c r="E59" s="89">
        <f t="shared" ref="E59" si="25">C59*D59</f>
        <v>0.79</v>
      </c>
      <c r="F59" s="77"/>
      <c r="G59" s="107">
        <f t="shared" si="18"/>
        <v>0.79</v>
      </c>
      <c r="H59" s="78">
        <v>1</v>
      </c>
      <c r="I59" s="89">
        <f t="shared" ref="I59" si="26">G59*H59</f>
        <v>0.79</v>
      </c>
      <c r="J59" s="65"/>
      <c r="K59" s="67">
        <f t="shared" si="20"/>
        <v>0</v>
      </c>
      <c r="L59" s="96" t="str">
        <f t="shared" si="16"/>
        <v xml:space="preserve"> 0.00%</v>
      </c>
    </row>
    <row r="60" spans="1:12" x14ac:dyDescent="0.25">
      <c r="A60" s="202" t="s">
        <v>47</v>
      </c>
      <c r="B60" s="203"/>
      <c r="C60" s="80"/>
      <c r="D60" s="80"/>
      <c r="E60" s="90">
        <f>SUM(E56:E59)</f>
        <v>36.041787199999987</v>
      </c>
      <c r="F60" s="77"/>
      <c r="G60" s="80">
        <f t="shared" si="18"/>
        <v>0</v>
      </c>
      <c r="H60" s="80"/>
      <c r="I60" s="90">
        <f>SUM(I56:I59)</f>
        <v>35.887987199999991</v>
      </c>
      <c r="J60" s="65"/>
      <c r="K60" s="141">
        <f t="shared" si="20"/>
        <v>-0.15379999999999683</v>
      </c>
      <c r="L60" s="97">
        <f t="shared" si="16"/>
        <v>-4.2672689660627761E-3</v>
      </c>
    </row>
    <row r="61" spans="1:12" x14ac:dyDescent="0.25">
      <c r="A61" s="204" t="s">
        <v>48</v>
      </c>
      <c r="B61" s="197" t="s">
        <v>62</v>
      </c>
      <c r="C61" s="87">
        <v>7.4999999999999997E-3</v>
      </c>
      <c r="D61" s="81">
        <f>$C$45*$C$46</f>
        <v>834.4799999999999</v>
      </c>
      <c r="E61" s="89">
        <f t="shared" ref="E61:E62" si="27">C61*D61</f>
        <v>6.2585999999999986</v>
      </c>
      <c r="F61" s="77"/>
      <c r="G61" s="87">
        <f t="shared" si="18"/>
        <v>7.4999999999999997E-3</v>
      </c>
      <c r="H61" s="81">
        <f>$C$45*$C$46</f>
        <v>834.4799999999999</v>
      </c>
      <c r="I61" s="89">
        <f t="shared" ref="I61:I62" si="28">G61*H61</f>
        <v>6.2585999999999986</v>
      </c>
      <c r="J61" s="65"/>
      <c r="K61" s="95">
        <f t="shared" si="20"/>
        <v>0</v>
      </c>
      <c r="L61" s="96" t="str">
        <f t="shared" si="16"/>
        <v xml:space="preserve"> 0.00%</v>
      </c>
    </row>
    <row r="62" spans="1:12" x14ac:dyDescent="0.25">
      <c r="A62" s="205" t="s">
        <v>49</v>
      </c>
      <c r="B62" s="197" t="s">
        <v>62</v>
      </c>
      <c r="C62" s="87">
        <v>5.4000000000000003E-3</v>
      </c>
      <c r="D62" s="81">
        <f>$C$45*$C$46</f>
        <v>834.4799999999999</v>
      </c>
      <c r="E62" s="89">
        <f t="shared" si="27"/>
        <v>4.5061919999999995</v>
      </c>
      <c r="F62" s="77"/>
      <c r="G62" s="87">
        <f t="shared" si="18"/>
        <v>5.4000000000000003E-3</v>
      </c>
      <c r="H62" s="81">
        <f>$C$45*$C$46</f>
        <v>834.4799999999999</v>
      </c>
      <c r="I62" s="89">
        <f t="shared" si="28"/>
        <v>4.5061919999999995</v>
      </c>
      <c r="J62" s="65"/>
      <c r="K62" s="95">
        <f t="shared" si="20"/>
        <v>0</v>
      </c>
      <c r="L62" s="96" t="str">
        <f t="shared" si="16"/>
        <v xml:space="preserve"> 0.00%</v>
      </c>
    </row>
    <row r="63" spans="1:12" x14ac:dyDescent="0.25">
      <c r="A63" s="202" t="s">
        <v>50</v>
      </c>
      <c r="B63" s="200"/>
      <c r="C63" s="80"/>
      <c r="D63" s="80"/>
      <c r="E63" s="90">
        <f>SUM(E60:E62)</f>
        <v>46.806579199999987</v>
      </c>
      <c r="F63" s="82"/>
      <c r="G63" s="80">
        <f t="shared" si="18"/>
        <v>0</v>
      </c>
      <c r="H63" s="80"/>
      <c r="I63" s="90">
        <f>SUM(I60:I62)</f>
        <v>46.652779199999991</v>
      </c>
      <c r="J63" s="66"/>
      <c r="K63" s="141">
        <f t="shared" si="20"/>
        <v>-0.15379999999999683</v>
      </c>
      <c r="L63" s="97">
        <f t="shared" si="16"/>
        <v>-3.2858628557926872E-3</v>
      </c>
    </row>
    <row r="64" spans="1:12" x14ac:dyDescent="0.25">
      <c r="A64" s="206" t="s">
        <v>51</v>
      </c>
      <c r="B64" s="197" t="s">
        <v>62</v>
      </c>
      <c r="C64" s="88">
        <v>4.4000000000000003E-3</v>
      </c>
      <c r="D64" s="81">
        <f t="shared" ref="D64:D65" si="29">$C$45*$C$46</f>
        <v>834.4799999999999</v>
      </c>
      <c r="E64" s="67">
        <f t="shared" ref="E64:E68" si="30">C64*D64</f>
        <v>3.6717119999999999</v>
      </c>
      <c r="F64" s="79"/>
      <c r="G64" s="88">
        <f t="shared" si="18"/>
        <v>4.4000000000000003E-3</v>
      </c>
      <c r="H64" s="81">
        <f t="shared" ref="H64:H65" si="31">$C$45*$C$46</f>
        <v>834.4799999999999</v>
      </c>
      <c r="I64" s="67">
        <f t="shared" ref="I64:I68" si="32">G64*H64</f>
        <v>3.6717119999999999</v>
      </c>
      <c r="J64" s="65"/>
      <c r="K64" s="95">
        <f t="shared" si="20"/>
        <v>0</v>
      </c>
      <c r="L64" s="96" t="str">
        <f t="shared" si="16"/>
        <v xml:space="preserve"> 0.00%</v>
      </c>
    </row>
    <row r="65" spans="1:12" x14ac:dyDescent="0.25">
      <c r="A65" s="206" t="s">
        <v>52</v>
      </c>
      <c r="B65" s="197" t="s">
        <v>62</v>
      </c>
      <c r="C65" s="88">
        <v>1.2999999999999999E-3</v>
      </c>
      <c r="D65" s="81">
        <f t="shared" si="29"/>
        <v>834.4799999999999</v>
      </c>
      <c r="E65" s="67">
        <f t="shared" si="30"/>
        <v>1.0848239999999998</v>
      </c>
      <c r="F65" s="79"/>
      <c r="G65" s="88">
        <f t="shared" si="18"/>
        <v>1.2999999999999999E-3</v>
      </c>
      <c r="H65" s="81">
        <f t="shared" si="31"/>
        <v>834.4799999999999</v>
      </c>
      <c r="I65" s="67">
        <f t="shared" si="32"/>
        <v>1.0848239999999998</v>
      </c>
      <c r="J65" s="65"/>
      <c r="K65" s="95">
        <f t="shared" si="20"/>
        <v>0</v>
      </c>
      <c r="L65" s="96" t="str">
        <f t="shared" si="16"/>
        <v xml:space="preserve"> 0.00%</v>
      </c>
    </row>
    <row r="66" spans="1:12" x14ac:dyDescent="0.25">
      <c r="A66" s="196" t="s">
        <v>53</v>
      </c>
      <c r="B66" s="197" t="s">
        <v>61</v>
      </c>
      <c r="C66" s="69">
        <v>0.25</v>
      </c>
      <c r="D66" s="81">
        <v>1</v>
      </c>
      <c r="E66" s="67">
        <f t="shared" si="30"/>
        <v>0.25</v>
      </c>
      <c r="F66" s="79"/>
      <c r="G66" s="69">
        <f t="shared" si="18"/>
        <v>0.25</v>
      </c>
      <c r="H66" s="81">
        <v>1</v>
      </c>
      <c r="I66" s="67">
        <f t="shared" si="32"/>
        <v>0.25</v>
      </c>
      <c r="J66" s="79"/>
      <c r="K66" s="95">
        <f t="shared" si="20"/>
        <v>0</v>
      </c>
      <c r="L66" s="96" t="str">
        <f t="shared" si="16"/>
        <v xml:space="preserve"> 0.00%</v>
      </c>
    </row>
    <row r="67" spans="1:12" x14ac:dyDescent="0.25">
      <c r="A67" s="196" t="s">
        <v>54</v>
      </c>
      <c r="B67" s="197" t="s">
        <v>62</v>
      </c>
      <c r="C67" s="83">
        <v>0.08</v>
      </c>
      <c r="D67" s="81">
        <f>$C$45*0.64</f>
        <v>512</v>
      </c>
      <c r="E67" s="67">
        <f t="shared" si="30"/>
        <v>40.96</v>
      </c>
      <c r="F67" s="79"/>
      <c r="G67" s="83">
        <f t="shared" si="18"/>
        <v>0.08</v>
      </c>
      <c r="H67" s="81">
        <f>$C$45*0.64</f>
        <v>512</v>
      </c>
      <c r="I67" s="67">
        <f t="shared" si="32"/>
        <v>40.96</v>
      </c>
      <c r="J67" s="79"/>
      <c r="K67" s="95">
        <f t="shared" si="20"/>
        <v>0</v>
      </c>
      <c r="L67" s="96" t="str">
        <f t="shared" si="16"/>
        <v xml:space="preserve"> 0.00%</v>
      </c>
    </row>
    <row r="68" spans="1:12" x14ac:dyDescent="0.25">
      <c r="A68" s="196" t="s">
        <v>55</v>
      </c>
      <c r="B68" s="197" t="s">
        <v>62</v>
      </c>
      <c r="C68" s="83">
        <v>0.122</v>
      </c>
      <c r="D68" s="81">
        <f>$C$45*0.18</f>
        <v>144</v>
      </c>
      <c r="E68" s="67">
        <f t="shared" si="30"/>
        <v>17.567999999999998</v>
      </c>
      <c r="F68" s="79"/>
      <c r="G68" s="83">
        <f t="shared" si="18"/>
        <v>0.122</v>
      </c>
      <c r="H68" s="81">
        <f>$C$45*0.18</f>
        <v>144</v>
      </c>
      <c r="I68" s="67">
        <f t="shared" si="32"/>
        <v>17.567999999999998</v>
      </c>
      <c r="J68" s="79"/>
      <c r="K68" s="95">
        <f t="shared" si="20"/>
        <v>0</v>
      </c>
      <c r="L68" s="96" t="str">
        <f t="shared" si="16"/>
        <v xml:space="preserve"> 0.00%</v>
      </c>
    </row>
    <row r="69" spans="1:12" ht="15.75" thickBot="1" x14ac:dyDescent="0.3">
      <c r="A69" s="207" t="s">
        <v>56</v>
      </c>
      <c r="B69" s="208" t="s">
        <v>62</v>
      </c>
      <c r="C69" s="83">
        <v>0.161</v>
      </c>
      <c r="D69" s="81">
        <f>$C$45*0.18</f>
        <v>144</v>
      </c>
      <c r="E69" s="67">
        <f>C69*D69</f>
        <v>23.184000000000001</v>
      </c>
      <c r="F69" s="79"/>
      <c r="G69" s="83">
        <f t="shared" si="18"/>
        <v>0.161</v>
      </c>
      <c r="H69" s="81">
        <f>$C$45*0.18</f>
        <v>144</v>
      </c>
      <c r="I69" s="67">
        <f>G69*H69</f>
        <v>23.184000000000001</v>
      </c>
      <c r="J69" s="79"/>
      <c r="K69" s="95">
        <f t="shared" si="20"/>
        <v>0</v>
      </c>
      <c r="L69" s="96" t="str">
        <f t="shared" si="16"/>
        <v xml:space="preserve"> 0.00%</v>
      </c>
    </row>
    <row r="70" spans="1:12" ht="9" customHeight="1" thickBot="1" x14ac:dyDescent="0.3">
      <c r="A70" s="209"/>
      <c r="B70" s="210"/>
      <c r="C70" s="137"/>
      <c r="D70" s="84"/>
      <c r="E70" s="91"/>
      <c r="F70" s="84"/>
      <c r="G70" s="137"/>
      <c r="H70" s="84"/>
      <c r="I70" s="137"/>
      <c r="J70" s="84"/>
      <c r="K70" s="138"/>
      <c r="L70" s="98"/>
    </row>
    <row r="71" spans="1:12" x14ac:dyDescent="0.25">
      <c r="A71" s="211" t="s">
        <v>57</v>
      </c>
      <c r="B71" s="222"/>
      <c r="C71" s="102"/>
      <c r="D71" s="103"/>
      <c r="E71" s="92">
        <f>SUM(E63:E69)</f>
        <v>133.52511519999999</v>
      </c>
      <c r="F71" s="104"/>
      <c r="G71" s="105"/>
      <c r="H71" s="103"/>
      <c r="I71" s="136">
        <f>SUM(I63:I69)</f>
        <v>133.3713152</v>
      </c>
      <c r="J71" s="85"/>
      <c r="K71" s="140">
        <f t="shared" ref="K71:K75" si="33">I71-E71</f>
        <v>-0.15379999999998972</v>
      </c>
      <c r="L71" s="68">
        <f t="shared" si="16"/>
        <v>-1.1518432301640402E-3</v>
      </c>
    </row>
    <row r="72" spans="1:12" x14ac:dyDescent="0.25">
      <c r="A72" s="213" t="s">
        <v>58</v>
      </c>
      <c r="B72" s="222"/>
      <c r="C72" s="102">
        <v>0.13</v>
      </c>
      <c r="D72" s="106"/>
      <c r="E72" s="93">
        <f>E71*C72</f>
        <v>17.358264975999997</v>
      </c>
      <c r="F72" s="74"/>
      <c r="G72" s="102">
        <v>0.13</v>
      </c>
      <c r="H72" s="106"/>
      <c r="I72" s="100">
        <f>I71*G72</f>
        <v>17.338270976</v>
      </c>
      <c r="J72" s="86"/>
      <c r="K72" s="67">
        <f t="shared" si="33"/>
        <v>-1.9993999999996959E-2</v>
      </c>
      <c r="L72" s="96">
        <f t="shared" si="16"/>
        <v>-1.1518432301639292E-3</v>
      </c>
    </row>
    <row r="73" spans="1:12" hidden="1" x14ac:dyDescent="0.25">
      <c r="A73" s="215" t="s">
        <v>117</v>
      </c>
      <c r="B73" s="222"/>
      <c r="C73" s="74"/>
      <c r="D73" s="106"/>
      <c r="E73" s="93">
        <f>E71+E72</f>
        <v>150.88338017599997</v>
      </c>
      <c r="F73" s="74"/>
      <c r="G73" s="74"/>
      <c r="H73" s="106"/>
      <c r="I73" s="100">
        <f>I71+I72</f>
        <v>150.70958617599999</v>
      </c>
      <c r="J73" s="86"/>
      <c r="K73" s="67">
        <f t="shared" si="33"/>
        <v>-0.17379399999998668</v>
      </c>
      <c r="L73" s="96">
        <f t="shared" ref="L73" si="34">I73/E73-1</f>
        <v>-1.1518432301640402E-3</v>
      </c>
    </row>
    <row r="74" spans="1:12" hidden="1" x14ac:dyDescent="0.25">
      <c r="A74" s="216"/>
      <c r="B74" s="222"/>
      <c r="C74" s="74"/>
      <c r="D74" s="106"/>
      <c r="E74" s="94">
        <v>0</v>
      </c>
      <c r="F74" s="74"/>
      <c r="G74" s="74"/>
      <c r="H74" s="106"/>
      <c r="I74" s="101">
        <v>0</v>
      </c>
      <c r="J74" s="86"/>
      <c r="K74" s="67">
        <f t="shared" si="33"/>
        <v>0</v>
      </c>
      <c r="L74" s="101">
        <v>0</v>
      </c>
    </row>
    <row r="75" spans="1:12" ht="15.75" thickBot="1" x14ac:dyDescent="0.3">
      <c r="A75" s="217" t="s">
        <v>96</v>
      </c>
      <c r="B75" s="218"/>
      <c r="C75" s="142"/>
      <c r="D75" s="143"/>
      <c r="E75" s="144">
        <f>E73+E74</f>
        <v>150.88338017599997</v>
      </c>
      <c r="F75" s="145"/>
      <c r="G75" s="145"/>
      <c r="H75" s="145"/>
      <c r="I75" s="149">
        <f>I73+I74</f>
        <v>150.70958617599999</v>
      </c>
      <c r="J75" s="146"/>
      <c r="K75" s="147">
        <f t="shared" si="33"/>
        <v>-0.17379399999998668</v>
      </c>
      <c r="L75" s="148">
        <f t="shared" ref="L75" si="35">IF(I75-E75=0, " 0.00%", I75/E75-1)</f>
        <v>-1.1518432301640402E-3</v>
      </c>
    </row>
    <row r="76" spans="1:12" ht="9" customHeight="1" thickBot="1" x14ac:dyDescent="0.3">
      <c r="A76" s="209"/>
      <c r="B76" s="210"/>
      <c r="C76" s="137"/>
      <c r="D76" s="84"/>
      <c r="E76" s="91"/>
      <c r="F76" s="84"/>
      <c r="G76" s="137"/>
      <c r="H76" s="84"/>
      <c r="I76" s="137"/>
      <c r="J76" s="84"/>
      <c r="K76" s="138"/>
      <c r="L76" s="98"/>
    </row>
    <row r="78" spans="1:12" ht="14.25" customHeight="1" x14ac:dyDescent="0.25"/>
    <row r="79" spans="1:12" x14ac:dyDescent="0.25">
      <c r="A79" s="229" t="s">
        <v>97</v>
      </c>
      <c r="B79" s="230"/>
      <c r="C79" s="231"/>
    </row>
    <row r="80" spans="1:12" hidden="1" x14ac:dyDescent="0.25">
      <c r="A80" s="233"/>
      <c r="B80" s="234"/>
      <c r="C80" s="235"/>
    </row>
    <row r="81" spans="1:12" x14ac:dyDescent="0.25">
      <c r="A81" s="233" t="s">
        <v>66</v>
      </c>
      <c r="B81" s="234"/>
      <c r="C81" s="236">
        <v>1500</v>
      </c>
    </row>
    <row r="82" spans="1:12" x14ac:dyDescent="0.25">
      <c r="A82" s="237" t="s">
        <v>65</v>
      </c>
      <c r="B82" s="238"/>
      <c r="C82" s="239">
        <v>1.0430999999999999</v>
      </c>
    </row>
    <row r="84" spans="1:12" x14ac:dyDescent="0.25">
      <c r="A84" s="187"/>
      <c r="B84" s="188"/>
      <c r="C84" s="258" t="s">
        <v>37</v>
      </c>
      <c r="D84" s="259"/>
      <c r="E84" s="260"/>
      <c r="F84" s="187"/>
      <c r="G84" s="258" t="s">
        <v>59</v>
      </c>
      <c r="H84" s="259"/>
      <c r="I84" s="260"/>
      <c r="J84" s="187"/>
      <c r="K84" s="258" t="s">
        <v>39</v>
      </c>
      <c r="L84" s="260"/>
    </row>
    <row r="85" spans="1:12" ht="30" x14ac:dyDescent="0.25">
      <c r="A85" s="187"/>
      <c r="B85" s="189"/>
      <c r="C85" s="190" t="s">
        <v>108</v>
      </c>
      <c r="D85" s="190" t="s">
        <v>35</v>
      </c>
      <c r="E85" s="191" t="s">
        <v>109</v>
      </c>
      <c r="F85" s="187"/>
      <c r="G85" s="190" t="s">
        <v>108</v>
      </c>
      <c r="H85" s="190" t="s">
        <v>35</v>
      </c>
      <c r="I85" s="191" t="s">
        <v>109</v>
      </c>
      <c r="J85" s="187"/>
      <c r="K85" s="192" t="s">
        <v>40</v>
      </c>
      <c r="L85" s="193" t="s">
        <v>41</v>
      </c>
    </row>
    <row r="86" spans="1:12" x14ac:dyDescent="0.25">
      <c r="A86" s="194" t="s">
        <v>36</v>
      </c>
      <c r="B86" s="195" t="s">
        <v>61</v>
      </c>
      <c r="C86" s="67">
        <v>12.98</v>
      </c>
      <c r="D86" s="109">
        <v>1</v>
      </c>
      <c r="E86" s="67">
        <f>C86*D86</f>
        <v>12.98</v>
      </c>
      <c r="F86" s="75"/>
      <c r="G86" s="67">
        <f>G50</f>
        <v>16.38</v>
      </c>
      <c r="H86" s="109">
        <v>1</v>
      </c>
      <c r="I86" s="67">
        <f>G86*H86</f>
        <v>16.38</v>
      </c>
      <c r="J86" s="75"/>
      <c r="K86" s="67">
        <f>I86-E86</f>
        <v>3.3999999999999986</v>
      </c>
      <c r="L86" s="96">
        <f t="shared" ref="L86:L108" si="36">IF(I86-E86=0, " 0.00%", I86/E86-1)</f>
        <v>0.2619414483821263</v>
      </c>
    </row>
    <row r="87" spans="1:12" x14ac:dyDescent="0.25">
      <c r="A87" s="196" t="s">
        <v>60</v>
      </c>
      <c r="B87" s="197" t="s">
        <v>61</v>
      </c>
      <c r="C87" s="67">
        <v>-0.13</v>
      </c>
      <c r="D87" s="109">
        <v>1</v>
      </c>
      <c r="E87" s="67">
        <f t="shared" ref="E87:E91" si="37">C87*D87</f>
        <v>-0.13</v>
      </c>
      <c r="F87" s="75"/>
      <c r="G87" s="67">
        <f t="shared" ref="G87:G105" si="38">G51</f>
        <v>-0.1638</v>
      </c>
      <c r="H87" s="109">
        <v>1</v>
      </c>
      <c r="I87" s="67">
        <f t="shared" ref="I87:I91" si="39">G87*H87</f>
        <v>-0.1638</v>
      </c>
      <c r="J87" s="86"/>
      <c r="K87" s="67">
        <f t="shared" ref="K87:K105" si="40">I87-E87</f>
        <v>-3.3799999999999997E-2</v>
      </c>
      <c r="L87" s="96">
        <f t="shared" si="36"/>
        <v>0.26</v>
      </c>
    </row>
    <row r="88" spans="1:12" x14ac:dyDescent="0.25">
      <c r="A88" s="196" t="s">
        <v>63</v>
      </c>
      <c r="B88" s="197" t="s">
        <v>61</v>
      </c>
      <c r="C88" s="67">
        <v>0.64</v>
      </c>
      <c r="D88" s="109">
        <v>1</v>
      </c>
      <c r="E88" s="67">
        <f t="shared" si="37"/>
        <v>0.64</v>
      </c>
      <c r="F88" s="75"/>
      <c r="G88" s="67">
        <f t="shared" si="38"/>
        <v>0.64</v>
      </c>
      <c r="H88" s="109">
        <v>1</v>
      </c>
      <c r="I88" s="67">
        <f t="shared" si="39"/>
        <v>0.64</v>
      </c>
      <c r="J88" s="86"/>
      <c r="K88" s="67">
        <f t="shared" si="40"/>
        <v>0</v>
      </c>
      <c r="L88" s="96" t="str">
        <f t="shared" si="36"/>
        <v xml:space="preserve"> 0.00%</v>
      </c>
    </row>
    <row r="89" spans="1:12" x14ac:dyDescent="0.25">
      <c r="A89" s="196" t="s">
        <v>42</v>
      </c>
      <c r="B89" s="197" t="s">
        <v>62</v>
      </c>
      <c r="C89" s="70">
        <f>C53</f>
        <v>2.2200000000000001E-2</v>
      </c>
      <c r="D89" s="76">
        <f>$C$81</f>
        <v>1500</v>
      </c>
      <c r="E89" s="67">
        <f t="shared" si="37"/>
        <v>33.300000000000004</v>
      </c>
      <c r="F89" s="75"/>
      <c r="G89" s="70">
        <f>G53</f>
        <v>1.78E-2</v>
      </c>
      <c r="H89" s="76">
        <f>$C$81</f>
        <v>1500</v>
      </c>
      <c r="I89" s="67">
        <f t="shared" si="39"/>
        <v>26.7</v>
      </c>
      <c r="J89" s="86"/>
      <c r="K89" s="67">
        <f t="shared" si="40"/>
        <v>-6.600000000000005</v>
      </c>
      <c r="L89" s="96">
        <f t="shared" si="36"/>
        <v>-0.19819819819819828</v>
      </c>
    </row>
    <row r="90" spans="1:12" x14ac:dyDescent="0.25">
      <c r="A90" s="196" t="s">
        <v>60</v>
      </c>
      <c r="B90" s="197" t="s">
        <v>62</v>
      </c>
      <c r="C90" s="70">
        <f>C54</f>
        <v>-2.0000000000000001E-4</v>
      </c>
      <c r="D90" s="76">
        <f>$C$81</f>
        <v>1500</v>
      </c>
      <c r="E90" s="67">
        <f t="shared" si="37"/>
        <v>-0.3</v>
      </c>
      <c r="F90" s="75"/>
      <c r="G90" s="70">
        <f>G54</f>
        <v>-2.0000000000000001E-4</v>
      </c>
      <c r="H90" s="76">
        <f>$C$81</f>
        <v>1500</v>
      </c>
      <c r="I90" s="67">
        <f t="shared" si="39"/>
        <v>-0.3</v>
      </c>
      <c r="J90" s="86"/>
      <c r="K90" s="67">
        <f t="shared" si="40"/>
        <v>0</v>
      </c>
      <c r="L90" s="96" t="str">
        <f t="shared" si="36"/>
        <v xml:space="preserve"> 0.00%</v>
      </c>
    </row>
    <row r="91" spans="1:12" x14ac:dyDescent="0.25">
      <c r="A91" s="198" t="s">
        <v>64</v>
      </c>
      <c r="B91" s="197" t="s">
        <v>62</v>
      </c>
      <c r="C91" s="70">
        <v>8.0000000000000004E-4</v>
      </c>
      <c r="D91" s="76">
        <f>$C$81</f>
        <v>1500</v>
      </c>
      <c r="E91" s="67">
        <f t="shared" si="37"/>
        <v>1.2</v>
      </c>
      <c r="F91" s="75"/>
      <c r="G91" s="70">
        <f t="shared" si="38"/>
        <v>8.0000000000000004E-4</v>
      </c>
      <c r="H91" s="76">
        <f>$C$81</f>
        <v>1500</v>
      </c>
      <c r="I91" s="67">
        <f t="shared" si="39"/>
        <v>1.2</v>
      </c>
      <c r="J91" s="86"/>
      <c r="K91" s="67">
        <f t="shared" si="40"/>
        <v>0</v>
      </c>
      <c r="L91" s="96" t="str">
        <f t="shared" si="36"/>
        <v xml:space="preserve"> 0.00%</v>
      </c>
    </row>
    <row r="92" spans="1:12" x14ac:dyDescent="0.25">
      <c r="A92" s="199" t="s">
        <v>43</v>
      </c>
      <c r="B92" s="200"/>
      <c r="C92" s="64"/>
      <c r="D92" s="80"/>
      <c r="E92" s="63">
        <f>SUM(E86:E91)</f>
        <v>47.690000000000012</v>
      </c>
      <c r="F92" s="77"/>
      <c r="G92" s="64"/>
      <c r="H92" s="80"/>
      <c r="I92" s="63">
        <f>SUM(I86:I91)</f>
        <v>44.45620000000001</v>
      </c>
      <c r="J92" s="65"/>
      <c r="K92" s="141">
        <f t="shared" si="40"/>
        <v>-3.2338000000000022</v>
      </c>
      <c r="L92" s="97">
        <f t="shared" si="36"/>
        <v>-6.7808764940239019E-2</v>
      </c>
    </row>
    <row r="93" spans="1:12" x14ac:dyDescent="0.25">
      <c r="A93" s="201" t="s">
        <v>44</v>
      </c>
      <c r="B93" s="197" t="s">
        <v>62</v>
      </c>
      <c r="C93" s="87">
        <f>C103*0.64+C104*0.18+C105*0.18</f>
        <v>0.10214000000000001</v>
      </c>
      <c r="D93" s="78">
        <f>($C$81*$C$46)-$C$81</f>
        <v>64.649999999999864</v>
      </c>
      <c r="E93" s="89">
        <f t="shared" ref="E93" si="41">C93*D93</f>
        <v>6.6033509999999866</v>
      </c>
      <c r="F93" s="77"/>
      <c r="G93" s="87">
        <f t="shared" si="38"/>
        <v>0.10214000000000001</v>
      </c>
      <c r="H93" s="78">
        <f>($C$81*$C$46)-$C$81</f>
        <v>64.649999999999864</v>
      </c>
      <c r="I93" s="89">
        <f t="shared" ref="I93" si="42">G93*H93</f>
        <v>6.6033509999999866</v>
      </c>
      <c r="J93" s="65"/>
      <c r="K93" s="67">
        <f t="shared" si="40"/>
        <v>0</v>
      </c>
      <c r="L93" s="96" t="str">
        <f t="shared" si="36"/>
        <v xml:space="preserve"> 0.00%</v>
      </c>
    </row>
    <row r="94" spans="1:12" hidden="1" x14ac:dyDescent="0.25">
      <c r="A94" s="201" t="s">
        <v>45</v>
      </c>
      <c r="B94" s="197" t="s">
        <v>62</v>
      </c>
      <c r="C94" s="108">
        <v>0</v>
      </c>
      <c r="D94" s="78">
        <v>0</v>
      </c>
      <c r="E94" s="89">
        <v>0</v>
      </c>
      <c r="F94" s="77"/>
      <c r="G94" s="108">
        <f t="shared" si="38"/>
        <v>0</v>
      </c>
      <c r="H94" s="78">
        <v>0</v>
      </c>
      <c r="I94" s="89">
        <v>0</v>
      </c>
      <c r="J94" s="65"/>
      <c r="K94" s="67">
        <f t="shared" si="40"/>
        <v>0</v>
      </c>
      <c r="L94" s="96" t="str">
        <f t="shared" si="36"/>
        <v xml:space="preserve"> 0.00%</v>
      </c>
    </row>
    <row r="95" spans="1:12" x14ac:dyDescent="0.25">
      <c r="A95" s="196" t="s">
        <v>46</v>
      </c>
      <c r="B95" s="197" t="s">
        <v>61</v>
      </c>
      <c r="C95" s="107">
        <v>0.79</v>
      </c>
      <c r="D95" s="78">
        <v>1</v>
      </c>
      <c r="E95" s="89">
        <f t="shared" ref="E95" si="43">C95*D95</f>
        <v>0.79</v>
      </c>
      <c r="F95" s="77"/>
      <c r="G95" s="107">
        <f t="shared" si="38"/>
        <v>0.79</v>
      </c>
      <c r="H95" s="78">
        <v>1</v>
      </c>
      <c r="I95" s="89">
        <f t="shared" ref="I95" si="44">G95*H95</f>
        <v>0.79</v>
      </c>
      <c r="J95" s="65"/>
      <c r="K95" s="67">
        <f t="shared" si="40"/>
        <v>0</v>
      </c>
      <c r="L95" s="96" t="str">
        <f t="shared" si="36"/>
        <v xml:space="preserve"> 0.00%</v>
      </c>
    </row>
    <row r="96" spans="1:12" x14ac:dyDescent="0.25">
      <c r="A96" s="202" t="s">
        <v>47</v>
      </c>
      <c r="B96" s="203"/>
      <c r="C96" s="80"/>
      <c r="D96" s="80"/>
      <c r="E96" s="90">
        <f>SUM(E92:E95)</f>
        <v>55.083351</v>
      </c>
      <c r="F96" s="77"/>
      <c r="G96" s="80"/>
      <c r="H96" s="80"/>
      <c r="I96" s="90">
        <f>SUM(I92:I95)</f>
        <v>51.849550999999998</v>
      </c>
      <c r="J96" s="65"/>
      <c r="K96" s="141">
        <f t="shared" si="40"/>
        <v>-3.2338000000000022</v>
      </c>
      <c r="L96" s="97">
        <f t="shared" si="36"/>
        <v>-5.870739418159221E-2</v>
      </c>
    </row>
    <row r="97" spans="1:12" x14ac:dyDescent="0.25">
      <c r="A97" s="204" t="s">
        <v>48</v>
      </c>
      <c r="B97" s="197" t="s">
        <v>62</v>
      </c>
      <c r="C97" s="87">
        <v>7.4999999999999997E-3</v>
      </c>
      <c r="D97" s="81">
        <f>$C$81*$C$46</f>
        <v>1564.6499999999999</v>
      </c>
      <c r="E97" s="89">
        <f t="shared" ref="E97:E98" si="45">C97*D97</f>
        <v>11.734874999999999</v>
      </c>
      <c r="F97" s="77"/>
      <c r="G97" s="87">
        <f t="shared" si="38"/>
        <v>7.4999999999999997E-3</v>
      </c>
      <c r="H97" s="81">
        <f>$C$81*$C$46</f>
        <v>1564.6499999999999</v>
      </c>
      <c r="I97" s="89">
        <f t="shared" ref="I97:I98" si="46">G97*H97</f>
        <v>11.734874999999999</v>
      </c>
      <c r="J97" s="65"/>
      <c r="K97" s="95">
        <f t="shared" si="40"/>
        <v>0</v>
      </c>
      <c r="L97" s="96" t="str">
        <f t="shared" si="36"/>
        <v xml:space="preserve"> 0.00%</v>
      </c>
    </row>
    <row r="98" spans="1:12" x14ac:dyDescent="0.25">
      <c r="A98" s="205" t="s">
        <v>49</v>
      </c>
      <c r="B98" s="197" t="s">
        <v>62</v>
      </c>
      <c r="C98" s="87">
        <v>5.4000000000000003E-3</v>
      </c>
      <c r="D98" s="81">
        <f>$C$81*$C$46</f>
        <v>1564.6499999999999</v>
      </c>
      <c r="E98" s="89">
        <f t="shared" si="45"/>
        <v>8.4491099999999992</v>
      </c>
      <c r="F98" s="77"/>
      <c r="G98" s="87">
        <f t="shared" si="38"/>
        <v>5.4000000000000003E-3</v>
      </c>
      <c r="H98" s="81">
        <f>$C$81*$C$46</f>
        <v>1564.6499999999999</v>
      </c>
      <c r="I98" s="89">
        <f t="shared" si="46"/>
        <v>8.4491099999999992</v>
      </c>
      <c r="J98" s="65"/>
      <c r="K98" s="95">
        <f t="shared" si="40"/>
        <v>0</v>
      </c>
      <c r="L98" s="96" t="str">
        <f t="shared" si="36"/>
        <v xml:space="preserve"> 0.00%</v>
      </c>
    </row>
    <row r="99" spans="1:12" x14ac:dyDescent="0.25">
      <c r="A99" s="202" t="s">
        <v>50</v>
      </c>
      <c r="B99" s="200"/>
      <c r="C99" s="80"/>
      <c r="D99" s="80"/>
      <c r="E99" s="90">
        <f>SUM(E96:E98)</f>
        <v>75.267336</v>
      </c>
      <c r="F99" s="82"/>
      <c r="G99" s="80"/>
      <c r="H99" s="80"/>
      <c r="I99" s="90">
        <f>SUM(I96:I98)</f>
        <v>72.033535999999998</v>
      </c>
      <c r="J99" s="66"/>
      <c r="K99" s="141">
        <f t="shared" si="40"/>
        <v>-3.2338000000000022</v>
      </c>
      <c r="L99" s="97">
        <f t="shared" si="36"/>
        <v>-4.296418834326754E-2</v>
      </c>
    </row>
    <row r="100" spans="1:12" x14ac:dyDescent="0.25">
      <c r="A100" s="206" t="s">
        <v>51</v>
      </c>
      <c r="B100" s="197" t="s">
        <v>62</v>
      </c>
      <c r="C100" s="88">
        <v>4.4000000000000003E-3</v>
      </c>
      <c r="D100" s="81">
        <f>$C$81*$C$46</f>
        <v>1564.6499999999999</v>
      </c>
      <c r="E100" s="67">
        <f t="shared" ref="E100:E104" si="47">C100*D100</f>
        <v>6.8844599999999998</v>
      </c>
      <c r="F100" s="79"/>
      <c r="G100" s="88">
        <f t="shared" si="38"/>
        <v>4.4000000000000003E-3</v>
      </c>
      <c r="H100" s="81">
        <f>$C$81*$C$46</f>
        <v>1564.6499999999999</v>
      </c>
      <c r="I100" s="67">
        <f t="shared" ref="I100:I104" si="48">G100*H100</f>
        <v>6.8844599999999998</v>
      </c>
      <c r="J100" s="65"/>
      <c r="K100" s="95">
        <f t="shared" si="40"/>
        <v>0</v>
      </c>
      <c r="L100" s="96" t="str">
        <f t="shared" si="36"/>
        <v xml:space="preserve"> 0.00%</v>
      </c>
    </row>
    <row r="101" spans="1:12" x14ac:dyDescent="0.25">
      <c r="A101" s="206" t="s">
        <v>52</v>
      </c>
      <c r="B101" s="197" t="s">
        <v>62</v>
      </c>
      <c r="C101" s="88">
        <v>1.2999999999999999E-3</v>
      </c>
      <c r="D101" s="81">
        <f>$C$81*$C$46</f>
        <v>1564.6499999999999</v>
      </c>
      <c r="E101" s="67">
        <f t="shared" si="47"/>
        <v>2.0340449999999999</v>
      </c>
      <c r="F101" s="79"/>
      <c r="G101" s="88">
        <f t="shared" si="38"/>
        <v>1.2999999999999999E-3</v>
      </c>
      <c r="H101" s="81">
        <f>$C$81*$C$46</f>
        <v>1564.6499999999999</v>
      </c>
      <c r="I101" s="67">
        <f t="shared" si="48"/>
        <v>2.0340449999999999</v>
      </c>
      <c r="J101" s="65"/>
      <c r="K101" s="95">
        <f t="shared" si="40"/>
        <v>0</v>
      </c>
      <c r="L101" s="96" t="str">
        <f t="shared" si="36"/>
        <v xml:space="preserve"> 0.00%</v>
      </c>
    </row>
    <row r="102" spans="1:12" x14ac:dyDescent="0.25">
      <c r="A102" s="196" t="s">
        <v>53</v>
      </c>
      <c r="B102" s="197" t="s">
        <v>61</v>
      </c>
      <c r="C102" s="69">
        <v>0.25</v>
      </c>
      <c r="D102" s="81">
        <v>1</v>
      </c>
      <c r="E102" s="67">
        <f t="shared" si="47"/>
        <v>0.25</v>
      </c>
      <c r="F102" s="79"/>
      <c r="G102" s="69">
        <f t="shared" si="38"/>
        <v>0.25</v>
      </c>
      <c r="H102" s="81">
        <v>1</v>
      </c>
      <c r="I102" s="67">
        <f t="shared" si="48"/>
        <v>0.25</v>
      </c>
      <c r="J102" s="79"/>
      <c r="K102" s="95">
        <f t="shared" si="40"/>
        <v>0</v>
      </c>
      <c r="L102" s="96" t="str">
        <f t="shared" si="36"/>
        <v xml:space="preserve"> 0.00%</v>
      </c>
    </row>
    <row r="103" spans="1:12" x14ac:dyDescent="0.25">
      <c r="A103" s="196" t="s">
        <v>54</v>
      </c>
      <c r="B103" s="197" t="s">
        <v>62</v>
      </c>
      <c r="C103" s="83">
        <v>0.08</v>
      </c>
      <c r="D103" s="81">
        <f>$C$81*0.64</f>
        <v>960</v>
      </c>
      <c r="E103" s="67">
        <f t="shared" si="47"/>
        <v>76.8</v>
      </c>
      <c r="F103" s="79"/>
      <c r="G103" s="83">
        <f t="shared" si="38"/>
        <v>0.08</v>
      </c>
      <c r="H103" s="81">
        <f>$C$81*0.64</f>
        <v>960</v>
      </c>
      <c r="I103" s="67">
        <f t="shared" si="48"/>
        <v>76.8</v>
      </c>
      <c r="J103" s="79"/>
      <c r="K103" s="95">
        <f t="shared" si="40"/>
        <v>0</v>
      </c>
      <c r="L103" s="96" t="str">
        <f t="shared" si="36"/>
        <v xml:space="preserve"> 0.00%</v>
      </c>
    </row>
    <row r="104" spans="1:12" x14ac:dyDescent="0.25">
      <c r="A104" s="196" t="s">
        <v>55</v>
      </c>
      <c r="B104" s="197" t="s">
        <v>62</v>
      </c>
      <c r="C104" s="83">
        <v>0.122</v>
      </c>
      <c r="D104" s="81">
        <f>$C$81*0.18</f>
        <v>270</v>
      </c>
      <c r="E104" s="67">
        <f t="shared" si="47"/>
        <v>32.94</v>
      </c>
      <c r="F104" s="79"/>
      <c r="G104" s="83">
        <f t="shared" si="38"/>
        <v>0.122</v>
      </c>
      <c r="H104" s="81">
        <f>$C$81*0.18</f>
        <v>270</v>
      </c>
      <c r="I104" s="67">
        <f t="shared" si="48"/>
        <v>32.94</v>
      </c>
      <c r="J104" s="79"/>
      <c r="K104" s="95">
        <f t="shared" si="40"/>
        <v>0</v>
      </c>
      <c r="L104" s="96" t="str">
        <f t="shared" si="36"/>
        <v xml:space="preserve"> 0.00%</v>
      </c>
    </row>
    <row r="105" spans="1:12" ht="15.75" thickBot="1" x14ac:dyDescent="0.3">
      <c r="A105" s="207" t="s">
        <v>56</v>
      </c>
      <c r="B105" s="208" t="s">
        <v>62</v>
      </c>
      <c r="C105" s="83">
        <v>0.161</v>
      </c>
      <c r="D105" s="81">
        <f>$C$81*0.18</f>
        <v>270</v>
      </c>
      <c r="E105" s="67">
        <f>C105*D105</f>
        <v>43.47</v>
      </c>
      <c r="F105" s="79"/>
      <c r="G105" s="83">
        <f t="shared" si="38"/>
        <v>0.161</v>
      </c>
      <c r="H105" s="81">
        <f>$C$81*0.18</f>
        <v>270</v>
      </c>
      <c r="I105" s="67">
        <f>G105*H105</f>
        <v>43.47</v>
      </c>
      <c r="J105" s="79"/>
      <c r="K105" s="95">
        <f t="shared" si="40"/>
        <v>0</v>
      </c>
      <c r="L105" s="96" t="str">
        <f t="shared" si="36"/>
        <v xml:space="preserve"> 0.00%</v>
      </c>
    </row>
    <row r="106" spans="1:12" ht="9" customHeight="1" thickBot="1" x14ac:dyDescent="0.3">
      <c r="A106" s="209"/>
      <c r="B106" s="210"/>
      <c r="C106" s="137"/>
      <c r="D106" s="84"/>
      <c r="E106" s="91"/>
      <c r="F106" s="84"/>
      <c r="G106" s="137"/>
      <c r="H106" s="84"/>
      <c r="I106" s="137"/>
      <c r="J106" s="84"/>
      <c r="K106" s="138"/>
      <c r="L106" s="98"/>
    </row>
    <row r="107" spans="1:12" x14ac:dyDescent="0.25">
      <c r="A107" s="223" t="s">
        <v>57</v>
      </c>
      <c r="B107" s="224"/>
      <c r="C107" s="130"/>
      <c r="D107" s="131"/>
      <c r="E107" s="132">
        <f>SUM(E99:E105)</f>
        <v>237.64584099999999</v>
      </c>
      <c r="F107" s="133"/>
      <c r="G107" s="134"/>
      <c r="H107" s="131"/>
      <c r="I107" s="139">
        <f>SUM(I99:I105)</f>
        <v>234.41204100000002</v>
      </c>
      <c r="J107" s="135"/>
      <c r="K107" s="140">
        <f t="shared" ref="K107:K111" si="49">I107-E107</f>
        <v>-3.2337999999999738</v>
      </c>
      <c r="L107" s="68">
        <f t="shared" si="36"/>
        <v>-1.3607643989864582E-2</v>
      </c>
    </row>
    <row r="108" spans="1:12" x14ac:dyDescent="0.25">
      <c r="A108" s="225" t="s">
        <v>58</v>
      </c>
      <c r="B108" s="226"/>
      <c r="C108" s="102">
        <v>0.13</v>
      </c>
      <c r="D108" s="106"/>
      <c r="E108" s="93">
        <f>E107*C108</f>
        <v>30.893959330000001</v>
      </c>
      <c r="F108" s="74"/>
      <c r="G108" s="102">
        <v>0.13</v>
      </c>
      <c r="H108" s="106"/>
      <c r="I108" s="100">
        <f>I107*G108</f>
        <v>30.473565330000003</v>
      </c>
      <c r="J108" s="86"/>
      <c r="K108" s="67">
        <f t="shared" si="49"/>
        <v>-0.42039399999999816</v>
      </c>
      <c r="L108" s="96">
        <f t="shared" si="36"/>
        <v>-1.3607643989864693E-2</v>
      </c>
    </row>
    <row r="109" spans="1:12" hidden="1" x14ac:dyDescent="0.25">
      <c r="A109" s="227" t="s">
        <v>117</v>
      </c>
      <c r="B109" s="226"/>
      <c r="C109" s="74"/>
      <c r="D109" s="106"/>
      <c r="E109" s="93">
        <f>E107+E108</f>
        <v>268.53980032999999</v>
      </c>
      <c r="F109" s="74"/>
      <c r="G109" s="74"/>
      <c r="H109" s="106"/>
      <c r="I109" s="100">
        <f>I107+I108</f>
        <v>264.88560633000003</v>
      </c>
      <c r="J109" s="86"/>
      <c r="K109" s="67">
        <f t="shared" si="49"/>
        <v>-3.6541939999999613</v>
      </c>
      <c r="L109" s="96">
        <f t="shared" ref="L109" si="50">I109/E109-1</f>
        <v>-1.3607643989864582E-2</v>
      </c>
    </row>
    <row r="110" spans="1:12" ht="14.25" hidden="1" customHeight="1" x14ac:dyDescent="0.25">
      <c r="A110" s="228"/>
      <c r="B110" s="226"/>
      <c r="C110" s="74"/>
      <c r="D110" s="106"/>
      <c r="E110" s="94">
        <v>0</v>
      </c>
      <c r="F110" s="74"/>
      <c r="G110" s="74"/>
      <c r="H110" s="106"/>
      <c r="I110" s="101">
        <v>0</v>
      </c>
      <c r="J110" s="86"/>
      <c r="K110" s="67">
        <f t="shared" si="49"/>
        <v>0</v>
      </c>
      <c r="L110" s="101">
        <v>0</v>
      </c>
    </row>
    <row r="111" spans="1:12" ht="15.75" thickBot="1" x14ac:dyDescent="0.3">
      <c r="A111" s="217" t="s">
        <v>96</v>
      </c>
      <c r="B111" s="218"/>
      <c r="C111" s="142"/>
      <c r="D111" s="143"/>
      <c r="E111" s="144">
        <f>E109+E110</f>
        <v>268.53980032999999</v>
      </c>
      <c r="F111" s="145"/>
      <c r="G111" s="145"/>
      <c r="H111" s="145"/>
      <c r="I111" s="149">
        <f>I109+I110</f>
        <v>264.88560633000003</v>
      </c>
      <c r="J111" s="146"/>
      <c r="K111" s="147">
        <f t="shared" si="49"/>
        <v>-3.6541939999999613</v>
      </c>
      <c r="L111" s="148">
        <f t="shared" ref="L111" si="51">IF(I111-E111=0, " 0.00%", I111/E111-1)</f>
        <v>-1.3607643989864582E-2</v>
      </c>
    </row>
    <row r="112" spans="1:12" ht="9" customHeight="1" thickBot="1" x14ac:dyDescent="0.3">
      <c r="A112" s="209"/>
      <c r="B112" s="210"/>
      <c r="C112" s="137"/>
      <c r="D112" s="84"/>
      <c r="E112" s="91"/>
      <c r="F112" s="84"/>
      <c r="G112" s="137"/>
      <c r="H112" s="84"/>
      <c r="I112" s="137"/>
      <c r="J112" s="84"/>
      <c r="K112" s="138"/>
      <c r="L112" s="98"/>
    </row>
  </sheetData>
  <mergeCells count="9">
    <mergeCell ref="C12:E12"/>
    <mergeCell ref="G12:I12"/>
    <mergeCell ref="K12:L12"/>
    <mergeCell ref="C84:E84"/>
    <mergeCell ref="G84:I84"/>
    <mergeCell ref="K84:L84"/>
    <mergeCell ref="C48:E48"/>
    <mergeCell ref="G48:I48"/>
    <mergeCell ref="K48:L48"/>
  </mergeCells>
  <pageMargins left="0.7" right="0.7" top="0.75" bottom="0.75" header="0.3" footer="0.3"/>
  <pageSetup scale="47" orientation="portrait" r:id="rId1"/>
  <headerFooter>
    <oddHeader>&amp;RFiled: 2016-10-18
EB-2016-0082
Draft Rate Order
Attachment 3
Page &amp;P of &amp;N</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pageSetUpPr fitToPage="1"/>
  </sheetPr>
  <dimension ref="A1:L112"/>
  <sheetViews>
    <sheetView showGridLines="0" tabSelected="1" view="pageLayout" topLeftCell="B1" zoomScaleNormal="90" workbookViewId="0">
      <selection activeCell="L1" sqref="L1"/>
    </sheetView>
  </sheetViews>
  <sheetFormatPr defaultColWidth="9.140625" defaultRowHeight="15" x14ac:dyDescent="0.25"/>
  <cols>
    <col min="1" max="1" width="64.85546875" style="232" bestFit="1" customWidth="1"/>
    <col min="2" max="2" width="9.140625" style="232"/>
    <col min="3" max="3" width="11.7109375" style="232" bestFit="1" customWidth="1"/>
    <col min="4" max="4" width="9.140625" style="186"/>
    <col min="5" max="5" width="11.5703125" style="186" bestFit="1" customWidth="1"/>
    <col min="6" max="6" width="9.140625" style="186"/>
    <col min="7" max="7" width="11.7109375" style="186" bestFit="1" customWidth="1"/>
    <col min="8" max="8" width="9.140625" style="186"/>
    <col min="9" max="9" width="11.5703125" style="186" bestFit="1" customWidth="1"/>
    <col min="10" max="10" width="9.140625" style="186"/>
    <col min="11" max="11" width="9.5703125" style="186" bestFit="1" customWidth="1"/>
    <col min="12" max="12" width="12.140625" style="186" bestFit="1" customWidth="1"/>
    <col min="13" max="16384" width="9.140625" style="186"/>
  </cols>
  <sheetData>
    <row r="1" spans="1:12" s="183" customFormat="1" x14ac:dyDescent="0.25">
      <c r="E1" s="184"/>
      <c r="L1" s="185"/>
    </row>
    <row r="2" spans="1:12" s="183" customFormat="1" x14ac:dyDescent="0.25">
      <c r="E2" s="184"/>
      <c r="L2" s="185"/>
    </row>
    <row r="3" spans="1:12" s="183" customFormat="1" x14ac:dyDescent="0.25">
      <c r="E3" s="184"/>
      <c r="L3" s="185"/>
    </row>
    <row r="4" spans="1:12" s="183" customFormat="1" x14ac:dyDescent="0.25">
      <c r="E4" s="184"/>
      <c r="L4" s="185"/>
    </row>
    <row r="5" spans="1:12" s="183" customFormat="1" x14ac:dyDescent="0.25">
      <c r="E5" s="184"/>
      <c r="L5" s="242"/>
    </row>
    <row r="6" spans="1:12" s="183" customFormat="1" ht="14.25" x14ac:dyDescent="0.2"/>
    <row r="7" spans="1:12" x14ac:dyDescent="0.25">
      <c r="A7" s="229" t="s">
        <v>97</v>
      </c>
      <c r="B7" s="230"/>
      <c r="C7" s="231"/>
    </row>
    <row r="8" spans="1:12" ht="15" hidden="1" customHeight="1" x14ac:dyDescent="0.25">
      <c r="A8" s="233"/>
      <c r="B8" s="234"/>
      <c r="C8" s="235"/>
    </row>
    <row r="9" spans="1:12" x14ac:dyDescent="0.25">
      <c r="A9" s="233" t="s">
        <v>66</v>
      </c>
      <c r="B9" s="234"/>
      <c r="C9" s="240">
        <f>'2016 Bill Impact'!C9</f>
        <v>285</v>
      </c>
    </row>
    <row r="10" spans="1:12" x14ac:dyDescent="0.25">
      <c r="A10" s="237" t="s">
        <v>65</v>
      </c>
      <c r="B10" s="238"/>
      <c r="C10" s="241">
        <f>'2016 Bill Impact'!C10</f>
        <v>1.0430999999999999</v>
      </c>
    </row>
    <row r="12" spans="1:12" x14ac:dyDescent="0.25">
      <c r="A12" s="187"/>
      <c r="B12" s="188"/>
      <c r="C12" s="258" t="s">
        <v>59</v>
      </c>
      <c r="D12" s="259"/>
      <c r="E12" s="260"/>
      <c r="F12" s="187"/>
      <c r="G12" s="258" t="s">
        <v>67</v>
      </c>
      <c r="H12" s="259"/>
      <c r="I12" s="260"/>
      <c r="J12" s="187"/>
      <c r="K12" s="258" t="s">
        <v>39</v>
      </c>
      <c r="L12" s="260"/>
    </row>
    <row r="13" spans="1:12" ht="15" customHeight="1" x14ac:dyDescent="0.25">
      <c r="A13" s="187"/>
      <c r="B13" s="189"/>
      <c r="C13" s="190" t="s">
        <v>108</v>
      </c>
      <c r="D13" s="190" t="s">
        <v>35</v>
      </c>
      <c r="E13" s="191" t="s">
        <v>109</v>
      </c>
      <c r="F13" s="187"/>
      <c r="G13" s="190" t="s">
        <v>108</v>
      </c>
      <c r="H13" s="190" t="s">
        <v>35</v>
      </c>
      <c r="I13" s="191" t="s">
        <v>109</v>
      </c>
      <c r="J13" s="187"/>
      <c r="K13" s="192" t="s">
        <v>40</v>
      </c>
      <c r="L13" s="193" t="s">
        <v>41</v>
      </c>
    </row>
    <row r="14" spans="1:12" x14ac:dyDescent="0.25">
      <c r="A14" s="194" t="s">
        <v>36</v>
      </c>
      <c r="B14" s="195" t="s">
        <v>61</v>
      </c>
      <c r="C14" s="67">
        <f>'2016 Bill Impact'!G14</f>
        <v>16.38</v>
      </c>
      <c r="D14" s="109">
        <v>1</v>
      </c>
      <c r="E14" s="67">
        <f>C14*D14</f>
        <v>16.38</v>
      </c>
      <c r="F14" s="75"/>
      <c r="G14" s="67">
        <f>'App.2-PA_Res_Rate_Design_17'!D43</f>
        <v>19.77</v>
      </c>
      <c r="H14" s="109">
        <v>1</v>
      </c>
      <c r="I14" s="67">
        <f>G14*H14</f>
        <v>19.77</v>
      </c>
      <c r="J14" s="75"/>
      <c r="K14" s="67">
        <f>I14-E14</f>
        <v>3.3900000000000006</v>
      </c>
      <c r="L14" s="96">
        <f t="shared" ref="L14:L36" si="0">IF(I14-E14=0, " 0.00%", I14/E14-1)</f>
        <v>0.20695970695970711</v>
      </c>
    </row>
    <row r="15" spans="1:12" x14ac:dyDescent="0.25">
      <c r="A15" s="196" t="s">
        <v>60</v>
      </c>
      <c r="B15" s="197" t="s">
        <v>61</v>
      </c>
      <c r="C15" s="67">
        <f>'2016 Bill Impact'!G15</f>
        <v>-0.1638</v>
      </c>
      <c r="D15" s="109">
        <v>1</v>
      </c>
      <c r="E15" s="67">
        <f t="shared" ref="E15:E32" si="1">C15*D15</f>
        <v>-0.1638</v>
      </c>
      <c r="F15" s="75"/>
      <c r="G15" s="67">
        <f>-G14*0.01</f>
        <v>-0.19769999999999999</v>
      </c>
      <c r="H15" s="109">
        <v>1</v>
      </c>
      <c r="I15" s="67">
        <f t="shared" ref="I15:I19" si="2">G15*H15</f>
        <v>-0.19769999999999999</v>
      </c>
      <c r="J15" s="86"/>
      <c r="K15" s="67">
        <f t="shared" ref="K15:K33" si="3">I15-E15</f>
        <v>-3.3899999999999986E-2</v>
      </c>
      <c r="L15" s="96">
        <f t="shared" si="0"/>
        <v>0.20695970695970689</v>
      </c>
    </row>
    <row r="16" spans="1:12" x14ac:dyDescent="0.25">
      <c r="A16" s="196" t="s">
        <v>63</v>
      </c>
      <c r="B16" s="197" t="s">
        <v>61</v>
      </c>
      <c r="C16" s="67">
        <f>'2016 Bill Impact'!G16</f>
        <v>0.64</v>
      </c>
      <c r="D16" s="109">
        <v>1</v>
      </c>
      <c r="E16" s="67">
        <f t="shared" si="1"/>
        <v>0.64</v>
      </c>
      <c r="F16" s="75"/>
      <c r="G16" s="67">
        <v>0.64</v>
      </c>
      <c r="H16" s="109">
        <v>1</v>
      </c>
      <c r="I16" s="67">
        <f t="shared" si="2"/>
        <v>0.64</v>
      </c>
      <c r="J16" s="86"/>
      <c r="K16" s="67">
        <f t="shared" si="3"/>
        <v>0</v>
      </c>
      <c r="L16" s="96" t="str">
        <f t="shared" si="0"/>
        <v xml:space="preserve"> 0.00%</v>
      </c>
    </row>
    <row r="17" spans="1:12" x14ac:dyDescent="0.25">
      <c r="A17" s="196" t="s">
        <v>42</v>
      </c>
      <c r="B17" s="197" t="s">
        <v>62</v>
      </c>
      <c r="C17" s="70">
        <f>'2016 Bill Impact'!G17</f>
        <v>1.78E-2</v>
      </c>
      <c r="D17" s="76">
        <f>$C$9</f>
        <v>285</v>
      </c>
      <c r="E17" s="67">
        <f t="shared" si="1"/>
        <v>5.0730000000000004</v>
      </c>
      <c r="F17" s="75"/>
      <c r="G17" s="70">
        <f>'App.2-PA_Res_Rate_Design_17'!D44</f>
        <v>1.3299999999999999E-2</v>
      </c>
      <c r="H17" s="76">
        <f>$C$9</f>
        <v>285</v>
      </c>
      <c r="I17" s="67">
        <f t="shared" si="2"/>
        <v>3.7904999999999998</v>
      </c>
      <c r="J17" s="86"/>
      <c r="K17" s="67">
        <f t="shared" si="3"/>
        <v>-1.2825000000000006</v>
      </c>
      <c r="L17" s="96">
        <f t="shared" si="0"/>
        <v>-0.25280898876404501</v>
      </c>
    </row>
    <row r="18" spans="1:12" x14ac:dyDescent="0.25">
      <c r="A18" s="196" t="s">
        <v>60</v>
      </c>
      <c r="B18" s="197" t="s">
        <v>62</v>
      </c>
      <c r="C18" s="70">
        <f>'2016 Bill Impact'!G18</f>
        <v>-2.0000000000000001E-4</v>
      </c>
      <c r="D18" s="76">
        <f t="shared" ref="D18:D19" si="4">$C$9</f>
        <v>285</v>
      </c>
      <c r="E18" s="67">
        <f t="shared" si="1"/>
        <v>-5.7000000000000002E-2</v>
      </c>
      <c r="F18" s="75"/>
      <c r="G18" s="70">
        <f>ROUND(-G17*0.01,4)</f>
        <v>-1E-4</v>
      </c>
      <c r="H18" s="76">
        <f t="shared" ref="H18:H19" si="5">$C$9</f>
        <v>285</v>
      </c>
      <c r="I18" s="67">
        <f t="shared" si="2"/>
        <v>-2.8500000000000001E-2</v>
      </c>
      <c r="J18" s="86"/>
      <c r="K18" s="67">
        <f t="shared" si="3"/>
        <v>2.8500000000000001E-2</v>
      </c>
      <c r="L18" s="96">
        <f t="shared" si="0"/>
        <v>-0.5</v>
      </c>
    </row>
    <row r="19" spans="1:12" x14ac:dyDescent="0.25">
      <c r="A19" s="198" t="s">
        <v>64</v>
      </c>
      <c r="B19" s="197" t="s">
        <v>62</v>
      </c>
      <c r="C19" s="70">
        <f>'2016 Bill Impact'!G19</f>
        <v>8.0000000000000004E-4</v>
      </c>
      <c r="D19" s="76">
        <f t="shared" si="4"/>
        <v>285</v>
      </c>
      <c r="E19" s="67">
        <f t="shared" si="1"/>
        <v>0.22800000000000001</v>
      </c>
      <c r="F19" s="75"/>
      <c r="G19" s="70">
        <v>8.0000000000000004E-4</v>
      </c>
      <c r="H19" s="76">
        <f t="shared" si="5"/>
        <v>285</v>
      </c>
      <c r="I19" s="67">
        <f t="shared" si="2"/>
        <v>0.22800000000000001</v>
      </c>
      <c r="J19" s="86"/>
      <c r="K19" s="67">
        <f t="shared" si="3"/>
        <v>0</v>
      </c>
      <c r="L19" s="96" t="str">
        <f t="shared" si="0"/>
        <v xml:space="preserve"> 0.00%</v>
      </c>
    </row>
    <row r="20" spans="1:12" x14ac:dyDescent="0.25">
      <c r="A20" s="199" t="s">
        <v>43</v>
      </c>
      <c r="B20" s="200"/>
      <c r="C20" s="64"/>
      <c r="D20" s="80"/>
      <c r="E20" s="63">
        <f>SUM(E14:E19)</f>
        <v>22.100200000000005</v>
      </c>
      <c r="F20" s="77"/>
      <c r="G20" s="64"/>
      <c r="H20" s="80"/>
      <c r="I20" s="63">
        <f>SUM(I14:I19)</f>
        <v>24.202300000000001</v>
      </c>
      <c r="J20" s="65"/>
      <c r="K20" s="141">
        <f t="shared" si="3"/>
        <v>2.1020999999999965</v>
      </c>
      <c r="L20" s="97">
        <f t="shared" si="0"/>
        <v>9.5116786273427234E-2</v>
      </c>
    </row>
    <row r="21" spans="1:12" ht="15.75" customHeight="1" x14ac:dyDescent="0.25">
      <c r="A21" s="201" t="s">
        <v>44</v>
      </c>
      <c r="B21" s="197" t="s">
        <v>62</v>
      </c>
      <c r="C21" s="87">
        <f>'2016 Bill Impact'!G21</f>
        <v>0.10214000000000001</v>
      </c>
      <c r="D21" s="78">
        <f>($C$9*$C$10)-$C$9</f>
        <v>12.283500000000004</v>
      </c>
      <c r="E21" s="89">
        <f t="shared" si="1"/>
        <v>1.2546366900000006</v>
      </c>
      <c r="F21" s="77"/>
      <c r="G21" s="87">
        <f>G31*0.64+G32*0.18+G33*0.18</f>
        <v>0.10214000000000001</v>
      </c>
      <c r="H21" s="78">
        <f>($C$9*$C$10)-$C$9</f>
        <v>12.283500000000004</v>
      </c>
      <c r="I21" s="89">
        <f t="shared" ref="I21" si="6">G21*H21</f>
        <v>1.2546366900000006</v>
      </c>
      <c r="J21" s="65"/>
      <c r="K21" s="67">
        <f t="shared" si="3"/>
        <v>0</v>
      </c>
      <c r="L21" s="96" t="str">
        <f t="shared" si="0"/>
        <v xml:space="preserve"> 0.00%</v>
      </c>
    </row>
    <row r="22" spans="1:12" ht="15" hidden="1" customHeight="1" x14ac:dyDescent="0.25">
      <c r="A22" s="201" t="s">
        <v>45</v>
      </c>
      <c r="B22" s="197" t="s">
        <v>62</v>
      </c>
      <c r="C22" s="108">
        <f>'2016 Bill Impact'!G22</f>
        <v>0</v>
      </c>
      <c r="D22" s="78">
        <v>0</v>
      </c>
      <c r="E22" s="89">
        <v>0</v>
      </c>
      <c r="F22" s="77"/>
      <c r="G22" s="108">
        <v>0</v>
      </c>
      <c r="H22" s="78">
        <v>0</v>
      </c>
      <c r="I22" s="89">
        <v>0</v>
      </c>
      <c r="J22" s="65"/>
      <c r="K22" s="67">
        <f t="shared" si="3"/>
        <v>0</v>
      </c>
      <c r="L22" s="96" t="str">
        <f t="shared" si="0"/>
        <v xml:space="preserve"> 0.00%</v>
      </c>
    </row>
    <row r="23" spans="1:12" x14ac:dyDescent="0.25">
      <c r="A23" s="196" t="s">
        <v>46</v>
      </c>
      <c r="B23" s="197" t="s">
        <v>61</v>
      </c>
      <c r="C23" s="107">
        <f>'2016 Bill Impact'!G23</f>
        <v>0.79</v>
      </c>
      <c r="D23" s="78">
        <v>1</v>
      </c>
      <c r="E23" s="89">
        <f t="shared" si="1"/>
        <v>0.79</v>
      </c>
      <c r="F23" s="77"/>
      <c r="G23" s="107">
        <v>0.79</v>
      </c>
      <c r="H23" s="78">
        <v>1</v>
      </c>
      <c r="I23" s="89">
        <f t="shared" ref="I23" si="7">G23*H23</f>
        <v>0.79</v>
      </c>
      <c r="J23" s="65"/>
      <c r="K23" s="67">
        <f t="shared" si="3"/>
        <v>0</v>
      </c>
      <c r="L23" s="96" t="str">
        <f t="shared" si="0"/>
        <v xml:space="preserve"> 0.00%</v>
      </c>
    </row>
    <row r="24" spans="1:12" x14ac:dyDescent="0.25">
      <c r="A24" s="202" t="s">
        <v>47</v>
      </c>
      <c r="B24" s="203"/>
      <c r="C24" s="80"/>
      <c r="D24" s="80"/>
      <c r="E24" s="90">
        <f>SUM(E20:E23)</f>
        <v>24.144836690000005</v>
      </c>
      <c r="F24" s="77"/>
      <c r="G24" s="80"/>
      <c r="H24" s="80"/>
      <c r="I24" s="90">
        <f>SUM(I20:I23)</f>
        <v>26.246936690000002</v>
      </c>
      <c r="J24" s="65"/>
      <c r="K24" s="141">
        <f t="shared" si="3"/>
        <v>2.1020999999999965</v>
      </c>
      <c r="L24" s="97">
        <f t="shared" si="0"/>
        <v>8.7062092280401071E-2</v>
      </c>
    </row>
    <row r="25" spans="1:12" x14ac:dyDescent="0.25">
      <c r="A25" s="204" t="s">
        <v>48</v>
      </c>
      <c r="B25" s="197" t="s">
        <v>62</v>
      </c>
      <c r="C25" s="87">
        <f>'2016 Bill Impact'!G25</f>
        <v>7.4999999999999997E-3</v>
      </c>
      <c r="D25" s="81">
        <f>$C$9*$C$10</f>
        <v>297.2835</v>
      </c>
      <c r="E25" s="89">
        <f t="shared" si="1"/>
        <v>2.2296262499999999</v>
      </c>
      <c r="F25" s="77"/>
      <c r="G25" s="87">
        <v>7.4999999999999997E-3</v>
      </c>
      <c r="H25" s="81">
        <f>$C$9*$C$10</f>
        <v>297.2835</v>
      </c>
      <c r="I25" s="89">
        <f t="shared" ref="I25:I26" si="8">G25*H25</f>
        <v>2.2296262499999999</v>
      </c>
      <c r="J25" s="65"/>
      <c r="K25" s="95">
        <f t="shared" si="3"/>
        <v>0</v>
      </c>
      <c r="L25" s="96" t="str">
        <f t="shared" si="0"/>
        <v xml:space="preserve"> 0.00%</v>
      </c>
    </row>
    <row r="26" spans="1:12" x14ac:dyDescent="0.25">
      <c r="A26" s="205" t="s">
        <v>49</v>
      </c>
      <c r="B26" s="197" t="s">
        <v>62</v>
      </c>
      <c r="C26" s="87">
        <f>'2016 Bill Impact'!G26</f>
        <v>5.4000000000000003E-3</v>
      </c>
      <c r="D26" s="81">
        <f>$C$9*$C$10</f>
        <v>297.2835</v>
      </c>
      <c r="E26" s="89">
        <f t="shared" si="1"/>
        <v>1.6053309</v>
      </c>
      <c r="F26" s="77"/>
      <c r="G26" s="87">
        <v>5.4000000000000003E-3</v>
      </c>
      <c r="H26" s="81">
        <f>$C$9*$C$10</f>
        <v>297.2835</v>
      </c>
      <c r="I26" s="89">
        <f t="shared" si="8"/>
        <v>1.6053309</v>
      </c>
      <c r="J26" s="65"/>
      <c r="K26" s="95">
        <f t="shared" si="3"/>
        <v>0</v>
      </c>
      <c r="L26" s="96" t="str">
        <f t="shared" si="0"/>
        <v xml:space="preserve"> 0.00%</v>
      </c>
    </row>
    <row r="27" spans="1:12" x14ac:dyDescent="0.25">
      <c r="A27" s="202" t="s">
        <v>50</v>
      </c>
      <c r="B27" s="200"/>
      <c r="C27" s="80"/>
      <c r="D27" s="80"/>
      <c r="E27" s="90">
        <f>SUM(E24:E26)</f>
        <v>27.979793840000003</v>
      </c>
      <c r="F27" s="82"/>
      <c r="G27" s="80"/>
      <c r="H27" s="80"/>
      <c r="I27" s="90">
        <f>SUM(I24:I26)</f>
        <v>30.081893839999999</v>
      </c>
      <c r="J27" s="66"/>
      <c r="K27" s="141">
        <f t="shared" si="3"/>
        <v>2.1020999999999965</v>
      </c>
      <c r="L27" s="97">
        <f t="shared" si="0"/>
        <v>7.512921689204255E-2</v>
      </c>
    </row>
    <row r="28" spans="1:12" x14ac:dyDescent="0.25">
      <c r="A28" s="206" t="s">
        <v>51</v>
      </c>
      <c r="B28" s="197" t="s">
        <v>62</v>
      </c>
      <c r="C28" s="88">
        <f>'2016 Bill Impact'!G28</f>
        <v>4.4000000000000003E-3</v>
      </c>
      <c r="D28" s="81">
        <f>$C$9*$C$10</f>
        <v>297.2835</v>
      </c>
      <c r="E28" s="67">
        <f t="shared" si="1"/>
        <v>1.3080474000000002</v>
      </c>
      <c r="F28" s="79"/>
      <c r="G28" s="88">
        <v>4.4000000000000003E-3</v>
      </c>
      <c r="H28" s="81">
        <f>$C$9*$C$10</f>
        <v>297.2835</v>
      </c>
      <c r="I28" s="67">
        <f t="shared" ref="I28:I32" si="9">G28*H28</f>
        <v>1.3080474000000002</v>
      </c>
      <c r="J28" s="65"/>
      <c r="K28" s="95">
        <f t="shared" si="3"/>
        <v>0</v>
      </c>
      <c r="L28" s="96" t="str">
        <f t="shared" si="0"/>
        <v xml:space="preserve"> 0.00%</v>
      </c>
    </row>
    <row r="29" spans="1:12" x14ac:dyDescent="0.25">
      <c r="A29" s="206" t="s">
        <v>52</v>
      </c>
      <c r="B29" s="197" t="s">
        <v>62</v>
      </c>
      <c r="C29" s="88">
        <f>'2016 Bill Impact'!G29</f>
        <v>1.2999999999999999E-3</v>
      </c>
      <c r="D29" s="81">
        <f>$C$9*$C$10</f>
        <v>297.2835</v>
      </c>
      <c r="E29" s="67">
        <f t="shared" si="1"/>
        <v>0.38646854999999997</v>
      </c>
      <c r="F29" s="79"/>
      <c r="G29" s="88">
        <v>1.2999999999999999E-3</v>
      </c>
      <c r="H29" s="81">
        <f>$C$9*$C$10</f>
        <v>297.2835</v>
      </c>
      <c r="I29" s="67">
        <f t="shared" si="9"/>
        <v>0.38646854999999997</v>
      </c>
      <c r="J29" s="65"/>
      <c r="K29" s="95">
        <f t="shared" si="3"/>
        <v>0</v>
      </c>
      <c r="L29" s="96" t="str">
        <f t="shared" si="0"/>
        <v xml:space="preserve"> 0.00%</v>
      </c>
    </row>
    <row r="30" spans="1:12" x14ac:dyDescent="0.25">
      <c r="A30" s="196" t="s">
        <v>53</v>
      </c>
      <c r="B30" s="197" t="s">
        <v>61</v>
      </c>
      <c r="C30" s="69">
        <f>'2016 Bill Impact'!G30</f>
        <v>0.25</v>
      </c>
      <c r="D30" s="81">
        <v>1</v>
      </c>
      <c r="E30" s="67">
        <f t="shared" si="1"/>
        <v>0.25</v>
      </c>
      <c r="F30" s="79"/>
      <c r="G30" s="69">
        <v>0.25</v>
      </c>
      <c r="H30" s="81">
        <v>1</v>
      </c>
      <c r="I30" s="67">
        <f t="shared" si="9"/>
        <v>0.25</v>
      </c>
      <c r="J30" s="79"/>
      <c r="K30" s="95">
        <f t="shared" si="3"/>
        <v>0</v>
      </c>
      <c r="L30" s="96" t="str">
        <f t="shared" si="0"/>
        <v xml:space="preserve"> 0.00%</v>
      </c>
    </row>
    <row r="31" spans="1:12" x14ac:dyDescent="0.25">
      <c r="A31" s="196" t="s">
        <v>54</v>
      </c>
      <c r="B31" s="197" t="s">
        <v>62</v>
      </c>
      <c r="C31" s="83">
        <f>'2016 Bill Impact'!G31</f>
        <v>0.08</v>
      </c>
      <c r="D31" s="81">
        <f>$C$9*0.64</f>
        <v>182.4</v>
      </c>
      <c r="E31" s="67">
        <f t="shared" si="1"/>
        <v>14.592000000000001</v>
      </c>
      <c r="F31" s="79"/>
      <c r="G31" s="83">
        <v>0.08</v>
      </c>
      <c r="H31" s="81">
        <f>$C$9*0.64</f>
        <v>182.4</v>
      </c>
      <c r="I31" s="67">
        <f t="shared" si="9"/>
        <v>14.592000000000001</v>
      </c>
      <c r="J31" s="79"/>
      <c r="K31" s="95">
        <f t="shared" si="3"/>
        <v>0</v>
      </c>
      <c r="L31" s="96" t="str">
        <f t="shared" si="0"/>
        <v xml:space="preserve"> 0.00%</v>
      </c>
    </row>
    <row r="32" spans="1:12" x14ac:dyDescent="0.25">
      <c r="A32" s="196" t="s">
        <v>55</v>
      </c>
      <c r="B32" s="197" t="s">
        <v>62</v>
      </c>
      <c r="C32" s="83">
        <f>'2016 Bill Impact'!G32</f>
        <v>0.122</v>
      </c>
      <c r="D32" s="81">
        <f>$C$9*0.18</f>
        <v>51.3</v>
      </c>
      <c r="E32" s="67">
        <f t="shared" si="1"/>
        <v>6.2585999999999995</v>
      </c>
      <c r="F32" s="79"/>
      <c r="G32" s="83">
        <v>0.122</v>
      </c>
      <c r="H32" s="81">
        <f>$C$9*0.18</f>
        <v>51.3</v>
      </c>
      <c r="I32" s="67">
        <f t="shared" si="9"/>
        <v>6.2585999999999995</v>
      </c>
      <c r="J32" s="79"/>
      <c r="K32" s="95">
        <f t="shared" si="3"/>
        <v>0</v>
      </c>
      <c r="L32" s="96" t="str">
        <f t="shared" si="0"/>
        <v xml:space="preserve"> 0.00%</v>
      </c>
    </row>
    <row r="33" spans="1:12" ht="15.75" thickBot="1" x14ac:dyDescent="0.3">
      <c r="A33" s="207" t="s">
        <v>56</v>
      </c>
      <c r="B33" s="208" t="s">
        <v>62</v>
      </c>
      <c r="C33" s="83">
        <f>'2016 Bill Impact'!G33</f>
        <v>0.161</v>
      </c>
      <c r="D33" s="81">
        <f>$C$9*0.18</f>
        <v>51.3</v>
      </c>
      <c r="E33" s="67">
        <f>C33*D33</f>
        <v>8.2592999999999996</v>
      </c>
      <c r="F33" s="79"/>
      <c r="G33" s="83">
        <v>0.161</v>
      </c>
      <c r="H33" s="81">
        <f>$C$9*0.18</f>
        <v>51.3</v>
      </c>
      <c r="I33" s="67">
        <f>G33*H33</f>
        <v>8.2592999999999996</v>
      </c>
      <c r="J33" s="79"/>
      <c r="K33" s="95">
        <f t="shared" si="3"/>
        <v>0</v>
      </c>
      <c r="L33" s="96" t="str">
        <f t="shared" si="0"/>
        <v xml:space="preserve"> 0.00%</v>
      </c>
    </row>
    <row r="34" spans="1:12" ht="9" customHeight="1" thickBot="1" x14ac:dyDescent="0.3">
      <c r="A34" s="209"/>
      <c r="B34" s="210"/>
      <c r="C34" s="137"/>
      <c r="D34" s="84"/>
      <c r="E34" s="91"/>
      <c r="F34" s="84"/>
      <c r="G34" s="137"/>
      <c r="H34" s="84"/>
      <c r="I34" s="137"/>
      <c r="J34" s="84"/>
      <c r="K34" s="138"/>
      <c r="L34" s="98"/>
    </row>
    <row r="35" spans="1:12" x14ac:dyDescent="0.25">
      <c r="A35" s="211" t="s">
        <v>57</v>
      </c>
      <c r="B35" s="212"/>
      <c r="C35" s="102"/>
      <c r="D35" s="103"/>
      <c r="E35" s="92">
        <f>SUM(E27:E33)</f>
        <v>59.034209790000006</v>
      </c>
      <c r="F35" s="104"/>
      <c r="G35" s="105"/>
      <c r="H35" s="105"/>
      <c r="I35" s="139">
        <f>SUM(I27:I33)</f>
        <v>61.136309789999999</v>
      </c>
      <c r="J35" s="85"/>
      <c r="K35" s="140">
        <f t="shared" ref="K35:K39" si="10">I35-E35</f>
        <v>2.102099999999993</v>
      </c>
      <c r="L35" s="68">
        <f t="shared" si="0"/>
        <v>3.5608166984494316E-2</v>
      </c>
    </row>
    <row r="36" spans="1:12" x14ac:dyDescent="0.25">
      <c r="A36" s="213" t="s">
        <v>58</v>
      </c>
      <c r="B36" s="214"/>
      <c r="C36" s="102">
        <v>0.13</v>
      </c>
      <c r="D36" s="106"/>
      <c r="E36" s="93">
        <f>E35*C36</f>
        <v>7.674447272700001</v>
      </c>
      <c r="F36" s="74"/>
      <c r="G36" s="102">
        <v>0.13</v>
      </c>
      <c r="H36" s="74"/>
      <c r="I36" s="100">
        <f>I35*G36</f>
        <v>7.9477202726999998</v>
      </c>
      <c r="J36" s="86"/>
      <c r="K36" s="67">
        <f t="shared" si="10"/>
        <v>0.27327299999999877</v>
      </c>
      <c r="L36" s="96">
        <f t="shared" si="0"/>
        <v>3.5608166984494316E-2</v>
      </c>
    </row>
    <row r="37" spans="1:12" hidden="1" x14ac:dyDescent="0.25">
      <c r="A37" s="215" t="s">
        <v>117</v>
      </c>
      <c r="B37" s="214"/>
      <c r="C37" s="74"/>
      <c r="D37" s="106"/>
      <c r="E37" s="93">
        <f>E35+E36</f>
        <v>66.708657062700013</v>
      </c>
      <c r="F37" s="74"/>
      <c r="G37" s="74"/>
      <c r="H37" s="74"/>
      <c r="I37" s="100">
        <f>I35+I36</f>
        <v>69.084030062699995</v>
      </c>
      <c r="J37" s="86"/>
      <c r="K37" s="67">
        <f t="shared" si="10"/>
        <v>2.375372999999982</v>
      </c>
      <c r="L37" s="96">
        <f t="shared" ref="L37" si="11">I37/E37-1</f>
        <v>3.5608166984494316E-2</v>
      </c>
    </row>
    <row r="38" spans="1:12" hidden="1" x14ac:dyDescent="0.25">
      <c r="A38" s="216"/>
      <c r="B38" s="214"/>
      <c r="C38" s="74"/>
      <c r="D38" s="106"/>
      <c r="E38" s="94">
        <v>0</v>
      </c>
      <c r="F38" s="74"/>
      <c r="G38" s="74"/>
      <c r="H38" s="74"/>
      <c r="I38" s="101">
        <v>0</v>
      </c>
      <c r="J38" s="86"/>
      <c r="K38" s="67">
        <f t="shared" si="10"/>
        <v>0</v>
      </c>
      <c r="L38" s="101">
        <v>0</v>
      </c>
    </row>
    <row r="39" spans="1:12" ht="15.75" thickBot="1" x14ac:dyDescent="0.3">
      <c r="A39" s="217" t="s">
        <v>96</v>
      </c>
      <c r="B39" s="218"/>
      <c r="C39" s="142"/>
      <c r="D39" s="143"/>
      <c r="E39" s="144">
        <f>E37+E38</f>
        <v>66.708657062700013</v>
      </c>
      <c r="F39" s="145"/>
      <c r="G39" s="145"/>
      <c r="H39" s="145"/>
      <c r="I39" s="149">
        <f>I37+I38</f>
        <v>69.084030062699995</v>
      </c>
      <c r="J39" s="146"/>
      <c r="K39" s="147">
        <f t="shared" si="10"/>
        <v>2.375372999999982</v>
      </c>
      <c r="L39" s="148">
        <f t="shared" ref="L39" si="12">IF(I39-E39=0, " 0.00%", I39/E39-1)</f>
        <v>3.5608166984494316E-2</v>
      </c>
    </row>
    <row r="40" spans="1:12" ht="9" customHeight="1" thickBot="1" x14ac:dyDescent="0.3">
      <c r="A40" s="209"/>
      <c r="B40" s="210"/>
      <c r="C40" s="137"/>
      <c r="D40" s="84"/>
      <c r="E40" s="91"/>
      <c r="F40" s="84"/>
      <c r="G40" s="137"/>
      <c r="H40" s="84"/>
      <c r="I40" s="137"/>
      <c r="J40" s="84"/>
      <c r="K40" s="138"/>
      <c r="L40" s="98"/>
    </row>
    <row r="43" spans="1:12" x14ac:dyDescent="0.25">
      <c r="A43" s="229" t="s">
        <v>97</v>
      </c>
      <c r="B43" s="230"/>
      <c r="C43" s="231"/>
    </row>
    <row r="44" spans="1:12" hidden="1" x14ac:dyDescent="0.25">
      <c r="A44" s="233"/>
      <c r="B44" s="234"/>
      <c r="C44" s="235"/>
    </row>
    <row r="45" spans="1:12" x14ac:dyDescent="0.25">
      <c r="A45" s="233" t="s">
        <v>66</v>
      </c>
      <c r="B45" s="234"/>
      <c r="C45" s="240">
        <f>'2016 Bill Impact'!C45</f>
        <v>800</v>
      </c>
    </row>
    <row r="46" spans="1:12" x14ac:dyDescent="0.25">
      <c r="A46" s="237" t="s">
        <v>65</v>
      </c>
      <c r="B46" s="238"/>
      <c r="C46" s="241">
        <f>'2016 Bill Impact'!C46</f>
        <v>1.0430999999999999</v>
      </c>
    </row>
    <row r="48" spans="1:12" x14ac:dyDescent="0.25">
      <c r="A48" s="187"/>
      <c r="B48" s="188"/>
      <c r="C48" s="258" t="s">
        <v>59</v>
      </c>
      <c r="D48" s="259"/>
      <c r="E48" s="260"/>
      <c r="F48" s="187"/>
      <c r="G48" s="258" t="s">
        <v>67</v>
      </c>
      <c r="H48" s="259"/>
      <c r="I48" s="260"/>
      <c r="J48" s="187"/>
      <c r="K48" s="258" t="s">
        <v>39</v>
      </c>
      <c r="L48" s="260"/>
    </row>
    <row r="49" spans="1:12" ht="15" customHeight="1" x14ac:dyDescent="0.25">
      <c r="A49" s="187"/>
      <c r="B49" s="189"/>
      <c r="C49" s="190" t="s">
        <v>108</v>
      </c>
      <c r="D49" s="190" t="s">
        <v>35</v>
      </c>
      <c r="E49" s="191" t="s">
        <v>109</v>
      </c>
      <c r="F49" s="187"/>
      <c r="G49" s="190" t="s">
        <v>108</v>
      </c>
      <c r="H49" s="190" t="s">
        <v>35</v>
      </c>
      <c r="I49" s="191" t="s">
        <v>109</v>
      </c>
      <c r="J49" s="187"/>
      <c r="K49" s="192" t="s">
        <v>40</v>
      </c>
      <c r="L49" s="193" t="s">
        <v>41</v>
      </c>
    </row>
    <row r="50" spans="1:12" x14ac:dyDescent="0.25">
      <c r="A50" s="194" t="s">
        <v>36</v>
      </c>
      <c r="B50" s="195" t="s">
        <v>61</v>
      </c>
      <c r="C50" s="67">
        <f>C14</f>
        <v>16.38</v>
      </c>
      <c r="D50" s="109">
        <v>1</v>
      </c>
      <c r="E50" s="67">
        <f>C50*D50</f>
        <v>16.38</v>
      </c>
      <c r="F50" s="75"/>
      <c r="G50" s="67">
        <f t="shared" ref="G50:G55" si="13">G14</f>
        <v>19.77</v>
      </c>
      <c r="H50" s="109">
        <v>1</v>
      </c>
      <c r="I50" s="67">
        <f>G50*H50</f>
        <v>19.77</v>
      </c>
      <c r="J50" s="75"/>
      <c r="K50" s="67">
        <f>I50-E50</f>
        <v>3.3900000000000006</v>
      </c>
      <c r="L50" s="96">
        <f t="shared" ref="L50:L72" si="14">IF(I50-E50=0, " 0.00%", I50/E50-1)</f>
        <v>0.20695970695970711</v>
      </c>
    </row>
    <row r="51" spans="1:12" x14ac:dyDescent="0.25">
      <c r="A51" s="196" t="s">
        <v>60</v>
      </c>
      <c r="B51" s="197" t="s">
        <v>61</v>
      </c>
      <c r="C51" s="67">
        <f t="shared" ref="C51:C69" si="15">C15</f>
        <v>-0.1638</v>
      </c>
      <c r="D51" s="109">
        <v>1</v>
      </c>
      <c r="E51" s="67">
        <f t="shared" ref="E51:E55" si="16">C51*D51</f>
        <v>-0.1638</v>
      </c>
      <c r="F51" s="75"/>
      <c r="G51" s="67">
        <f t="shared" si="13"/>
        <v>-0.19769999999999999</v>
      </c>
      <c r="H51" s="109">
        <v>1</v>
      </c>
      <c r="I51" s="67">
        <f t="shared" ref="I51:I55" si="17">G51*H51</f>
        <v>-0.19769999999999999</v>
      </c>
      <c r="J51" s="86"/>
      <c r="K51" s="67">
        <f t="shared" ref="K51:K69" si="18">I51-E51</f>
        <v>-3.3899999999999986E-2</v>
      </c>
      <c r="L51" s="96">
        <f t="shared" si="14"/>
        <v>0.20695970695970689</v>
      </c>
    </row>
    <row r="52" spans="1:12" x14ac:dyDescent="0.25">
      <c r="A52" s="196" t="s">
        <v>63</v>
      </c>
      <c r="B52" s="197" t="s">
        <v>61</v>
      </c>
      <c r="C52" s="67">
        <f t="shared" si="15"/>
        <v>0.64</v>
      </c>
      <c r="D52" s="109">
        <v>1</v>
      </c>
      <c r="E52" s="67">
        <f t="shared" si="16"/>
        <v>0.64</v>
      </c>
      <c r="F52" s="75"/>
      <c r="G52" s="67">
        <f t="shared" si="13"/>
        <v>0.64</v>
      </c>
      <c r="H52" s="109">
        <v>1</v>
      </c>
      <c r="I52" s="67">
        <f t="shared" si="17"/>
        <v>0.64</v>
      </c>
      <c r="J52" s="86"/>
      <c r="K52" s="67">
        <f t="shared" si="18"/>
        <v>0</v>
      </c>
      <c r="L52" s="96" t="str">
        <f t="shared" si="14"/>
        <v xml:space="preserve"> 0.00%</v>
      </c>
    </row>
    <row r="53" spans="1:12" x14ac:dyDescent="0.25">
      <c r="A53" s="196" t="s">
        <v>42</v>
      </c>
      <c r="B53" s="197" t="s">
        <v>62</v>
      </c>
      <c r="C53" s="70">
        <f t="shared" si="15"/>
        <v>1.78E-2</v>
      </c>
      <c r="D53" s="76">
        <f>$C$45</f>
        <v>800</v>
      </c>
      <c r="E53" s="67">
        <f t="shared" si="16"/>
        <v>14.24</v>
      </c>
      <c r="F53" s="75"/>
      <c r="G53" s="70">
        <f t="shared" si="13"/>
        <v>1.3299999999999999E-2</v>
      </c>
      <c r="H53" s="76">
        <f>$C$45</f>
        <v>800</v>
      </c>
      <c r="I53" s="67">
        <f t="shared" si="17"/>
        <v>10.639999999999999</v>
      </c>
      <c r="J53" s="86"/>
      <c r="K53" s="67">
        <f t="shared" si="18"/>
        <v>-3.6000000000000014</v>
      </c>
      <c r="L53" s="96">
        <f t="shared" si="14"/>
        <v>-0.25280898876404501</v>
      </c>
    </row>
    <row r="54" spans="1:12" x14ac:dyDescent="0.25">
      <c r="A54" s="196" t="s">
        <v>60</v>
      </c>
      <c r="B54" s="197" t="s">
        <v>62</v>
      </c>
      <c r="C54" s="70">
        <f t="shared" si="15"/>
        <v>-2.0000000000000001E-4</v>
      </c>
      <c r="D54" s="76">
        <f t="shared" ref="D54:D55" si="19">$C$45</f>
        <v>800</v>
      </c>
      <c r="E54" s="67">
        <f t="shared" si="16"/>
        <v>-0.16</v>
      </c>
      <c r="F54" s="75"/>
      <c r="G54" s="70">
        <f t="shared" si="13"/>
        <v>-1E-4</v>
      </c>
      <c r="H54" s="76">
        <f t="shared" ref="H54:H55" si="20">$C$45</f>
        <v>800</v>
      </c>
      <c r="I54" s="67">
        <f t="shared" si="17"/>
        <v>-0.08</v>
      </c>
      <c r="J54" s="86"/>
      <c r="K54" s="67">
        <f t="shared" si="18"/>
        <v>0.08</v>
      </c>
      <c r="L54" s="96">
        <f t="shared" si="14"/>
        <v>-0.5</v>
      </c>
    </row>
    <row r="55" spans="1:12" x14ac:dyDescent="0.25">
      <c r="A55" s="198" t="s">
        <v>64</v>
      </c>
      <c r="B55" s="197" t="s">
        <v>62</v>
      </c>
      <c r="C55" s="70">
        <f t="shared" si="15"/>
        <v>8.0000000000000004E-4</v>
      </c>
      <c r="D55" s="76">
        <f t="shared" si="19"/>
        <v>800</v>
      </c>
      <c r="E55" s="67">
        <f t="shared" si="16"/>
        <v>0.64</v>
      </c>
      <c r="F55" s="75"/>
      <c r="G55" s="70">
        <f t="shared" si="13"/>
        <v>8.0000000000000004E-4</v>
      </c>
      <c r="H55" s="76">
        <f t="shared" si="20"/>
        <v>800</v>
      </c>
      <c r="I55" s="67">
        <f t="shared" si="17"/>
        <v>0.64</v>
      </c>
      <c r="J55" s="86"/>
      <c r="K55" s="67">
        <f t="shared" si="18"/>
        <v>0</v>
      </c>
      <c r="L55" s="96" t="str">
        <f t="shared" si="14"/>
        <v xml:space="preserve"> 0.00%</v>
      </c>
    </row>
    <row r="56" spans="1:12" x14ac:dyDescent="0.25">
      <c r="A56" s="199" t="s">
        <v>43</v>
      </c>
      <c r="B56" s="200"/>
      <c r="C56" s="64"/>
      <c r="D56" s="80"/>
      <c r="E56" s="63">
        <f>SUM(E50:E55)</f>
        <v>31.576200000000004</v>
      </c>
      <c r="F56" s="77"/>
      <c r="G56" s="64"/>
      <c r="H56" s="80"/>
      <c r="I56" s="63">
        <f>SUM(I50:I55)</f>
        <v>31.412300000000002</v>
      </c>
      <c r="J56" s="65"/>
      <c r="K56" s="141">
        <f t="shared" si="18"/>
        <v>-0.16390000000000171</v>
      </c>
      <c r="L56" s="97">
        <f t="shared" si="14"/>
        <v>-5.1906182504545262E-3</v>
      </c>
    </row>
    <row r="57" spans="1:12" x14ac:dyDescent="0.25">
      <c r="A57" s="201" t="s">
        <v>44</v>
      </c>
      <c r="B57" s="197" t="s">
        <v>62</v>
      </c>
      <c r="C57" s="87">
        <f t="shared" si="15"/>
        <v>0.10214000000000001</v>
      </c>
      <c r="D57" s="78">
        <f>($C$45*$C$46)-$C$45</f>
        <v>34.479999999999905</v>
      </c>
      <c r="E57" s="89">
        <f t="shared" ref="E57" si="21">C57*D57</f>
        <v>3.5217871999999906</v>
      </c>
      <c r="F57" s="77"/>
      <c r="G57" s="87">
        <f>G21</f>
        <v>0.10214000000000001</v>
      </c>
      <c r="H57" s="78">
        <f>($C$45*$C$46)-$C$45</f>
        <v>34.479999999999905</v>
      </c>
      <c r="I57" s="89">
        <f t="shared" ref="I57" si="22">G57*H57</f>
        <v>3.5217871999999906</v>
      </c>
      <c r="J57" s="65"/>
      <c r="K57" s="67">
        <f t="shared" si="18"/>
        <v>0</v>
      </c>
      <c r="L57" s="96" t="str">
        <f t="shared" si="14"/>
        <v xml:space="preserve"> 0.00%</v>
      </c>
    </row>
    <row r="58" spans="1:12" hidden="1" x14ac:dyDescent="0.25">
      <c r="A58" s="201" t="s">
        <v>45</v>
      </c>
      <c r="B58" s="197" t="s">
        <v>62</v>
      </c>
      <c r="C58" s="108">
        <f t="shared" si="15"/>
        <v>0</v>
      </c>
      <c r="D58" s="78">
        <v>0</v>
      </c>
      <c r="E58" s="89">
        <v>0</v>
      </c>
      <c r="F58" s="77"/>
      <c r="G58" s="108">
        <f>G22</f>
        <v>0</v>
      </c>
      <c r="H58" s="78">
        <v>0</v>
      </c>
      <c r="I58" s="89">
        <v>0</v>
      </c>
      <c r="J58" s="65"/>
      <c r="K58" s="67">
        <f t="shared" si="18"/>
        <v>0</v>
      </c>
      <c r="L58" s="96" t="str">
        <f t="shared" si="14"/>
        <v xml:space="preserve"> 0.00%</v>
      </c>
    </row>
    <row r="59" spans="1:12" x14ac:dyDescent="0.25">
      <c r="A59" s="196" t="s">
        <v>46</v>
      </c>
      <c r="B59" s="197" t="s">
        <v>61</v>
      </c>
      <c r="C59" s="107">
        <f t="shared" si="15"/>
        <v>0.79</v>
      </c>
      <c r="D59" s="78">
        <v>1</v>
      </c>
      <c r="E59" s="89">
        <f t="shared" ref="E59" si="23">C59*D59</f>
        <v>0.79</v>
      </c>
      <c r="F59" s="77"/>
      <c r="G59" s="107">
        <f>G23</f>
        <v>0.79</v>
      </c>
      <c r="H59" s="78">
        <v>1</v>
      </c>
      <c r="I59" s="89">
        <f t="shared" ref="I59" si="24">G59*H59</f>
        <v>0.79</v>
      </c>
      <c r="J59" s="65"/>
      <c r="K59" s="67">
        <f t="shared" si="18"/>
        <v>0</v>
      </c>
      <c r="L59" s="96" t="str">
        <f t="shared" si="14"/>
        <v xml:space="preserve"> 0.00%</v>
      </c>
    </row>
    <row r="60" spans="1:12" x14ac:dyDescent="0.25">
      <c r="A60" s="202" t="s">
        <v>47</v>
      </c>
      <c r="B60" s="203"/>
      <c r="C60" s="80"/>
      <c r="D60" s="80"/>
      <c r="E60" s="90">
        <f>SUM(E56:E59)</f>
        <v>35.887987199999991</v>
      </c>
      <c r="F60" s="77"/>
      <c r="G60" s="80"/>
      <c r="H60" s="80"/>
      <c r="I60" s="90">
        <f>SUM(I56:I59)</f>
        <v>35.724087199999992</v>
      </c>
      <c r="J60" s="65"/>
      <c r="K60" s="141">
        <f t="shared" si="18"/>
        <v>-0.16389999999999816</v>
      </c>
      <c r="L60" s="97">
        <f t="shared" si="14"/>
        <v>-4.5669878081097126E-3</v>
      </c>
    </row>
    <row r="61" spans="1:12" x14ac:dyDescent="0.25">
      <c r="A61" s="204" t="s">
        <v>48</v>
      </c>
      <c r="B61" s="197" t="s">
        <v>62</v>
      </c>
      <c r="C61" s="87">
        <f t="shared" si="15"/>
        <v>7.4999999999999997E-3</v>
      </c>
      <c r="D61" s="81">
        <f>$C$45*$C$46</f>
        <v>834.4799999999999</v>
      </c>
      <c r="E61" s="89">
        <f t="shared" ref="E61:E62" si="25">C61*D61</f>
        <v>6.2585999999999986</v>
      </c>
      <c r="F61" s="77"/>
      <c r="G61" s="87">
        <f>G25</f>
        <v>7.4999999999999997E-3</v>
      </c>
      <c r="H61" s="81">
        <f>$C$45*$C$46</f>
        <v>834.4799999999999</v>
      </c>
      <c r="I61" s="89">
        <f t="shared" ref="I61:I62" si="26">G61*H61</f>
        <v>6.2585999999999986</v>
      </c>
      <c r="J61" s="65"/>
      <c r="K61" s="95">
        <f t="shared" si="18"/>
        <v>0</v>
      </c>
      <c r="L61" s="96" t="str">
        <f t="shared" si="14"/>
        <v xml:space="preserve"> 0.00%</v>
      </c>
    </row>
    <row r="62" spans="1:12" x14ac:dyDescent="0.25">
      <c r="A62" s="205" t="s">
        <v>49</v>
      </c>
      <c r="B62" s="197" t="s">
        <v>62</v>
      </c>
      <c r="C62" s="87">
        <f t="shared" si="15"/>
        <v>5.4000000000000003E-3</v>
      </c>
      <c r="D62" s="81">
        <f>$C$45*$C$46</f>
        <v>834.4799999999999</v>
      </c>
      <c r="E62" s="89">
        <f t="shared" si="25"/>
        <v>4.5061919999999995</v>
      </c>
      <c r="F62" s="77"/>
      <c r="G62" s="87">
        <f>G26</f>
        <v>5.4000000000000003E-3</v>
      </c>
      <c r="H62" s="81">
        <f>$C$45*$C$46</f>
        <v>834.4799999999999</v>
      </c>
      <c r="I62" s="89">
        <f t="shared" si="26"/>
        <v>4.5061919999999995</v>
      </c>
      <c r="J62" s="65"/>
      <c r="K62" s="95">
        <f t="shared" si="18"/>
        <v>0</v>
      </c>
      <c r="L62" s="96" t="str">
        <f t="shared" si="14"/>
        <v xml:space="preserve"> 0.00%</v>
      </c>
    </row>
    <row r="63" spans="1:12" x14ac:dyDescent="0.25">
      <c r="A63" s="202" t="s">
        <v>50</v>
      </c>
      <c r="B63" s="200"/>
      <c r="C63" s="80"/>
      <c r="D63" s="80"/>
      <c r="E63" s="90">
        <f>SUM(E60:E62)</f>
        <v>46.652779199999991</v>
      </c>
      <c r="F63" s="82"/>
      <c r="G63" s="80"/>
      <c r="H63" s="80"/>
      <c r="I63" s="90">
        <f>SUM(I60:I62)</f>
        <v>46.488879199999992</v>
      </c>
      <c r="J63" s="66"/>
      <c r="K63" s="141">
        <f t="shared" si="18"/>
        <v>-0.16389999999999816</v>
      </c>
      <c r="L63" s="97">
        <f t="shared" si="14"/>
        <v>-3.5131883418426657E-3</v>
      </c>
    </row>
    <row r="64" spans="1:12" x14ac:dyDescent="0.25">
      <c r="A64" s="206" t="s">
        <v>51</v>
      </c>
      <c r="B64" s="197" t="s">
        <v>62</v>
      </c>
      <c r="C64" s="88">
        <f t="shared" si="15"/>
        <v>4.4000000000000003E-3</v>
      </c>
      <c r="D64" s="81">
        <f t="shared" ref="D64:D65" si="27">$C$45*$C$46</f>
        <v>834.4799999999999</v>
      </c>
      <c r="E64" s="67">
        <f t="shared" ref="E64:E68" si="28">C64*D64</f>
        <v>3.6717119999999999</v>
      </c>
      <c r="F64" s="79"/>
      <c r="G64" s="88">
        <f t="shared" ref="G64:G69" si="29">G28</f>
        <v>4.4000000000000003E-3</v>
      </c>
      <c r="H64" s="81">
        <f t="shared" ref="H64:H65" si="30">$C$45*$C$46</f>
        <v>834.4799999999999</v>
      </c>
      <c r="I64" s="67">
        <f t="shared" ref="I64:I68" si="31">G64*H64</f>
        <v>3.6717119999999999</v>
      </c>
      <c r="J64" s="65"/>
      <c r="K64" s="95">
        <f t="shared" si="18"/>
        <v>0</v>
      </c>
      <c r="L64" s="96" t="str">
        <f t="shared" si="14"/>
        <v xml:space="preserve"> 0.00%</v>
      </c>
    </row>
    <row r="65" spans="1:12" x14ac:dyDescent="0.25">
      <c r="A65" s="206" t="s">
        <v>52</v>
      </c>
      <c r="B65" s="197" t="s">
        <v>62</v>
      </c>
      <c r="C65" s="88">
        <f t="shared" si="15"/>
        <v>1.2999999999999999E-3</v>
      </c>
      <c r="D65" s="81">
        <f t="shared" si="27"/>
        <v>834.4799999999999</v>
      </c>
      <c r="E65" s="67">
        <f t="shared" si="28"/>
        <v>1.0848239999999998</v>
      </c>
      <c r="F65" s="79"/>
      <c r="G65" s="88">
        <f t="shared" si="29"/>
        <v>1.2999999999999999E-3</v>
      </c>
      <c r="H65" s="81">
        <f t="shared" si="30"/>
        <v>834.4799999999999</v>
      </c>
      <c r="I65" s="67">
        <f t="shared" si="31"/>
        <v>1.0848239999999998</v>
      </c>
      <c r="J65" s="65"/>
      <c r="K65" s="95">
        <f t="shared" si="18"/>
        <v>0</v>
      </c>
      <c r="L65" s="96" t="str">
        <f t="shared" si="14"/>
        <v xml:space="preserve"> 0.00%</v>
      </c>
    </row>
    <row r="66" spans="1:12" x14ac:dyDescent="0.25">
      <c r="A66" s="196" t="s">
        <v>53</v>
      </c>
      <c r="B66" s="197" t="s">
        <v>61</v>
      </c>
      <c r="C66" s="69">
        <f t="shared" si="15"/>
        <v>0.25</v>
      </c>
      <c r="D66" s="81">
        <v>1</v>
      </c>
      <c r="E66" s="67">
        <f t="shared" si="28"/>
        <v>0.25</v>
      </c>
      <c r="F66" s="79"/>
      <c r="G66" s="69">
        <f t="shared" si="29"/>
        <v>0.25</v>
      </c>
      <c r="H66" s="81">
        <v>1</v>
      </c>
      <c r="I66" s="67">
        <f t="shared" si="31"/>
        <v>0.25</v>
      </c>
      <c r="J66" s="79"/>
      <c r="K66" s="95">
        <f t="shared" si="18"/>
        <v>0</v>
      </c>
      <c r="L66" s="96" t="str">
        <f t="shared" si="14"/>
        <v xml:space="preserve"> 0.00%</v>
      </c>
    </row>
    <row r="67" spans="1:12" x14ac:dyDescent="0.25">
      <c r="A67" s="196" t="s">
        <v>54</v>
      </c>
      <c r="B67" s="197" t="s">
        <v>62</v>
      </c>
      <c r="C67" s="83">
        <f t="shared" si="15"/>
        <v>0.08</v>
      </c>
      <c r="D67" s="81">
        <f>$C$45*0.64</f>
        <v>512</v>
      </c>
      <c r="E67" s="67">
        <f t="shared" si="28"/>
        <v>40.96</v>
      </c>
      <c r="F67" s="79"/>
      <c r="G67" s="83">
        <f t="shared" si="29"/>
        <v>0.08</v>
      </c>
      <c r="H67" s="81">
        <f>$C$45*0.64</f>
        <v>512</v>
      </c>
      <c r="I67" s="67">
        <f t="shared" si="31"/>
        <v>40.96</v>
      </c>
      <c r="J67" s="79"/>
      <c r="K67" s="95">
        <f t="shared" si="18"/>
        <v>0</v>
      </c>
      <c r="L67" s="96" t="str">
        <f t="shared" si="14"/>
        <v xml:space="preserve"> 0.00%</v>
      </c>
    </row>
    <row r="68" spans="1:12" x14ac:dyDescent="0.25">
      <c r="A68" s="196" t="s">
        <v>55</v>
      </c>
      <c r="B68" s="197" t="s">
        <v>62</v>
      </c>
      <c r="C68" s="83">
        <f t="shared" si="15"/>
        <v>0.122</v>
      </c>
      <c r="D68" s="81">
        <f>$C$45*0.18</f>
        <v>144</v>
      </c>
      <c r="E68" s="67">
        <f t="shared" si="28"/>
        <v>17.567999999999998</v>
      </c>
      <c r="F68" s="79"/>
      <c r="G68" s="83">
        <f t="shared" si="29"/>
        <v>0.122</v>
      </c>
      <c r="H68" s="81">
        <f>$C$45*0.18</f>
        <v>144</v>
      </c>
      <c r="I68" s="67">
        <f t="shared" si="31"/>
        <v>17.567999999999998</v>
      </c>
      <c r="J68" s="79"/>
      <c r="K68" s="95">
        <f t="shared" si="18"/>
        <v>0</v>
      </c>
      <c r="L68" s="96" t="str">
        <f t="shared" si="14"/>
        <v xml:space="preserve"> 0.00%</v>
      </c>
    </row>
    <row r="69" spans="1:12" ht="15.75" thickBot="1" x14ac:dyDescent="0.3">
      <c r="A69" s="207" t="s">
        <v>56</v>
      </c>
      <c r="B69" s="208" t="s">
        <v>62</v>
      </c>
      <c r="C69" s="83">
        <f t="shared" si="15"/>
        <v>0.161</v>
      </c>
      <c r="D69" s="81">
        <f>$C$45*0.18</f>
        <v>144</v>
      </c>
      <c r="E69" s="67">
        <f>C69*D69</f>
        <v>23.184000000000001</v>
      </c>
      <c r="F69" s="79"/>
      <c r="G69" s="83">
        <f t="shared" si="29"/>
        <v>0.161</v>
      </c>
      <c r="H69" s="81">
        <f>$C$45*0.18</f>
        <v>144</v>
      </c>
      <c r="I69" s="67">
        <f>G69*H69</f>
        <v>23.184000000000001</v>
      </c>
      <c r="J69" s="79"/>
      <c r="K69" s="95">
        <f t="shared" si="18"/>
        <v>0</v>
      </c>
      <c r="L69" s="96" t="str">
        <f t="shared" si="14"/>
        <v xml:space="preserve"> 0.00%</v>
      </c>
    </row>
    <row r="70" spans="1:12" ht="9" customHeight="1" thickBot="1" x14ac:dyDescent="0.3">
      <c r="A70" s="209"/>
      <c r="B70" s="210"/>
      <c r="C70" s="137"/>
      <c r="D70" s="84"/>
      <c r="E70" s="91"/>
      <c r="F70" s="84"/>
      <c r="G70" s="137"/>
      <c r="H70" s="84"/>
      <c r="I70" s="137"/>
      <c r="J70" s="84"/>
      <c r="K70" s="138"/>
      <c r="L70" s="98"/>
    </row>
    <row r="71" spans="1:12" x14ac:dyDescent="0.25">
      <c r="A71" s="211" t="s">
        <v>57</v>
      </c>
      <c r="B71" s="212"/>
      <c r="C71" s="102"/>
      <c r="D71" s="103"/>
      <c r="E71" s="92">
        <f>SUM(E63:E69)</f>
        <v>133.3713152</v>
      </c>
      <c r="F71" s="104"/>
      <c r="G71" s="105"/>
      <c r="H71" s="103"/>
      <c r="I71" s="139">
        <f>SUM(I63:I69)</f>
        <v>133.20741519999999</v>
      </c>
      <c r="J71" s="85"/>
      <c r="K71" s="140">
        <f t="shared" ref="K71:K75" si="32">I71-E71</f>
        <v>-0.16390000000001237</v>
      </c>
      <c r="L71" s="68">
        <f t="shared" si="14"/>
        <v>-1.2288999306502291E-3</v>
      </c>
    </row>
    <row r="72" spans="1:12" x14ac:dyDescent="0.25">
      <c r="A72" s="213" t="s">
        <v>58</v>
      </c>
      <c r="B72" s="214"/>
      <c r="C72" s="102">
        <v>0.13</v>
      </c>
      <c r="D72" s="106"/>
      <c r="E72" s="93">
        <f>E71*C72</f>
        <v>17.338270976</v>
      </c>
      <c r="F72" s="74"/>
      <c r="G72" s="102">
        <v>0.13</v>
      </c>
      <c r="H72" s="106"/>
      <c r="I72" s="100">
        <f>I71*G72</f>
        <v>17.316963976</v>
      </c>
      <c r="J72" s="86"/>
      <c r="K72" s="67">
        <f t="shared" si="32"/>
        <v>-2.1307000000000187E-2</v>
      </c>
      <c r="L72" s="96">
        <f t="shared" si="14"/>
        <v>-1.228899930650118E-3</v>
      </c>
    </row>
    <row r="73" spans="1:12" hidden="1" x14ac:dyDescent="0.25">
      <c r="A73" s="215" t="s">
        <v>117</v>
      </c>
      <c r="B73" s="214"/>
      <c r="C73" s="74"/>
      <c r="D73" s="106"/>
      <c r="E73" s="93">
        <f>E71+E72</f>
        <v>150.70958617599999</v>
      </c>
      <c r="F73" s="74"/>
      <c r="G73" s="74"/>
      <c r="H73" s="106"/>
      <c r="I73" s="100">
        <f>I71+I72</f>
        <v>150.524379176</v>
      </c>
      <c r="J73" s="86"/>
      <c r="K73" s="67">
        <f t="shared" si="32"/>
        <v>-0.18520699999999124</v>
      </c>
      <c r="L73" s="96">
        <f t="shared" ref="L73" si="33">I73/E73-1</f>
        <v>-1.228899930650118E-3</v>
      </c>
    </row>
    <row r="74" spans="1:12" hidden="1" x14ac:dyDescent="0.25">
      <c r="A74" s="216"/>
      <c r="B74" s="214"/>
      <c r="C74" s="74"/>
      <c r="D74" s="106"/>
      <c r="E74" s="94">
        <v>0</v>
      </c>
      <c r="F74" s="74"/>
      <c r="G74" s="74"/>
      <c r="H74" s="106"/>
      <c r="I74" s="101">
        <v>0</v>
      </c>
      <c r="J74" s="86"/>
      <c r="K74" s="67">
        <f t="shared" si="32"/>
        <v>0</v>
      </c>
      <c r="L74" s="101">
        <v>0</v>
      </c>
    </row>
    <row r="75" spans="1:12" ht="15.75" thickBot="1" x14ac:dyDescent="0.3">
      <c r="A75" s="217" t="s">
        <v>96</v>
      </c>
      <c r="B75" s="218"/>
      <c r="C75" s="142"/>
      <c r="D75" s="143"/>
      <c r="E75" s="144">
        <f>E73+E74</f>
        <v>150.70958617599999</v>
      </c>
      <c r="F75" s="145"/>
      <c r="G75" s="145"/>
      <c r="H75" s="145"/>
      <c r="I75" s="149">
        <f>I73+I74</f>
        <v>150.524379176</v>
      </c>
      <c r="J75" s="146"/>
      <c r="K75" s="147">
        <f t="shared" si="32"/>
        <v>-0.18520699999999124</v>
      </c>
      <c r="L75" s="148">
        <f t="shared" ref="L75" si="34">IF(I75-E75=0, " 0.00%", I75/E75-1)</f>
        <v>-1.228899930650118E-3</v>
      </c>
    </row>
    <row r="76" spans="1:12" ht="9" customHeight="1" thickBot="1" x14ac:dyDescent="0.3">
      <c r="A76" s="209"/>
      <c r="B76" s="210"/>
      <c r="C76" s="137"/>
      <c r="D76" s="84"/>
      <c r="E76" s="91"/>
      <c r="F76" s="84"/>
      <c r="G76" s="137"/>
      <c r="H76" s="84"/>
      <c r="I76" s="137"/>
      <c r="J76" s="84"/>
      <c r="K76" s="138"/>
      <c r="L76" s="98"/>
    </row>
    <row r="79" spans="1:12" x14ac:dyDescent="0.25">
      <c r="A79" s="229" t="s">
        <v>97</v>
      </c>
      <c r="B79" s="230"/>
      <c r="C79" s="231"/>
    </row>
    <row r="80" spans="1:12" hidden="1" x14ac:dyDescent="0.25">
      <c r="A80" s="233"/>
      <c r="B80" s="234"/>
      <c r="C80" s="235"/>
    </row>
    <row r="81" spans="1:12" x14ac:dyDescent="0.25">
      <c r="A81" s="233" t="s">
        <v>66</v>
      </c>
      <c r="B81" s="234"/>
      <c r="C81" s="240">
        <f>'2016 Bill Impact'!C81</f>
        <v>1500</v>
      </c>
    </row>
    <row r="82" spans="1:12" x14ac:dyDescent="0.25">
      <c r="A82" s="237" t="s">
        <v>65</v>
      </c>
      <c r="B82" s="238"/>
      <c r="C82" s="241">
        <f>'2016 Bill Impact'!C82</f>
        <v>1.0430999999999999</v>
      </c>
    </row>
    <row r="84" spans="1:12" x14ac:dyDescent="0.25">
      <c r="A84" s="187"/>
      <c r="B84" s="188"/>
      <c r="C84" s="258" t="s">
        <v>59</v>
      </c>
      <c r="D84" s="259"/>
      <c r="E84" s="260"/>
      <c r="F84" s="187"/>
      <c r="G84" s="258" t="s">
        <v>67</v>
      </c>
      <c r="H84" s="259"/>
      <c r="I84" s="260"/>
      <c r="J84" s="187"/>
      <c r="K84" s="258" t="s">
        <v>39</v>
      </c>
      <c r="L84" s="260"/>
    </row>
    <row r="85" spans="1:12" ht="15" customHeight="1" x14ac:dyDescent="0.25">
      <c r="A85" s="187"/>
      <c r="B85" s="189"/>
      <c r="C85" s="190" t="s">
        <v>108</v>
      </c>
      <c r="D85" s="190" t="s">
        <v>35</v>
      </c>
      <c r="E85" s="191" t="s">
        <v>109</v>
      </c>
      <c r="F85" s="187"/>
      <c r="G85" s="190" t="s">
        <v>108</v>
      </c>
      <c r="H85" s="190" t="s">
        <v>35</v>
      </c>
      <c r="I85" s="191" t="s">
        <v>109</v>
      </c>
      <c r="J85" s="187"/>
      <c r="K85" s="192" t="s">
        <v>40</v>
      </c>
      <c r="L85" s="193" t="s">
        <v>41</v>
      </c>
    </row>
    <row r="86" spans="1:12" x14ac:dyDescent="0.25">
      <c r="A86" s="194" t="s">
        <v>36</v>
      </c>
      <c r="B86" s="195" t="s">
        <v>61</v>
      </c>
      <c r="C86" s="67">
        <f>C50</f>
        <v>16.38</v>
      </c>
      <c r="D86" s="109">
        <v>1</v>
      </c>
      <c r="E86" s="67">
        <f>C86*D86</f>
        <v>16.38</v>
      </c>
      <c r="F86" s="75"/>
      <c r="G86" s="67">
        <f>G50</f>
        <v>19.77</v>
      </c>
      <c r="H86" s="109">
        <v>1</v>
      </c>
      <c r="I86" s="67">
        <f>G86*H86</f>
        <v>19.77</v>
      </c>
      <c r="J86" s="75"/>
      <c r="K86" s="67">
        <f>I86-E86</f>
        <v>3.3900000000000006</v>
      </c>
      <c r="L86" s="96">
        <f t="shared" ref="L86:L108" si="35">IF(I86-E86=0, " 0.00%", I86/E86-1)</f>
        <v>0.20695970695970711</v>
      </c>
    </row>
    <row r="87" spans="1:12" x14ac:dyDescent="0.25">
      <c r="A87" s="196" t="s">
        <v>60</v>
      </c>
      <c r="B87" s="197" t="s">
        <v>61</v>
      </c>
      <c r="C87" s="67">
        <f t="shared" ref="C87:C105" si="36">C51</f>
        <v>-0.1638</v>
      </c>
      <c r="D87" s="109">
        <v>1</v>
      </c>
      <c r="E87" s="67">
        <f t="shared" ref="E87:E91" si="37">C87*D87</f>
        <v>-0.1638</v>
      </c>
      <c r="F87" s="75"/>
      <c r="G87" s="67">
        <f t="shared" ref="G87:G105" si="38">G51</f>
        <v>-0.19769999999999999</v>
      </c>
      <c r="H87" s="109">
        <v>1</v>
      </c>
      <c r="I87" s="67">
        <f t="shared" ref="I87:I91" si="39">G87*H87</f>
        <v>-0.19769999999999999</v>
      </c>
      <c r="J87" s="86"/>
      <c r="K87" s="67">
        <f t="shared" ref="K87:K105" si="40">I87-E87</f>
        <v>-3.3899999999999986E-2</v>
      </c>
      <c r="L87" s="96">
        <f t="shared" si="35"/>
        <v>0.20695970695970689</v>
      </c>
    </row>
    <row r="88" spans="1:12" x14ac:dyDescent="0.25">
      <c r="A88" s="196" t="s">
        <v>63</v>
      </c>
      <c r="B88" s="197" t="s">
        <v>61</v>
      </c>
      <c r="C88" s="67">
        <f t="shared" si="36"/>
        <v>0.64</v>
      </c>
      <c r="D88" s="109">
        <v>1</v>
      </c>
      <c r="E88" s="67">
        <f t="shared" si="37"/>
        <v>0.64</v>
      </c>
      <c r="F88" s="75"/>
      <c r="G88" s="67">
        <f t="shared" si="38"/>
        <v>0.64</v>
      </c>
      <c r="H88" s="109">
        <v>1</v>
      </c>
      <c r="I88" s="67">
        <f t="shared" si="39"/>
        <v>0.64</v>
      </c>
      <c r="J88" s="86"/>
      <c r="K88" s="67">
        <f t="shared" si="40"/>
        <v>0</v>
      </c>
      <c r="L88" s="96" t="str">
        <f t="shared" si="35"/>
        <v xml:space="preserve"> 0.00%</v>
      </c>
    </row>
    <row r="89" spans="1:12" x14ac:dyDescent="0.25">
      <c r="A89" s="196" t="s">
        <v>42</v>
      </c>
      <c r="B89" s="197" t="s">
        <v>62</v>
      </c>
      <c r="C89" s="70">
        <f t="shared" si="36"/>
        <v>1.78E-2</v>
      </c>
      <c r="D89" s="76">
        <f>$C$81</f>
        <v>1500</v>
      </c>
      <c r="E89" s="67">
        <f t="shared" si="37"/>
        <v>26.7</v>
      </c>
      <c r="F89" s="75"/>
      <c r="G89" s="70">
        <f t="shared" si="38"/>
        <v>1.3299999999999999E-2</v>
      </c>
      <c r="H89" s="76">
        <f>$C$81</f>
        <v>1500</v>
      </c>
      <c r="I89" s="67">
        <f t="shared" si="39"/>
        <v>19.95</v>
      </c>
      <c r="J89" s="86"/>
      <c r="K89" s="67">
        <f t="shared" si="40"/>
        <v>-6.75</v>
      </c>
      <c r="L89" s="96">
        <f t="shared" si="35"/>
        <v>-0.2528089887640449</v>
      </c>
    </row>
    <row r="90" spans="1:12" x14ac:dyDescent="0.25">
      <c r="A90" s="196" t="s">
        <v>60</v>
      </c>
      <c r="B90" s="197" t="s">
        <v>62</v>
      </c>
      <c r="C90" s="70">
        <f t="shared" si="36"/>
        <v>-2.0000000000000001E-4</v>
      </c>
      <c r="D90" s="76">
        <f>$C$81</f>
        <v>1500</v>
      </c>
      <c r="E90" s="67">
        <f t="shared" si="37"/>
        <v>-0.3</v>
      </c>
      <c r="F90" s="75"/>
      <c r="G90" s="70">
        <f t="shared" si="38"/>
        <v>-1E-4</v>
      </c>
      <c r="H90" s="76">
        <f>$C$81</f>
        <v>1500</v>
      </c>
      <c r="I90" s="67">
        <f t="shared" si="39"/>
        <v>-0.15</v>
      </c>
      <c r="J90" s="86"/>
      <c r="K90" s="67">
        <f t="shared" si="40"/>
        <v>0.15</v>
      </c>
      <c r="L90" s="96">
        <f t="shared" si="35"/>
        <v>-0.5</v>
      </c>
    </row>
    <row r="91" spans="1:12" x14ac:dyDescent="0.25">
      <c r="A91" s="198" t="s">
        <v>64</v>
      </c>
      <c r="B91" s="197" t="s">
        <v>62</v>
      </c>
      <c r="C91" s="70">
        <f t="shared" si="36"/>
        <v>8.0000000000000004E-4</v>
      </c>
      <c r="D91" s="76">
        <f>$C$81</f>
        <v>1500</v>
      </c>
      <c r="E91" s="67">
        <f t="shared" si="37"/>
        <v>1.2</v>
      </c>
      <c r="F91" s="75"/>
      <c r="G91" s="70">
        <f t="shared" si="38"/>
        <v>8.0000000000000004E-4</v>
      </c>
      <c r="H91" s="76">
        <f>$C$81</f>
        <v>1500</v>
      </c>
      <c r="I91" s="67">
        <f t="shared" si="39"/>
        <v>1.2</v>
      </c>
      <c r="J91" s="86"/>
      <c r="K91" s="67">
        <f t="shared" si="40"/>
        <v>0</v>
      </c>
      <c r="L91" s="96" t="str">
        <f t="shared" si="35"/>
        <v xml:space="preserve"> 0.00%</v>
      </c>
    </row>
    <row r="92" spans="1:12" x14ac:dyDescent="0.25">
      <c r="A92" s="199" t="s">
        <v>43</v>
      </c>
      <c r="B92" s="200"/>
      <c r="C92" s="64">
        <f t="shared" si="36"/>
        <v>0</v>
      </c>
      <c r="D92" s="80"/>
      <c r="E92" s="63">
        <f>SUM(E86:E91)</f>
        <v>44.45620000000001</v>
      </c>
      <c r="F92" s="77"/>
      <c r="G92" s="64"/>
      <c r="H92" s="80"/>
      <c r="I92" s="63">
        <f>SUM(I86:I91)</f>
        <v>41.212300000000006</v>
      </c>
      <c r="J92" s="65"/>
      <c r="K92" s="141">
        <f t="shared" si="40"/>
        <v>-3.2439000000000036</v>
      </c>
      <c r="L92" s="97">
        <f t="shared" si="35"/>
        <v>-7.2968449845016048E-2</v>
      </c>
    </row>
    <row r="93" spans="1:12" x14ac:dyDescent="0.25">
      <c r="A93" s="201" t="s">
        <v>44</v>
      </c>
      <c r="B93" s="197" t="s">
        <v>62</v>
      </c>
      <c r="C93" s="87">
        <f t="shared" si="36"/>
        <v>0.10214000000000001</v>
      </c>
      <c r="D93" s="78">
        <f>($C$81*$C$46)-$C$81</f>
        <v>64.649999999999864</v>
      </c>
      <c r="E93" s="89">
        <f t="shared" ref="E93" si="41">C93*D93</f>
        <v>6.6033509999999866</v>
      </c>
      <c r="F93" s="77"/>
      <c r="G93" s="87">
        <f t="shared" si="38"/>
        <v>0.10214000000000001</v>
      </c>
      <c r="H93" s="78">
        <f>($C$81*$C$46)-$C$81</f>
        <v>64.649999999999864</v>
      </c>
      <c r="I93" s="89">
        <f t="shared" ref="I93" si="42">G93*H93</f>
        <v>6.6033509999999866</v>
      </c>
      <c r="J93" s="65"/>
      <c r="K93" s="67">
        <f t="shared" si="40"/>
        <v>0</v>
      </c>
      <c r="L93" s="96" t="str">
        <f t="shared" si="35"/>
        <v xml:space="preserve"> 0.00%</v>
      </c>
    </row>
    <row r="94" spans="1:12" hidden="1" x14ac:dyDescent="0.25">
      <c r="A94" s="201" t="s">
        <v>45</v>
      </c>
      <c r="B94" s="197" t="s">
        <v>62</v>
      </c>
      <c r="C94" s="108">
        <f t="shared" si="36"/>
        <v>0</v>
      </c>
      <c r="D94" s="78">
        <v>0</v>
      </c>
      <c r="E94" s="89">
        <v>0</v>
      </c>
      <c r="F94" s="77"/>
      <c r="G94" s="108">
        <f t="shared" si="38"/>
        <v>0</v>
      </c>
      <c r="H94" s="78">
        <v>0</v>
      </c>
      <c r="I94" s="89">
        <v>0</v>
      </c>
      <c r="J94" s="65"/>
      <c r="K94" s="67">
        <f t="shared" si="40"/>
        <v>0</v>
      </c>
      <c r="L94" s="96" t="str">
        <f t="shared" si="35"/>
        <v xml:space="preserve"> 0.00%</v>
      </c>
    </row>
    <row r="95" spans="1:12" x14ac:dyDescent="0.25">
      <c r="A95" s="196" t="s">
        <v>46</v>
      </c>
      <c r="B95" s="197" t="s">
        <v>61</v>
      </c>
      <c r="C95" s="107">
        <f t="shared" si="36"/>
        <v>0.79</v>
      </c>
      <c r="D95" s="78">
        <v>1</v>
      </c>
      <c r="E95" s="89">
        <f t="shared" ref="E95" si="43">C95*D95</f>
        <v>0.79</v>
      </c>
      <c r="F95" s="77"/>
      <c r="G95" s="107">
        <f t="shared" si="38"/>
        <v>0.79</v>
      </c>
      <c r="H95" s="78">
        <v>1</v>
      </c>
      <c r="I95" s="89">
        <f t="shared" ref="I95" si="44">G95*H95</f>
        <v>0.79</v>
      </c>
      <c r="J95" s="65"/>
      <c r="K95" s="67">
        <f t="shared" si="40"/>
        <v>0</v>
      </c>
      <c r="L95" s="96" t="str">
        <f t="shared" si="35"/>
        <v xml:space="preserve"> 0.00%</v>
      </c>
    </row>
    <row r="96" spans="1:12" x14ac:dyDescent="0.25">
      <c r="A96" s="202" t="s">
        <v>47</v>
      </c>
      <c r="B96" s="203"/>
      <c r="C96" s="80">
        <f t="shared" si="36"/>
        <v>0</v>
      </c>
      <c r="D96" s="80"/>
      <c r="E96" s="90">
        <f>SUM(E92:E95)</f>
        <v>51.849550999999998</v>
      </c>
      <c r="F96" s="77"/>
      <c r="G96" s="80"/>
      <c r="H96" s="80"/>
      <c r="I96" s="90">
        <f>SUM(I92:I95)</f>
        <v>48.605650999999995</v>
      </c>
      <c r="J96" s="65"/>
      <c r="K96" s="141">
        <f t="shared" si="40"/>
        <v>-3.2439000000000036</v>
      </c>
      <c r="L96" s="97">
        <f t="shared" si="35"/>
        <v>-6.2563704746450011E-2</v>
      </c>
    </row>
    <row r="97" spans="1:12" x14ac:dyDescent="0.25">
      <c r="A97" s="204" t="s">
        <v>48</v>
      </c>
      <c r="B97" s="197" t="s">
        <v>62</v>
      </c>
      <c r="C97" s="87">
        <f t="shared" si="36"/>
        <v>7.4999999999999997E-3</v>
      </c>
      <c r="D97" s="81">
        <f>$C$81*$C$46</f>
        <v>1564.6499999999999</v>
      </c>
      <c r="E97" s="89">
        <f t="shared" ref="E97:E98" si="45">C97*D97</f>
        <v>11.734874999999999</v>
      </c>
      <c r="F97" s="77"/>
      <c r="G97" s="87">
        <f t="shared" si="38"/>
        <v>7.4999999999999997E-3</v>
      </c>
      <c r="H97" s="81">
        <f>$C$81*$C$46</f>
        <v>1564.6499999999999</v>
      </c>
      <c r="I97" s="89">
        <f t="shared" ref="I97:I98" si="46">G97*H97</f>
        <v>11.734874999999999</v>
      </c>
      <c r="J97" s="65"/>
      <c r="K97" s="95">
        <f t="shared" si="40"/>
        <v>0</v>
      </c>
      <c r="L97" s="96" t="str">
        <f t="shared" si="35"/>
        <v xml:space="preserve"> 0.00%</v>
      </c>
    </row>
    <row r="98" spans="1:12" x14ac:dyDescent="0.25">
      <c r="A98" s="205" t="s">
        <v>49</v>
      </c>
      <c r="B98" s="197" t="s">
        <v>62</v>
      </c>
      <c r="C98" s="87">
        <f t="shared" si="36"/>
        <v>5.4000000000000003E-3</v>
      </c>
      <c r="D98" s="81">
        <f>$C$81*$C$46</f>
        <v>1564.6499999999999</v>
      </c>
      <c r="E98" s="89">
        <f t="shared" si="45"/>
        <v>8.4491099999999992</v>
      </c>
      <c r="F98" s="77"/>
      <c r="G98" s="87">
        <f t="shared" si="38"/>
        <v>5.4000000000000003E-3</v>
      </c>
      <c r="H98" s="81">
        <f>$C$81*$C$46</f>
        <v>1564.6499999999999</v>
      </c>
      <c r="I98" s="89">
        <f t="shared" si="46"/>
        <v>8.4491099999999992</v>
      </c>
      <c r="J98" s="65"/>
      <c r="K98" s="95">
        <f t="shared" si="40"/>
        <v>0</v>
      </c>
      <c r="L98" s="96" t="str">
        <f t="shared" si="35"/>
        <v xml:space="preserve"> 0.00%</v>
      </c>
    </row>
    <row r="99" spans="1:12" x14ac:dyDescent="0.25">
      <c r="A99" s="202" t="s">
        <v>50</v>
      </c>
      <c r="B99" s="200"/>
      <c r="C99" s="80">
        <f t="shared" si="36"/>
        <v>0</v>
      </c>
      <c r="D99" s="80"/>
      <c r="E99" s="90">
        <f>SUM(E96:E98)</f>
        <v>72.033535999999998</v>
      </c>
      <c r="F99" s="82"/>
      <c r="G99" s="80"/>
      <c r="H99" s="80"/>
      <c r="I99" s="90">
        <f>SUM(I96:I98)</f>
        <v>68.789636000000002</v>
      </c>
      <c r="J99" s="66"/>
      <c r="K99" s="141">
        <f t="shared" si="40"/>
        <v>-3.2438999999999965</v>
      </c>
      <c r="L99" s="97">
        <f t="shared" si="35"/>
        <v>-4.5033191206940049E-2</v>
      </c>
    </row>
    <row r="100" spans="1:12" x14ac:dyDescent="0.25">
      <c r="A100" s="206" t="s">
        <v>51</v>
      </c>
      <c r="B100" s="197" t="s">
        <v>62</v>
      </c>
      <c r="C100" s="88">
        <f t="shared" si="36"/>
        <v>4.4000000000000003E-3</v>
      </c>
      <c r="D100" s="81">
        <f>$C$81*$C$46</f>
        <v>1564.6499999999999</v>
      </c>
      <c r="E100" s="67">
        <f t="shared" ref="E100:E104" si="47">C100*D100</f>
        <v>6.8844599999999998</v>
      </c>
      <c r="F100" s="79"/>
      <c r="G100" s="88">
        <f t="shared" si="38"/>
        <v>4.4000000000000003E-3</v>
      </c>
      <c r="H100" s="81">
        <f>$C$81*$C$46</f>
        <v>1564.6499999999999</v>
      </c>
      <c r="I100" s="67">
        <f t="shared" ref="I100:I104" si="48">G100*H100</f>
        <v>6.8844599999999998</v>
      </c>
      <c r="J100" s="65"/>
      <c r="K100" s="95">
        <f t="shared" si="40"/>
        <v>0</v>
      </c>
      <c r="L100" s="96" t="str">
        <f t="shared" si="35"/>
        <v xml:space="preserve"> 0.00%</v>
      </c>
    </row>
    <row r="101" spans="1:12" x14ac:dyDescent="0.25">
      <c r="A101" s="206" t="s">
        <v>52</v>
      </c>
      <c r="B101" s="197" t="s">
        <v>62</v>
      </c>
      <c r="C101" s="88">
        <f t="shared" si="36"/>
        <v>1.2999999999999999E-3</v>
      </c>
      <c r="D101" s="81">
        <f>$C$81*$C$46</f>
        <v>1564.6499999999999</v>
      </c>
      <c r="E101" s="67">
        <f t="shared" si="47"/>
        <v>2.0340449999999999</v>
      </c>
      <c r="F101" s="79"/>
      <c r="G101" s="88">
        <f t="shared" si="38"/>
        <v>1.2999999999999999E-3</v>
      </c>
      <c r="H101" s="81">
        <f>$C$81*$C$46</f>
        <v>1564.6499999999999</v>
      </c>
      <c r="I101" s="67">
        <f t="shared" si="48"/>
        <v>2.0340449999999999</v>
      </c>
      <c r="J101" s="65"/>
      <c r="K101" s="95">
        <f t="shared" si="40"/>
        <v>0</v>
      </c>
      <c r="L101" s="96" t="str">
        <f t="shared" si="35"/>
        <v xml:space="preserve"> 0.00%</v>
      </c>
    </row>
    <row r="102" spans="1:12" x14ac:dyDescent="0.25">
      <c r="A102" s="196" t="s">
        <v>53</v>
      </c>
      <c r="B102" s="197" t="s">
        <v>61</v>
      </c>
      <c r="C102" s="69">
        <f t="shared" si="36"/>
        <v>0.25</v>
      </c>
      <c r="D102" s="81">
        <v>1</v>
      </c>
      <c r="E102" s="67">
        <f t="shared" si="47"/>
        <v>0.25</v>
      </c>
      <c r="F102" s="79"/>
      <c r="G102" s="69">
        <f t="shared" si="38"/>
        <v>0.25</v>
      </c>
      <c r="H102" s="81">
        <v>1</v>
      </c>
      <c r="I102" s="67">
        <f t="shared" si="48"/>
        <v>0.25</v>
      </c>
      <c r="J102" s="79"/>
      <c r="K102" s="95">
        <f t="shared" si="40"/>
        <v>0</v>
      </c>
      <c r="L102" s="96" t="str">
        <f t="shared" si="35"/>
        <v xml:space="preserve"> 0.00%</v>
      </c>
    </row>
    <row r="103" spans="1:12" x14ac:dyDescent="0.25">
      <c r="A103" s="196" t="s">
        <v>54</v>
      </c>
      <c r="B103" s="197" t="s">
        <v>62</v>
      </c>
      <c r="C103" s="83">
        <f t="shared" si="36"/>
        <v>0.08</v>
      </c>
      <c r="D103" s="81">
        <f>$C$81*0.64</f>
        <v>960</v>
      </c>
      <c r="E103" s="67">
        <f t="shared" si="47"/>
        <v>76.8</v>
      </c>
      <c r="F103" s="79"/>
      <c r="G103" s="83">
        <f t="shared" si="38"/>
        <v>0.08</v>
      </c>
      <c r="H103" s="81">
        <f>$C$81*0.64</f>
        <v>960</v>
      </c>
      <c r="I103" s="67">
        <f t="shared" si="48"/>
        <v>76.8</v>
      </c>
      <c r="J103" s="79"/>
      <c r="K103" s="95">
        <f t="shared" si="40"/>
        <v>0</v>
      </c>
      <c r="L103" s="96" t="str">
        <f t="shared" si="35"/>
        <v xml:space="preserve"> 0.00%</v>
      </c>
    </row>
    <row r="104" spans="1:12" x14ac:dyDescent="0.25">
      <c r="A104" s="196" t="s">
        <v>55</v>
      </c>
      <c r="B104" s="197" t="s">
        <v>62</v>
      </c>
      <c r="C104" s="83">
        <f t="shared" si="36"/>
        <v>0.122</v>
      </c>
      <c r="D104" s="81">
        <f>$C$81*0.18</f>
        <v>270</v>
      </c>
      <c r="E104" s="67">
        <f t="shared" si="47"/>
        <v>32.94</v>
      </c>
      <c r="F104" s="79"/>
      <c r="G104" s="83">
        <f t="shared" si="38"/>
        <v>0.122</v>
      </c>
      <c r="H104" s="81">
        <f>$C$81*0.18</f>
        <v>270</v>
      </c>
      <c r="I104" s="67">
        <f t="shared" si="48"/>
        <v>32.94</v>
      </c>
      <c r="J104" s="79"/>
      <c r="K104" s="95">
        <f t="shared" si="40"/>
        <v>0</v>
      </c>
      <c r="L104" s="96" t="str">
        <f t="shared" si="35"/>
        <v xml:space="preserve"> 0.00%</v>
      </c>
    </row>
    <row r="105" spans="1:12" ht="15.75" thickBot="1" x14ac:dyDescent="0.3">
      <c r="A105" s="207" t="s">
        <v>56</v>
      </c>
      <c r="B105" s="208" t="s">
        <v>62</v>
      </c>
      <c r="C105" s="83">
        <f t="shared" si="36"/>
        <v>0.161</v>
      </c>
      <c r="D105" s="81">
        <f>$C$81*0.18</f>
        <v>270</v>
      </c>
      <c r="E105" s="67">
        <f>C105*D105</f>
        <v>43.47</v>
      </c>
      <c r="F105" s="79"/>
      <c r="G105" s="83">
        <f t="shared" si="38"/>
        <v>0.161</v>
      </c>
      <c r="H105" s="81">
        <f>$C$81*0.18</f>
        <v>270</v>
      </c>
      <c r="I105" s="67">
        <f>G105*H105</f>
        <v>43.47</v>
      </c>
      <c r="J105" s="79"/>
      <c r="K105" s="95">
        <f t="shared" si="40"/>
        <v>0</v>
      </c>
      <c r="L105" s="96" t="str">
        <f t="shared" si="35"/>
        <v xml:space="preserve"> 0.00%</v>
      </c>
    </row>
    <row r="106" spans="1:12" ht="9" customHeight="1" thickBot="1" x14ac:dyDescent="0.3">
      <c r="A106" s="209"/>
      <c r="B106" s="210"/>
      <c r="C106" s="137"/>
      <c r="D106" s="84"/>
      <c r="E106" s="91"/>
      <c r="F106" s="84"/>
      <c r="G106" s="137"/>
      <c r="H106" s="84"/>
      <c r="I106" s="137"/>
      <c r="J106" s="84"/>
      <c r="K106" s="138"/>
      <c r="L106" s="98"/>
    </row>
    <row r="107" spans="1:12" x14ac:dyDescent="0.25">
      <c r="A107" s="211" t="s">
        <v>57</v>
      </c>
      <c r="B107" s="212"/>
      <c r="C107" s="102"/>
      <c r="D107" s="103"/>
      <c r="E107" s="92">
        <f>SUM(E99:E105)</f>
        <v>234.41204100000002</v>
      </c>
      <c r="F107" s="104"/>
      <c r="G107" s="105"/>
      <c r="H107" s="103"/>
      <c r="I107" s="139">
        <f>SUM(I99:I105)</f>
        <v>231.16814100000002</v>
      </c>
      <c r="J107" s="85"/>
      <c r="K107" s="140">
        <f t="shared" ref="K107:K111" si="49">I107-E107</f>
        <v>-3.2438999999999965</v>
      </c>
      <c r="L107" s="68">
        <f t="shared" si="35"/>
        <v>-1.3838452948754409E-2</v>
      </c>
    </row>
    <row r="108" spans="1:12" x14ac:dyDescent="0.25">
      <c r="A108" s="213" t="s">
        <v>58</v>
      </c>
      <c r="B108" s="214"/>
      <c r="C108" s="102">
        <v>0.13</v>
      </c>
      <c r="D108" s="106"/>
      <c r="E108" s="93">
        <f>E107*C108</f>
        <v>30.473565330000003</v>
      </c>
      <c r="F108" s="74"/>
      <c r="G108" s="102">
        <v>0.13</v>
      </c>
      <c r="H108" s="106"/>
      <c r="I108" s="100">
        <f>I107*G108</f>
        <v>30.051858330000005</v>
      </c>
      <c r="J108" s="86"/>
      <c r="K108" s="67">
        <f t="shared" si="49"/>
        <v>-0.42170699999999783</v>
      </c>
      <c r="L108" s="96">
        <f t="shared" si="35"/>
        <v>-1.3838452948754409E-2</v>
      </c>
    </row>
    <row r="109" spans="1:12" hidden="1" x14ac:dyDescent="0.25">
      <c r="A109" s="215" t="s">
        <v>117</v>
      </c>
      <c r="B109" s="214"/>
      <c r="C109" s="74"/>
      <c r="D109" s="106"/>
      <c r="E109" s="93">
        <f>E107+E108</f>
        <v>264.88560633000003</v>
      </c>
      <c r="F109" s="74"/>
      <c r="G109" s="74"/>
      <c r="H109" s="106"/>
      <c r="I109" s="100">
        <f>I107+I108</f>
        <v>261.21999933000001</v>
      </c>
      <c r="J109" s="86"/>
      <c r="K109" s="67">
        <f t="shared" si="49"/>
        <v>-3.6656070000000227</v>
      </c>
      <c r="L109" s="96">
        <f t="shared" ref="L109" si="50">I109/E109-1</f>
        <v>-1.383845294875452E-2</v>
      </c>
    </row>
    <row r="110" spans="1:12" hidden="1" x14ac:dyDescent="0.25">
      <c r="A110" s="216"/>
      <c r="B110" s="214"/>
      <c r="C110" s="74"/>
      <c r="D110" s="106"/>
      <c r="E110" s="94">
        <v>0</v>
      </c>
      <c r="F110" s="74"/>
      <c r="G110" s="74"/>
      <c r="H110" s="106"/>
      <c r="I110" s="101">
        <v>0</v>
      </c>
      <c r="J110" s="86"/>
      <c r="K110" s="67">
        <f t="shared" si="49"/>
        <v>0</v>
      </c>
      <c r="L110" s="101">
        <v>0</v>
      </c>
    </row>
    <row r="111" spans="1:12" ht="15.75" thickBot="1" x14ac:dyDescent="0.3">
      <c r="A111" s="217" t="s">
        <v>96</v>
      </c>
      <c r="B111" s="218"/>
      <c r="C111" s="142"/>
      <c r="D111" s="143"/>
      <c r="E111" s="144">
        <f>E109+E110</f>
        <v>264.88560633000003</v>
      </c>
      <c r="F111" s="145"/>
      <c r="G111" s="145"/>
      <c r="H111" s="145"/>
      <c r="I111" s="149">
        <f>I109+I110</f>
        <v>261.21999933000001</v>
      </c>
      <c r="J111" s="146"/>
      <c r="K111" s="147">
        <f t="shared" si="49"/>
        <v>-3.6656070000000227</v>
      </c>
      <c r="L111" s="148">
        <f t="shared" ref="L111" si="51">IF(I111-E111=0, " 0.00%", I111/E111-1)</f>
        <v>-1.383845294875452E-2</v>
      </c>
    </row>
    <row r="112" spans="1:12" ht="9" customHeight="1" thickBot="1" x14ac:dyDescent="0.3">
      <c r="A112" s="209"/>
      <c r="B112" s="210"/>
      <c r="C112" s="137"/>
      <c r="D112" s="84"/>
      <c r="E112" s="91"/>
      <c r="F112" s="84"/>
      <c r="G112" s="137"/>
      <c r="H112" s="84"/>
      <c r="I112" s="137"/>
      <c r="J112" s="84"/>
      <c r="K112" s="138"/>
      <c r="L112" s="98"/>
    </row>
  </sheetData>
  <mergeCells count="9">
    <mergeCell ref="C84:E84"/>
    <mergeCell ref="G84:I84"/>
    <mergeCell ref="K84:L84"/>
    <mergeCell ref="C12:E12"/>
    <mergeCell ref="G12:I12"/>
    <mergeCell ref="K12:L12"/>
    <mergeCell ref="C48:E48"/>
    <mergeCell ref="G48:I48"/>
    <mergeCell ref="K48:L48"/>
  </mergeCells>
  <pageMargins left="0.7" right="0.7" top="0.75" bottom="0.75" header="0.3" footer="0.3"/>
  <pageSetup scale="48" orientation="portrait" r:id="rId1"/>
  <headerFooter>
    <oddHeader>&amp;RFiled: 2016-10-18
EB-2016-0082
Draft Rate Order
Attachment 3
Page &amp;P of &amp;N</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pageSetUpPr fitToPage="1"/>
  </sheetPr>
  <dimension ref="A1:L112"/>
  <sheetViews>
    <sheetView showGridLines="0" tabSelected="1" view="pageLayout" topLeftCell="C1" zoomScaleNormal="90" workbookViewId="0">
      <selection activeCell="L1" sqref="L1"/>
    </sheetView>
  </sheetViews>
  <sheetFormatPr defaultColWidth="9.140625" defaultRowHeight="15" x14ac:dyDescent="0.25"/>
  <cols>
    <col min="1" max="1" width="64.85546875" style="232" bestFit="1" customWidth="1"/>
    <col min="2" max="2" width="9.140625" style="232"/>
    <col min="3" max="3" width="11.7109375" style="232" bestFit="1" customWidth="1"/>
    <col min="4" max="4" width="9.140625" style="232"/>
    <col min="5" max="5" width="11.5703125" style="232" bestFit="1" customWidth="1"/>
    <col min="6" max="6" width="9.140625" style="186"/>
    <col min="7" max="7" width="11.7109375" style="186" bestFit="1" customWidth="1"/>
    <col min="8" max="8" width="9.140625" style="186"/>
    <col min="9" max="9" width="11.5703125" style="186" bestFit="1" customWidth="1"/>
    <col min="10" max="10" width="9.140625" style="186"/>
    <col min="11" max="11" width="9.5703125" style="186" bestFit="1" customWidth="1"/>
    <col min="12" max="12" width="10" style="186" bestFit="1" customWidth="1"/>
    <col min="13" max="16384" width="9.140625" style="186"/>
  </cols>
  <sheetData>
    <row r="1" spans="1:12" s="183" customFormat="1" ht="12" customHeight="1" x14ac:dyDescent="0.25">
      <c r="E1" s="184"/>
      <c r="L1" s="185"/>
    </row>
    <row r="2" spans="1:12" s="183" customFormat="1" ht="12" customHeight="1" x14ac:dyDescent="0.25">
      <c r="E2" s="184"/>
      <c r="L2" s="185"/>
    </row>
    <row r="3" spans="1:12" s="183" customFormat="1" ht="12" customHeight="1" x14ac:dyDescent="0.25">
      <c r="E3" s="184"/>
      <c r="L3" s="185"/>
    </row>
    <row r="4" spans="1:12" s="183" customFormat="1" x14ac:dyDescent="0.25">
      <c r="E4" s="184"/>
      <c r="L4" s="185"/>
    </row>
    <row r="5" spans="1:12" s="183" customFormat="1" ht="12" customHeight="1" x14ac:dyDescent="0.25">
      <c r="E5" s="184"/>
      <c r="L5" s="242"/>
    </row>
    <row r="7" spans="1:12" x14ac:dyDescent="0.25">
      <c r="A7" s="229" t="s">
        <v>97</v>
      </c>
      <c r="B7" s="230"/>
      <c r="C7" s="231"/>
    </row>
    <row r="8" spans="1:12" hidden="1" x14ac:dyDescent="0.25">
      <c r="A8" s="233"/>
      <c r="B8" s="234"/>
      <c r="C8" s="235"/>
    </row>
    <row r="9" spans="1:12" x14ac:dyDescent="0.25">
      <c r="A9" s="233" t="s">
        <v>66</v>
      </c>
      <c r="B9" s="234"/>
      <c r="C9" s="240">
        <f>'2017 Bill Impact'!C9</f>
        <v>285</v>
      </c>
    </row>
    <row r="10" spans="1:12" x14ac:dyDescent="0.25">
      <c r="A10" s="237" t="s">
        <v>65</v>
      </c>
      <c r="B10" s="238"/>
      <c r="C10" s="241">
        <f>'2017 Bill Impact'!C10</f>
        <v>1.0430999999999999</v>
      </c>
    </row>
    <row r="12" spans="1:12" x14ac:dyDescent="0.25">
      <c r="A12" s="187"/>
      <c r="B12" s="188"/>
      <c r="C12" s="258" t="s">
        <v>67</v>
      </c>
      <c r="D12" s="259"/>
      <c r="E12" s="260"/>
      <c r="F12" s="187"/>
      <c r="G12" s="258" t="s">
        <v>68</v>
      </c>
      <c r="H12" s="259"/>
      <c r="I12" s="260"/>
      <c r="J12" s="187"/>
      <c r="K12" s="258" t="s">
        <v>39</v>
      </c>
      <c r="L12" s="260"/>
    </row>
    <row r="13" spans="1:12" ht="15" customHeight="1" x14ac:dyDescent="0.25">
      <c r="A13" s="187"/>
      <c r="B13" s="189"/>
      <c r="C13" s="190" t="s">
        <v>108</v>
      </c>
      <c r="D13" s="190" t="s">
        <v>35</v>
      </c>
      <c r="E13" s="191" t="s">
        <v>109</v>
      </c>
      <c r="F13" s="187"/>
      <c r="G13" s="190" t="s">
        <v>108</v>
      </c>
      <c r="H13" s="190" t="s">
        <v>35</v>
      </c>
      <c r="I13" s="191" t="s">
        <v>109</v>
      </c>
      <c r="J13" s="187"/>
      <c r="K13" s="192" t="s">
        <v>40</v>
      </c>
      <c r="L13" s="193" t="s">
        <v>41</v>
      </c>
    </row>
    <row r="14" spans="1:12" x14ac:dyDescent="0.25">
      <c r="A14" s="194" t="s">
        <v>36</v>
      </c>
      <c r="B14" s="195" t="s">
        <v>61</v>
      </c>
      <c r="C14" s="67">
        <f>'2017 Bill Impact'!G14</f>
        <v>19.77</v>
      </c>
      <c r="D14" s="109">
        <v>1</v>
      </c>
      <c r="E14" s="67">
        <f>C14*D14</f>
        <v>19.77</v>
      </c>
      <c r="F14" s="75"/>
      <c r="G14" s="67">
        <f>'App.2-PA_Res_Rate_Design_18'!D43</f>
        <v>23.18</v>
      </c>
      <c r="H14" s="109">
        <v>1</v>
      </c>
      <c r="I14" s="67">
        <f>G14*H14</f>
        <v>23.18</v>
      </c>
      <c r="J14" s="75"/>
      <c r="K14" s="67">
        <f>I14-E14</f>
        <v>3.41</v>
      </c>
      <c r="L14" s="96">
        <f t="shared" ref="L14:L36" si="0">IF(I14-E14=0, " 0.00%", I14/E14-1)</f>
        <v>0.17248356095093587</v>
      </c>
    </row>
    <row r="15" spans="1:12" x14ac:dyDescent="0.25">
      <c r="A15" s="196" t="s">
        <v>60</v>
      </c>
      <c r="B15" s="197" t="s">
        <v>61</v>
      </c>
      <c r="C15" s="67">
        <f>'2017 Bill Impact'!G15</f>
        <v>-0.19769999999999999</v>
      </c>
      <c r="D15" s="109">
        <v>1</v>
      </c>
      <c r="E15" s="67">
        <f t="shared" ref="E15:E32" si="1">C15*D15</f>
        <v>-0.19769999999999999</v>
      </c>
      <c r="F15" s="75"/>
      <c r="G15" s="67">
        <f>-G14*0.01</f>
        <v>-0.23180000000000001</v>
      </c>
      <c r="H15" s="109">
        <v>1</v>
      </c>
      <c r="I15" s="67">
        <f t="shared" ref="I15:I19" si="2">G15*H15</f>
        <v>-0.23180000000000001</v>
      </c>
      <c r="J15" s="86"/>
      <c r="K15" s="67">
        <f t="shared" ref="K15:K33" si="3">I15-E15</f>
        <v>-3.4100000000000019E-2</v>
      </c>
      <c r="L15" s="96">
        <f t="shared" si="0"/>
        <v>0.17248356095093587</v>
      </c>
    </row>
    <row r="16" spans="1:12" x14ac:dyDescent="0.25">
      <c r="A16" s="196" t="s">
        <v>63</v>
      </c>
      <c r="B16" s="197" t="s">
        <v>61</v>
      </c>
      <c r="C16" s="67">
        <f>'2017 Bill Impact'!G16</f>
        <v>0.64</v>
      </c>
      <c r="D16" s="109">
        <v>1</v>
      </c>
      <c r="E16" s="67">
        <f t="shared" si="1"/>
        <v>0.64</v>
      </c>
      <c r="F16" s="75"/>
      <c r="G16" s="67">
        <v>0.64</v>
      </c>
      <c r="H16" s="109">
        <v>1</v>
      </c>
      <c r="I16" s="67">
        <f t="shared" si="2"/>
        <v>0.64</v>
      </c>
      <c r="J16" s="86"/>
      <c r="K16" s="67">
        <f t="shared" si="3"/>
        <v>0</v>
      </c>
      <c r="L16" s="96" t="str">
        <f t="shared" si="0"/>
        <v xml:space="preserve"> 0.00%</v>
      </c>
    </row>
    <row r="17" spans="1:12" x14ac:dyDescent="0.25">
      <c r="A17" s="196" t="s">
        <v>42</v>
      </c>
      <c r="B17" s="197" t="s">
        <v>62</v>
      </c>
      <c r="C17" s="70">
        <f>'2017 Bill Impact'!G17</f>
        <v>1.3299999999999999E-2</v>
      </c>
      <c r="D17" s="76">
        <f>$C$9</f>
        <v>285</v>
      </c>
      <c r="E17" s="67">
        <f t="shared" si="1"/>
        <v>3.7904999999999998</v>
      </c>
      <c r="F17" s="75"/>
      <c r="G17" s="70">
        <f>'App.2-PA_Res_Rate_Design_18'!D44</f>
        <v>8.8999999999999999E-3</v>
      </c>
      <c r="H17" s="76">
        <f>$C$9</f>
        <v>285</v>
      </c>
      <c r="I17" s="67">
        <f t="shared" si="2"/>
        <v>2.5365000000000002</v>
      </c>
      <c r="J17" s="86"/>
      <c r="K17" s="67">
        <f t="shared" si="3"/>
        <v>-1.2539999999999996</v>
      </c>
      <c r="L17" s="96">
        <f t="shared" si="0"/>
        <v>-0.3308270676691728</v>
      </c>
    </row>
    <row r="18" spans="1:12" x14ac:dyDescent="0.25">
      <c r="A18" s="196" t="s">
        <v>60</v>
      </c>
      <c r="B18" s="197" t="s">
        <v>62</v>
      </c>
      <c r="C18" s="70">
        <f>'2017 Bill Impact'!G18</f>
        <v>-1E-4</v>
      </c>
      <c r="D18" s="76">
        <f t="shared" ref="D18:D19" si="4">$C$9</f>
        <v>285</v>
      </c>
      <c r="E18" s="67">
        <f t="shared" si="1"/>
        <v>-2.8500000000000001E-2</v>
      </c>
      <c r="F18" s="75"/>
      <c r="G18" s="70">
        <f>ROUND(-G17*0.01,4)</f>
        <v>-1E-4</v>
      </c>
      <c r="H18" s="76">
        <f t="shared" ref="H18:H19" si="5">$C$9</f>
        <v>285</v>
      </c>
      <c r="I18" s="67">
        <f t="shared" si="2"/>
        <v>-2.8500000000000001E-2</v>
      </c>
      <c r="J18" s="86"/>
      <c r="K18" s="67">
        <f t="shared" si="3"/>
        <v>0</v>
      </c>
      <c r="L18" s="96" t="str">
        <f t="shared" si="0"/>
        <v xml:space="preserve"> 0.00%</v>
      </c>
    </row>
    <row r="19" spans="1:12" x14ac:dyDescent="0.25">
      <c r="A19" s="198" t="s">
        <v>64</v>
      </c>
      <c r="B19" s="197" t="s">
        <v>62</v>
      </c>
      <c r="C19" s="70">
        <f>'2017 Bill Impact'!G19</f>
        <v>8.0000000000000004E-4</v>
      </c>
      <c r="D19" s="76">
        <f t="shared" si="4"/>
        <v>285</v>
      </c>
      <c r="E19" s="67">
        <f t="shared" si="1"/>
        <v>0.22800000000000001</v>
      </c>
      <c r="F19" s="75"/>
      <c r="G19" s="70">
        <v>8.0000000000000004E-4</v>
      </c>
      <c r="H19" s="76">
        <f t="shared" si="5"/>
        <v>285</v>
      </c>
      <c r="I19" s="67">
        <f t="shared" si="2"/>
        <v>0.22800000000000001</v>
      </c>
      <c r="J19" s="86"/>
      <c r="K19" s="67">
        <f t="shared" si="3"/>
        <v>0</v>
      </c>
      <c r="L19" s="96" t="str">
        <f t="shared" si="0"/>
        <v xml:space="preserve"> 0.00%</v>
      </c>
    </row>
    <row r="20" spans="1:12" x14ac:dyDescent="0.25">
      <c r="A20" s="199" t="s">
        <v>43</v>
      </c>
      <c r="B20" s="200"/>
      <c r="C20" s="64"/>
      <c r="D20" s="80"/>
      <c r="E20" s="63">
        <f>SUM(E14:E19)</f>
        <v>24.202300000000001</v>
      </c>
      <c r="F20" s="77"/>
      <c r="G20" s="64"/>
      <c r="H20" s="80"/>
      <c r="I20" s="63">
        <f>SUM(I14:I19)</f>
        <v>26.324200000000001</v>
      </c>
      <c r="J20" s="65"/>
      <c r="K20" s="141">
        <f t="shared" si="3"/>
        <v>2.1219000000000001</v>
      </c>
      <c r="L20" s="97">
        <f t="shared" si="0"/>
        <v>8.7673485577816956E-2</v>
      </c>
    </row>
    <row r="21" spans="1:12" x14ac:dyDescent="0.25">
      <c r="A21" s="201" t="s">
        <v>44</v>
      </c>
      <c r="B21" s="197" t="s">
        <v>62</v>
      </c>
      <c r="C21" s="87">
        <f>'2017 Bill Impact'!G21</f>
        <v>0.10214000000000001</v>
      </c>
      <c r="D21" s="78">
        <f>($C$9*$C$10)-$C$9</f>
        <v>12.283500000000004</v>
      </c>
      <c r="E21" s="89">
        <f t="shared" si="1"/>
        <v>1.2546366900000006</v>
      </c>
      <c r="F21" s="77"/>
      <c r="G21" s="87">
        <f>G31*0.64+G32*0.18+G33*0.18</f>
        <v>0.10214000000000001</v>
      </c>
      <c r="H21" s="78">
        <f>($C$9*$C$10)-$C$9</f>
        <v>12.283500000000004</v>
      </c>
      <c r="I21" s="89">
        <f t="shared" ref="I21" si="6">G21*H21</f>
        <v>1.2546366900000006</v>
      </c>
      <c r="J21" s="65"/>
      <c r="K21" s="67">
        <f t="shared" si="3"/>
        <v>0</v>
      </c>
      <c r="L21" s="96" t="str">
        <f t="shared" si="0"/>
        <v xml:space="preserve"> 0.00%</v>
      </c>
    </row>
    <row r="22" spans="1:12" hidden="1" x14ac:dyDescent="0.25">
      <c r="A22" s="201" t="s">
        <v>45</v>
      </c>
      <c r="B22" s="197" t="s">
        <v>62</v>
      </c>
      <c r="C22" s="108">
        <f>'2017 Bill Impact'!G22</f>
        <v>0</v>
      </c>
      <c r="D22" s="78">
        <v>0</v>
      </c>
      <c r="E22" s="89">
        <v>0</v>
      </c>
      <c r="F22" s="77"/>
      <c r="G22" s="108">
        <v>0</v>
      </c>
      <c r="H22" s="78">
        <v>0</v>
      </c>
      <c r="I22" s="89">
        <v>0</v>
      </c>
      <c r="J22" s="65"/>
      <c r="K22" s="67">
        <f t="shared" si="3"/>
        <v>0</v>
      </c>
      <c r="L22" s="96" t="str">
        <f t="shared" si="0"/>
        <v xml:space="preserve"> 0.00%</v>
      </c>
    </row>
    <row r="23" spans="1:12" x14ac:dyDescent="0.25">
      <c r="A23" s="196" t="s">
        <v>46</v>
      </c>
      <c r="B23" s="197" t="s">
        <v>61</v>
      </c>
      <c r="C23" s="107">
        <f>'2017 Bill Impact'!G23</f>
        <v>0.79</v>
      </c>
      <c r="D23" s="78">
        <v>1</v>
      </c>
      <c r="E23" s="89">
        <f t="shared" si="1"/>
        <v>0.79</v>
      </c>
      <c r="F23" s="77"/>
      <c r="G23" s="107">
        <v>0.79</v>
      </c>
      <c r="H23" s="78">
        <v>1</v>
      </c>
      <c r="I23" s="89">
        <f t="shared" ref="I23" si="7">G23*H23</f>
        <v>0.79</v>
      </c>
      <c r="J23" s="65"/>
      <c r="K23" s="67">
        <f t="shared" si="3"/>
        <v>0</v>
      </c>
      <c r="L23" s="96" t="str">
        <f t="shared" si="0"/>
        <v xml:space="preserve"> 0.00%</v>
      </c>
    </row>
    <row r="24" spans="1:12" x14ac:dyDescent="0.25">
      <c r="A24" s="202" t="s">
        <v>47</v>
      </c>
      <c r="B24" s="203"/>
      <c r="C24" s="80"/>
      <c r="D24" s="80"/>
      <c r="E24" s="90">
        <f>SUM(E20:E23)</f>
        <v>26.246936690000002</v>
      </c>
      <c r="F24" s="77"/>
      <c r="G24" s="80"/>
      <c r="H24" s="80"/>
      <c r="I24" s="90">
        <f>SUM(I20:I23)</f>
        <v>28.368836690000002</v>
      </c>
      <c r="J24" s="65"/>
      <c r="K24" s="141">
        <f t="shared" si="3"/>
        <v>2.1219000000000001</v>
      </c>
      <c r="L24" s="97">
        <f t="shared" si="0"/>
        <v>8.0843719976222417E-2</v>
      </c>
    </row>
    <row r="25" spans="1:12" x14ac:dyDescent="0.25">
      <c r="A25" s="204" t="s">
        <v>48</v>
      </c>
      <c r="B25" s="197" t="s">
        <v>62</v>
      </c>
      <c r="C25" s="87">
        <f>'2017 Bill Impact'!G25</f>
        <v>7.4999999999999997E-3</v>
      </c>
      <c r="D25" s="81">
        <f>$C$9*$C$10</f>
        <v>297.2835</v>
      </c>
      <c r="E25" s="89">
        <f t="shared" si="1"/>
        <v>2.2296262499999999</v>
      </c>
      <c r="F25" s="77"/>
      <c r="G25" s="87">
        <v>7.4999999999999997E-3</v>
      </c>
      <c r="H25" s="81">
        <f>$C$9*$C$10</f>
        <v>297.2835</v>
      </c>
      <c r="I25" s="89">
        <f t="shared" ref="I25:I26" si="8">G25*H25</f>
        <v>2.2296262499999999</v>
      </c>
      <c r="J25" s="65"/>
      <c r="K25" s="95">
        <f t="shared" si="3"/>
        <v>0</v>
      </c>
      <c r="L25" s="96" t="str">
        <f t="shared" si="0"/>
        <v xml:space="preserve"> 0.00%</v>
      </c>
    </row>
    <row r="26" spans="1:12" x14ac:dyDescent="0.25">
      <c r="A26" s="205" t="s">
        <v>49</v>
      </c>
      <c r="B26" s="197" t="s">
        <v>62</v>
      </c>
      <c r="C26" s="87">
        <f>'2017 Bill Impact'!G26</f>
        <v>5.4000000000000003E-3</v>
      </c>
      <c r="D26" s="81">
        <f>$C$9*$C$10</f>
        <v>297.2835</v>
      </c>
      <c r="E26" s="89">
        <f t="shared" si="1"/>
        <v>1.6053309</v>
      </c>
      <c r="F26" s="77"/>
      <c r="G26" s="87">
        <v>5.4000000000000003E-3</v>
      </c>
      <c r="H26" s="81">
        <f>$C$9*$C$10</f>
        <v>297.2835</v>
      </c>
      <c r="I26" s="89">
        <f t="shared" si="8"/>
        <v>1.6053309</v>
      </c>
      <c r="J26" s="65"/>
      <c r="K26" s="95">
        <f t="shared" si="3"/>
        <v>0</v>
      </c>
      <c r="L26" s="96" t="str">
        <f t="shared" si="0"/>
        <v xml:space="preserve"> 0.00%</v>
      </c>
    </row>
    <row r="27" spans="1:12" x14ac:dyDescent="0.25">
      <c r="A27" s="202" t="s">
        <v>50</v>
      </c>
      <c r="B27" s="200"/>
      <c r="C27" s="80"/>
      <c r="D27" s="80"/>
      <c r="E27" s="90">
        <f>SUM(E24:E26)</f>
        <v>30.081893839999999</v>
      </c>
      <c r="F27" s="82"/>
      <c r="G27" s="80"/>
      <c r="H27" s="80"/>
      <c r="I27" s="90">
        <f>SUM(I24:I26)</f>
        <v>32.203793840000003</v>
      </c>
      <c r="J27" s="66"/>
      <c r="K27" s="141">
        <f t="shared" si="3"/>
        <v>2.1219000000000037</v>
      </c>
      <c r="L27" s="97">
        <f t="shared" si="0"/>
        <v>7.05374472526894E-2</v>
      </c>
    </row>
    <row r="28" spans="1:12" x14ac:dyDescent="0.25">
      <c r="A28" s="206" t="s">
        <v>51</v>
      </c>
      <c r="B28" s="197" t="s">
        <v>62</v>
      </c>
      <c r="C28" s="88">
        <f>'2017 Bill Impact'!G28</f>
        <v>4.4000000000000003E-3</v>
      </c>
      <c r="D28" s="81">
        <f>$C$9*$C$10</f>
        <v>297.2835</v>
      </c>
      <c r="E28" s="67">
        <f t="shared" si="1"/>
        <v>1.3080474000000002</v>
      </c>
      <c r="F28" s="79"/>
      <c r="G28" s="88">
        <v>4.4000000000000003E-3</v>
      </c>
      <c r="H28" s="81">
        <f>$C$9*$C$10</f>
        <v>297.2835</v>
      </c>
      <c r="I28" s="67">
        <f t="shared" ref="I28:I32" si="9">G28*H28</f>
        <v>1.3080474000000002</v>
      </c>
      <c r="J28" s="65"/>
      <c r="K28" s="95">
        <f t="shared" si="3"/>
        <v>0</v>
      </c>
      <c r="L28" s="96" t="str">
        <f t="shared" si="0"/>
        <v xml:space="preserve"> 0.00%</v>
      </c>
    </row>
    <row r="29" spans="1:12" x14ac:dyDescent="0.25">
      <c r="A29" s="206" t="s">
        <v>52</v>
      </c>
      <c r="B29" s="197" t="s">
        <v>62</v>
      </c>
      <c r="C29" s="88">
        <f>'2017 Bill Impact'!G29</f>
        <v>1.2999999999999999E-3</v>
      </c>
      <c r="D29" s="81">
        <f>$C$9*$C$10</f>
        <v>297.2835</v>
      </c>
      <c r="E29" s="67">
        <f t="shared" si="1"/>
        <v>0.38646854999999997</v>
      </c>
      <c r="F29" s="79"/>
      <c r="G29" s="88">
        <v>1.2999999999999999E-3</v>
      </c>
      <c r="H29" s="81">
        <f>$C$9*$C$10</f>
        <v>297.2835</v>
      </c>
      <c r="I29" s="67">
        <f t="shared" si="9"/>
        <v>0.38646854999999997</v>
      </c>
      <c r="J29" s="65"/>
      <c r="K29" s="95">
        <f t="shared" si="3"/>
        <v>0</v>
      </c>
      <c r="L29" s="96" t="str">
        <f t="shared" si="0"/>
        <v xml:space="preserve"> 0.00%</v>
      </c>
    </row>
    <row r="30" spans="1:12" x14ac:dyDescent="0.25">
      <c r="A30" s="196" t="s">
        <v>53</v>
      </c>
      <c r="B30" s="197" t="s">
        <v>61</v>
      </c>
      <c r="C30" s="69">
        <f>'2017 Bill Impact'!G30</f>
        <v>0.25</v>
      </c>
      <c r="D30" s="81">
        <v>1</v>
      </c>
      <c r="E30" s="67">
        <f t="shared" si="1"/>
        <v>0.25</v>
      </c>
      <c r="F30" s="79"/>
      <c r="G30" s="69">
        <v>0.25</v>
      </c>
      <c r="H30" s="81">
        <v>1</v>
      </c>
      <c r="I30" s="67">
        <f t="shared" si="9"/>
        <v>0.25</v>
      </c>
      <c r="J30" s="79"/>
      <c r="K30" s="95">
        <f t="shared" si="3"/>
        <v>0</v>
      </c>
      <c r="L30" s="96" t="str">
        <f t="shared" si="0"/>
        <v xml:space="preserve"> 0.00%</v>
      </c>
    </row>
    <row r="31" spans="1:12" x14ac:dyDescent="0.25">
      <c r="A31" s="196" t="s">
        <v>54</v>
      </c>
      <c r="B31" s="197" t="s">
        <v>62</v>
      </c>
      <c r="C31" s="83">
        <f>'2017 Bill Impact'!G31</f>
        <v>0.08</v>
      </c>
      <c r="D31" s="81">
        <f>$C$9*0.64</f>
        <v>182.4</v>
      </c>
      <c r="E31" s="67">
        <f t="shared" si="1"/>
        <v>14.592000000000001</v>
      </c>
      <c r="F31" s="79"/>
      <c r="G31" s="83">
        <v>0.08</v>
      </c>
      <c r="H31" s="81">
        <f>$C$9*0.64</f>
        <v>182.4</v>
      </c>
      <c r="I31" s="67">
        <f t="shared" si="9"/>
        <v>14.592000000000001</v>
      </c>
      <c r="J31" s="79"/>
      <c r="K31" s="95">
        <f t="shared" si="3"/>
        <v>0</v>
      </c>
      <c r="L31" s="96" t="str">
        <f t="shared" si="0"/>
        <v xml:space="preserve"> 0.00%</v>
      </c>
    </row>
    <row r="32" spans="1:12" x14ac:dyDescent="0.25">
      <c r="A32" s="196" t="s">
        <v>55</v>
      </c>
      <c r="B32" s="197" t="s">
        <v>62</v>
      </c>
      <c r="C32" s="83">
        <f>'2017 Bill Impact'!G32</f>
        <v>0.122</v>
      </c>
      <c r="D32" s="81">
        <f>$C$9*0.18</f>
        <v>51.3</v>
      </c>
      <c r="E32" s="67">
        <f t="shared" si="1"/>
        <v>6.2585999999999995</v>
      </c>
      <c r="F32" s="79"/>
      <c r="G32" s="83">
        <v>0.122</v>
      </c>
      <c r="H32" s="81">
        <f>$C$9*0.18</f>
        <v>51.3</v>
      </c>
      <c r="I32" s="67">
        <f t="shared" si="9"/>
        <v>6.2585999999999995</v>
      </c>
      <c r="J32" s="79"/>
      <c r="K32" s="95">
        <f t="shared" si="3"/>
        <v>0</v>
      </c>
      <c r="L32" s="96" t="str">
        <f t="shared" si="0"/>
        <v xml:space="preserve"> 0.00%</v>
      </c>
    </row>
    <row r="33" spans="1:12" ht="15.75" thickBot="1" x14ac:dyDescent="0.3">
      <c r="A33" s="207" t="s">
        <v>56</v>
      </c>
      <c r="B33" s="208" t="s">
        <v>62</v>
      </c>
      <c r="C33" s="83">
        <f>'2017 Bill Impact'!G33</f>
        <v>0.161</v>
      </c>
      <c r="D33" s="81">
        <f>$C$9*0.18</f>
        <v>51.3</v>
      </c>
      <c r="E33" s="67">
        <f>C33*D33</f>
        <v>8.2592999999999996</v>
      </c>
      <c r="F33" s="79"/>
      <c r="G33" s="83">
        <v>0.161</v>
      </c>
      <c r="H33" s="81">
        <f>$C$9*0.18</f>
        <v>51.3</v>
      </c>
      <c r="I33" s="67">
        <f>G33*H33</f>
        <v>8.2592999999999996</v>
      </c>
      <c r="J33" s="79"/>
      <c r="K33" s="95">
        <f t="shared" si="3"/>
        <v>0</v>
      </c>
      <c r="L33" s="96" t="str">
        <f t="shared" si="0"/>
        <v xml:space="preserve"> 0.00%</v>
      </c>
    </row>
    <row r="34" spans="1:12" ht="9" customHeight="1" thickBot="1" x14ac:dyDescent="0.3">
      <c r="A34" s="209"/>
      <c r="B34" s="210"/>
      <c r="C34" s="137"/>
      <c r="D34" s="84"/>
      <c r="E34" s="91"/>
      <c r="F34" s="84"/>
      <c r="G34" s="137"/>
      <c r="H34" s="84"/>
      <c r="I34" s="137"/>
      <c r="J34" s="84"/>
      <c r="K34" s="138"/>
      <c r="L34" s="98"/>
    </row>
    <row r="35" spans="1:12" x14ac:dyDescent="0.25">
      <c r="A35" s="211" t="s">
        <v>57</v>
      </c>
      <c r="B35" s="212"/>
      <c r="C35" s="102"/>
      <c r="D35" s="103"/>
      <c r="E35" s="92">
        <f>SUM(E27:E33)</f>
        <v>61.136309789999999</v>
      </c>
      <c r="F35" s="104"/>
      <c r="G35" s="105"/>
      <c r="H35" s="105"/>
      <c r="I35" s="99">
        <f>SUM(I27:I33)</f>
        <v>63.258209789999995</v>
      </c>
      <c r="J35" s="85"/>
      <c r="K35" s="140">
        <f t="shared" ref="K35:K39" si="10">I35-E35</f>
        <v>2.1218999999999966</v>
      </c>
      <c r="L35" s="68">
        <f t="shared" si="0"/>
        <v>3.4707688561651961E-2</v>
      </c>
    </row>
    <row r="36" spans="1:12" ht="18.75" customHeight="1" x14ac:dyDescent="0.25">
      <c r="A36" s="213" t="s">
        <v>58</v>
      </c>
      <c r="B36" s="214"/>
      <c r="C36" s="102">
        <v>0.13</v>
      </c>
      <c r="D36" s="106"/>
      <c r="E36" s="93">
        <f>E35*C36</f>
        <v>7.9477202726999998</v>
      </c>
      <c r="F36" s="74"/>
      <c r="G36" s="102">
        <v>0.13</v>
      </c>
      <c r="H36" s="74"/>
      <c r="I36" s="100">
        <f>I35*G36</f>
        <v>8.2235672727000004</v>
      </c>
      <c r="J36" s="86"/>
      <c r="K36" s="67">
        <f t="shared" si="10"/>
        <v>0.27584700000000062</v>
      </c>
      <c r="L36" s="96">
        <f t="shared" si="0"/>
        <v>3.4707688561652184E-2</v>
      </c>
    </row>
    <row r="37" spans="1:12" hidden="1" x14ac:dyDescent="0.25">
      <c r="A37" s="215" t="s">
        <v>117</v>
      </c>
      <c r="B37" s="214"/>
      <c r="C37" s="74"/>
      <c r="D37" s="106"/>
      <c r="E37" s="93">
        <f>E35+E36</f>
        <v>69.084030062699995</v>
      </c>
      <c r="F37" s="74"/>
      <c r="G37" s="74"/>
      <c r="H37" s="74"/>
      <c r="I37" s="100">
        <f>I35+I36</f>
        <v>71.48177706269999</v>
      </c>
      <c r="J37" s="86"/>
      <c r="K37" s="67">
        <f t="shared" si="10"/>
        <v>2.3977469999999954</v>
      </c>
      <c r="L37" s="96">
        <f t="shared" ref="L37" si="11">I37/E37-1</f>
        <v>3.4707688561651961E-2</v>
      </c>
    </row>
    <row r="38" spans="1:12" hidden="1" x14ac:dyDescent="0.25">
      <c r="A38" s="216"/>
      <c r="B38" s="214"/>
      <c r="C38" s="74"/>
      <c r="D38" s="106"/>
      <c r="E38" s="94">
        <v>0</v>
      </c>
      <c r="F38" s="74"/>
      <c r="G38" s="74"/>
      <c r="H38" s="74"/>
      <c r="I38" s="101">
        <v>0</v>
      </c>
      <c r="J38" s="86"/>
      <c r="K38" s="67">
        <f t="shared" si="10"/>
        <v>0</v>
      </c>
      <c r="L38" s="101">
        <v>0</v>
      </c>
    </row>
    <row r="39" spans="1:12" ht="15.75" thickBot="1" x14ac:dyDescent="0.3">
      <c r="A39" s="217" t="s">
        <v>96</v>
      </c>
      <c r="B39" s="218"/>
      <c r="C39" s="142"/>
      <c r="D39" s="143"/>
      <c r="E39" s="144">
        <f>E37+E38</f>
        <v>69.084030062699995</v>
      </c>
      <c r="F39" s="145"/>
      <c r="G39" s="145"/>
      <c r="H39" s="145"/>
      <c r="I39" s="149">
        <f>I37+I38</f>
        <v>71.48177706269999</v>
      </c>
      <c r="J39" s="146"/>
      <c r="K39" s="147">
        <f t="shared" si="10"/>
        <v>2.3977469999999954</v>
      </c>
      <c r="L39" s="148">
        <f t="shared" ref="L39" si="12">IF(I39-E39=0, " 0.00%", I39/E39-1)</f>
        <v>3.4707688561651961E-2</v>
      </c>
    </row>
    <row r="40" spans="1:12" ht="9" customHeight="1" thickBot="1" x14ac:dyDescent="0.3">
      <c r="A40" s="209"/>
      <c r="B40" s="210"/>
      <c r="C40" s="137"/>
      <c r="D40" s="84"/>
      <c r="E40" s="91"/>
      <c r="F40" s="84"/>
      <c r="G40" s="137"/>
      <c r="H40" s="84"/>
      <c r="I40" s="137"/>
      <c r="J40" s="84"/>
      <c r="K40" s="138"/>
      <c r="L40" s="98"/>
    </row>
    <row r="43" spans="1:12" x14ac:dyDescent="0.25">
      <c r="A43" s="229" t="s">
        <v>97</v>
      </c>
      <c r="B43" s="230"/>
      <c r="C43" s="231"/>
    </row>
    <row r="44" spans="1:12" hidden="1" x14ac:dyDescent="0.25">
      <c r="A44" s="233"/>
      <c r="B44" s="234"/>
      <c r="C44" s="235"/>
    </row>
    <row r="45" spans="1:12" x14ac:dyDescent="0.25">
      <c r="A45" s="233" t="s">
        <v>66</v>
      </c>
      <c r="B45" s="234"/>
      <c r="C45" s="240">
        <f>'2017 Bill Impact'!C45</f>
        <v>800</v>
      </c>
    </row>
    <row r="46" spans="1:12" x14ac:dyDescent="0.25">
      <c r="A46" s="237" t="s">
        <v>65</v>
      </c>
      <c r="B46" s="238"/>
      <c r="C46" s="241">
        <f>'2017 Bill Impact'!C46</f>
        <v>1.0430999999999999</v>
      </c>
    </row>
    <row r="48" spans="1:12" ht="14.45" x14ac:dyDescent="0.3">
      <c r="A48" s="187"/>
      <c r="B48" s="188"/>
      <c r="C48" s="258" t="s">
        <v>67</v>
      </c>
      <c r="D48" s="259"/>
      <c r="E48" s="260"/>
      <c r="F48" s="187"/>
      <c r="G48" s="258" t="s">
        <v>68</v>
      </c>
      <c r="H48" s="259"/>
      <c r="I48" s="260"/>
      <c r="J48" s="187"/>
      <c r="K48" s="258" t="s">
        <v>39</v>
      </c>
      <c r="L48" s="260"/>
    </row>
    <row r="49" spans="1:12" ht="15" customHeight="1" x14ac:dyDescent="0.25">
      <c r="A49" s="187"/>
      <c r="B49" s="189"/>
      <c r="C49" s="190" t="s">
        <v>108</v>
      </c>
      <c r="D49" s="190" t="s">
        <v>35</v>
      </c>
      <c r="E49" s="191" t="s">
        <v>109</v>
      </c>
      <c r="F49" s="187"/>
      <c r="G49" s="190" t="s">
        <v>108</v>
      </c>
      <c r="H49" s="190" t="s">
        <v>35</v>
      </c>
      <c r="I49" s="191" t="s">
        <v>109</v>
      </c>
      <c r="J49" s="187"/>
      <c r="K49" s="192" t="s">
        <v>40</v>
      </c>
      <c r="L49" s="193" t="s">
        <v>41</v>
      </c>
    </row>
    <row r="50" spans="1:12" x14ac:dyDescent="0.25">
      <c r="A50" s="194" t="s">
        <v>36</v>
      </c>
      <c r="B50" s="195" t="s">
        <v>61</v>
      </c>
      <c r="C50" s="67">
        <f>C14</f>
        <v>19.77</v>
      </c>
      <c r="D50" s="109">
        <v>1</v>
      </c>
      <c r="E50" s="67">
        <f>C50*D50</f>
        <v>19.77</v>
      </c>
      <c r="F50" s="75"/>
      <c r="G50" s="67">
        <f t="shared" ref="G50:G69" si="13">G14</f>
        <v>23.18</v>
      </c>
      <c r="H50" s="109">
        <v>1</v>
      </c>
      <c r="I50" s="67">
        <f>G50*H50</f>
        <v>23.18</v>
      </c>
      <c r="J50" s="75"/>
      <c r="K50" s="67">
        <f>I50-E50</f>
        <v>3.41</v>
      </c>
      <c r="L50" s="96">
        <f t="shared" ref="L50:L72" si="14">IF(I50-E50=0, " 0.00%", I50/E50-1)</f>
        <v>0.17248356095093587</v>
      </c>
    </row>
    <row r="51" spans="1:12" x14ac:dyDescent="0.25">
      <c r="A51" s="196" t="s">
        <v>60</v>
      </c>
      <c r="B51" s="197" t="s">
        <v>61</v>
      </c>
      <c r="C51" s="67">
        <f t="shared" ref="C51:C69" si="15">C15</f>
        <v>-0.19769999999999999</v>
      </c>
      <c r="D51" s="109">
        <v>1</v>
      </c>
      <c r="E51" s="67">
        <f t="shared" ref="E51:E55" si="16">C51*D51</f>
        <v>-0.19769999999999999</v>
      </c>
      <c r="F51" s="75"/>
      <c r="G51" s="67">
        <f t="shared" si="13"/>
        <v>-0.23180000000000001</v>
      </c>
      <c r="H51" s="109">
        <v>1</v>
      </c>
      <c r="I51" s="67">
        <f t="shared" ref="I51:I55" si="17">G51*H51</f>
        <v>-0.23180000000000001</v>
      </c>
      <c r="J51" s="86"/>
      <c r="K51" s="67">
        <f t="shared" ref="K51:K69" si="18">I51-E51</f>
        <v>-3.4100000000000019E-2</v>
      </c>
      <c r="L51" s="96">
        <f t="shared" si="14"/>
        <v>0.17248356095093587</v>
      </c>
    </row>
    <row r="52" spans="1:12" x14ac:dyDescent="0.25">
      <c r="A52" s="196" t="s">
        <v>63</v>
      </c>
      <c r="B52" s="197" t="s">
        <v>61</v>
      </c>
      <c r="C52" s="67">
        <f t="shared" si="15"/>
        <v>0.64</v>
      </c>
      <c r="D52" s="109">
        <v>1</v>
      </c>
      <c r="E52" s="67">
        <f t="shared" si="16"/>
        <v>0.64</v>
      </c>
      <c r="F52" s="75"/>
      <c r="G52" s="67">
        <f t="shared" si="13"/>
        <v>0.64</v>
      </c>
      <c r="H52" s="109">
        <v>1</v>
      </c>
      <c r="I52" s="67">
        <f t="shared" si="17"/>
        <v>0.64</v>
      </c>
      <c r="J52" s="86"/>
      <c r="K52" s="67">
        <f t="shared" si="18"/>
        <v>0</v>
      </c>
      <c r="L52" s="96" t="str">
        <f t="shared" si="14"/>
        <v xml:space="preserve"> 0.00%</v>
      </c>
    </row>
    <row r="53" spans="1:12" x14ac:dyDescent="0.25">
      <c r="A53" s="196" t="s">
        <v>42</v>
      </c>
      <c r="B53" s="197" t="s">
        <v>62</v>
      </c>
      <c r="C53" s="70">
        <f t="shared" si="15"/>
        <v>1.3299999999999999E-2</v>
      </c>
      <c r="D53" s="76">
        <f>$C$45</f>
        <v>800</v>
      </c>
      <c r="E53" s="67">
        <f t="shared" si="16"/>
        <v>10.639999999999999</v>
      </c>
      <c r="F53" s="75"/>
      <c r="G53" s="70">
        <f t="shared" si="13"/>
        <v>8.8999999999999999E-3</v>
      </c>
      <c r="H53" s="76">
        <f>$C$45</f>
        <v>800</v>
      </c>
      <c r="I53" s="67">
        <f t="shared" si="17"/>
        <v>7.12</v>
      </c>
      <c r="J53" s="86"/>
      <c r="K53" s="67">
        <f t="shared" si="18"/>
        <v>-3.5199999999999987</v>
      </c>
      <c r="L53" s="96">
        <f t="shared" si="14"/>
        <v>-0.3308270676691728</v>
      </c>
    </row>
    <row r="54" spans="1:12" x14ac:dyDescent="0.25">
      <c r="A54" s="196" t="s">
        <v>60</v>
      </c>
      <c r="B54" s="197" t="s">
        <v>62</v>
      </c>
      <c r="C54" s="70">
        <f t="shared" si="15"/>
        <v>-1E-4</v>
      </c>
      <c r="D54" s="76">
        <f t="shared" ref="D54:D55" si="19">$C$45</f>
        <v>800</v>
      </c>
      <c r="E54" s="67">
        <f t="shared" si="16"/>
        <v>-0.08</v>
      </c>
      <c r="F54" s="75"/>
      <c r="G54" s="70">
        <f t="shared" si="13"/>
        <v>-1E-4</v>
      </c>
      <c r="H54" s="76">
        <f t="shared" ref="H54:H55" si="20">$C$45</f>
        <v>800</v>
      </c>
      <c r="I54" s="67">
        <f t="shared" si="17"/>
        <v>-0.08</v>
      </c>
      <c r="J54" s="86"/>
      <c r="K54" s="67">
        <f t="shared" si="18"/>
        <v>0</v>
      </c>
      <c r="L54" s="96" t="str">
        <f t="shared" si="14"/>
        <v xml:space="preserve"> 0.00%</v>
      </c>
    </row>
    <row r="55" spans="1:12" x14ac:dyDescent="0.25">
      <c r="A55" s="198" t="s">
        <v>64</v>
      </c>
      <c r="B55" s="197" t="s">
        <v>62</v>
      </c>
      <c r="C55" s="70">
        <f t="shared" si="15"/>
        <v>8.0000000000000004E-4</v>
      </c>
      <c r="D55" s="76">
        <f t="shared" si="19"/>
        <v>800</v>
      </c>
      <c r="E55" s="67">
        <f t="shared" si="16"/>
        <v>0.64</v>
      </c>
      <c r="F55" s="75"/>
      <c r="G55" s="70">
        <f t="shared" si="13"/>
        <v>8.0000000000000004E-4</v>
      </c>
      <c r="H55" s="76">
        <f t="shared" si="20"/>
        <v>800</v>
      </c>
      <c r="I55" s="67">
        <f t="shared" si="17"/>
        <v>0.64</v>
      </c>
      <c r="J55" s="86"/>
      <c r="K55" s="67">
        <f t="shared" si="18"/>
        <v>0</v>
      </c>
      <c r="L55" s="96" t="str">
        <f t="shared" si="14"/>
        <v xml:space="preserve"> 0.00%</v>
      </c>
    </row>
    <row r="56" spans="1:12" x14ac:dyDescent="0.25">
      <c r="A56" s="199" t="s">
        <v>43</v>
      </c>
      <c r="B56" s="200"/>
      <c r="C56" s="64">
        <f t="shared" si="15"/>
        <v>0</v>
      </c>
      <c r="D56" s="80"/>
      <c r="E56" s="63">
        <f>SUM(E50:E55)</f>
        <v>31.412300000000002</v>
      </c>
      <c r="F56" s="77"/>
      <c r="G56" s="64">
        <f t="shared" si="13"/>
        <v>0</v>
      </c>
      <c r="H56" s="80"/>
      <c r="I56" s="63">
        <f>SUM(I50:I55)</f>
        <v>31.268200000000004</v>
      </c>
      <c r="J56" s="65"/>
      <c r="K56" s="141">
        <f t="shared" si="18"/>
        <v>-0.14409999999999812</v>
      </c>
      <c r="L56" s="97">
        <f t="shared" si="14"/>
        <v>-4.5873750091524057E-3</v>
      </c>
    </row>
    <row r="57" spans="1:12" x14ac:dyDescent="0.25">
      <c r="A57" s="201" t="s">
        <v>44</v>
      </c>
      <c r="B57" s="197" t="s">
        <v>62</v>
      </c>
      <c r="C57" s="87">
        <f t="shared" si="15"/>
        <v>0.10214000000000001</v>
      </c>
      <c r="D57" s="78">
        <f>($C$45*$C$46)-$C$45</f>
        <v>34.479999999999905</v>
      </c>
      <c r="E57" s="89">
        <f t="shared" ref="E57" si="21">C57*D57</f>
        <v>3.5217871999999906</v>
      </c>
      <c r="F57" s="77"/>
      <c r="G57" s="87">
        <f t="shared" si="13"/>
        <v>0.10214000000000001</v>
      </c>
      <c r="H57" s="78">
        <f>($C$45*$C$46)-$C$45</f>
        <v>34.479999999999905</v>
      </c>
      <c r="I57" s="89">
        <f t="shared" ref="I57" si="22">G57*H57</f>
        <v>3.5217871999999906</v>
      </c>
      <c r="J57" s="65"/>
      <c r="K57" s="67">
        <f t="shared" si="18"/>
        <v>0</v>
      </c>
      <c r="L57" s="96" t="str">
        <f t="shared" si="14"/>
        <v xml:space="preserve"> 0.00%</v>
      </c>
    </row>
    <row r="58" spans="1:12" hidden="1" x14ac:dyDescent="0.25">
      <c r="A58" s="201" t="s">
        <v>45</v>
      </c>
      <c r="B58" s="197" t="s">
        <v>62</v>
      </c>
      <c r="C58" s="108">
        <f t="shared" si="15"/>
        <v>0</v>
      </c>
      <c r="D58" s="78">
        <v>0</v>
      </c>
      <c r="E58" s="89">
        <v>0</v>
      </c>
      <c r="F58" s="77"/>
      <c r="G58" s="108">
        <f t="shared" si="13"/>
        <v>0</v>
      </c>
      <c r="H58" s="78">
        <v>0</v>
      </c>
      <c r="I58" s="89">
        <v>0</v>
      </c>
      <c r="J58" s="65"/>
      <c r="K58" s="67">
        <f t="shared" si="18"/>
        <v>0</v>
      </c>
      <c r="L58" s="96" t="str">
        <f t="shared" si="14"/>
        <v xml:space="preserve"> 0.00%</v>
      </c>
    </row>
    <row r="59" spans="1:12" x14ac:dyDescent="0.25">
      <c r="A59" s="196" t="s">
        <v>46</v>
      </c>
      <c r="B59" s="197" t="s">
        <v>61</v>
      </c>
      <c r="C59" s="107">
        <f t="shared" si="15"/>
        <v>0.79</v>
      </c>
      <c r="D59" s="78">
        <v>1</v>
      </c>
      <c r="E59" s="89">
        <f t="shared" ref="E59" si="23">C59*D59</f>
        <v>0.79</v>
      </c>
      <c r="F59" s="77"/>
      <c r="G59" s="107">
        <f t="shared" si="13"/>
        <v>0.79</v>
      </c>
      <c r="H59" s="78">
        <v>1</v>
      </c>
      <c r="I59" s="89">
        <f t="shared" ref="I59" si="24">G59*H59</f>
        <v>0.79</v>
      </c>
      <c r="J59" s="65"/>
      <c r="K59" s="67">
        <f t="shared" si="18"/>
        <v>0</v>
      </c>
      <c r="L59" s="96" t="str">
        <f t="shared" si="14"/>
        <v xml:space="preserve"> 0.00%</v>
      </c>
    </row>
    <row r="60" spans="1:12" x14ac:dyDescent="0.25">
      <c r="A60" s="202" t="s">
        <v>47</v>
      </c>
      <c r="B60" s="203"/>
      <c r="C60" s="80">
        <f t="shared" si="15"/>
        <v>0</v>
      </c>
      <c r="D60" s="80"/>
      <c r="E60" s="90">
        <f>SUM(E56:E59)</f>
        <v>35.724087199999992</v>
      </c>
      <c r="F60" s="77"/>
      <c r="G60" s="80">
        <f t="shared" si="13"/>
        <v>0</v>
      </c>
      <c r="H60" s="80"/>
      <c r="I60" s="90">
        <f>SUM(I56:I59)</f>
        <v>35.579987199999991</v>
      </c>
      <c r="J60" s="65"/>
      <c r="K60" s="141">
        <f t="shared" si="18"/>
        <v>-0.14410000000000167</v>
      </c>
      <c r="L60" s="97">
        <f t="shared" si="14"/>
        <v>-4.0336929868428628E-3</v>
      </c>
    </row>
    <row r="61" spans="1:12" x14ac:dyDescent="0.25">
      <c r="A61" s="204" t="s">
        <v>48</v>
      </c>
      <c r="B61" s="197" t="s">
        <v>62</v>
      </c>
      <c r="C61" s="87">
        <f t="shared" si="15"/>
        <v>7.4999999999999997E-3</v>
      </c>
      <c r="D61" s="81">
        <f>$C$45*$C$46</f>
        <v>834.4799999999999</v>
      </c>
      <c r="E61" s="89">
        <f t="shared" ref="E61:E62" si="25">C61*D61</f>
        <v>6.2585999999999986</v>
      </c>
      <c r="F61" s="77"/>
      <c r="G61" s="87">
        <f t="shared" si="13"/>
        <v>7.4999999999999997E-3</v>
      </c>
      <c r="H61" s="81">
        <f>$C$45*$C$46</f>
        <v>834.4799999999999</v>
      </c>
      <c r="I61" s="89">
        <f t="shared" ref="I61:I62" si="26">G61*H61</f>
        <v>6.2585999999999986</v>
      </c>
      <c r="J61" s="65"/>
      <c r="K61" s="95">
        <f t="shared" si="18"/>
        <v>0</v>
      </c>
      <c r="L61" s="96" t="str">
        <f t="shared" si="14"/>
        <v xml:space="preserve"> 0.00%</v>
      </c>
    </row>
    <row r="62" spans="1:12" x14ac:dyDescent="0.25">
      <c r="A62" s="205" t="s">
        <v>49</v>
      </c>
      <c r="B62" s="197" t="s">
        <v>62</v>
      </c>
      <c r="C62" s="87">
        <f t="shared" si="15"/>
        <v>5.4000000000000003E-3</v>
      </c>
      <c r="D62" s="81">
        <f>$C$45*$C$46</f>
        <v>834.4799999999999</v>
      </c>
      <c r="E62" s="89">
        <f t="shared" si="25"/>
        <v>4.5061919999999995</v>
      </c>
      <c r="F62" s="77"/>
      <c r="G62" s="87">
        <f t="shared" si="13"/>
        <v>5.4000000000000003E-3</v>
      </c>
      <c r="H62" s="81">
        <f>$C$45*$C$46</f>
        <v>834.4799999999999</v>
      </c>
      <c r="I62" s="89">
        <f t="shared" si="26"/>
        <v>4.5061919999999995</v>
      </c>
      <c r="J62" s="65"/>
      <c r="K62" s="95">
        <f t="shared" si="18"/>
        <v>0</v>
      </c>
      <c r="L62" s="96" t="str">
        <f t="shared" si="14"/>
        <v xml:space="preserve"> 0.00%</v>
      </c>
    </row>
    <row r="63" spans="1:12" x14ac:dyDescent="0.25">
      <c r="A63" s="202" t="s">
        <v>50</v>
      </c>
      <c r="B63" s="200"/>
      <c r="C63" s="80">
        <f t="shared" si="15"/>
        <v>0</v>
      </c>
      <c r="D63" s="80"/>
      <c r="E63" s="90">
        <f>SUM(E60:E62)</f>
        <v>46.488879199999992</v>
      </c>
      <c r="F63" s="82"/>
      <c r="G63" s="80">
        <f t="shared" si="13"/>
        <v>0</v>
      </c>
      <c r="H63" s="80"/>
      <c r="I63" s="90">
        <f>SUM(I60:I62)</f>
        <v>46.344779199999991</v>
      </c>
      <c r="J63" s="66"/>
      <c r="K63" s="141">
        <f t="shared" si="18"/>
        <v>-0.14410000000000167</v>
      </c>
      <c r="L63" s="97">
        <f t="shared" si="14"/>
        <v>-3.0996660379801755E-3</v>
      </c>
    </row>
    <row r="64" spans="1:12" x14ac:dyDescent="0.25">
      <c r="A64" s="206" t="s">
        <v>51</v>
      </c>
      <c r="B64" s="197" t="s">
        <v>62</v>
      </c>
      <c r="C64" s="88">
        <f t="shared" si="15"/>
        <v>4.4000000000000003E-3</v>
      </c>
      <c r="D64" s="81">
        <f t="shared" ref="D64:D65" si="27">$C$45*$C$46</f>
        <v>834.4799999999999</v>
      </c>
      <c r="E64" s="67">
        <f t="shared" ref="E64:E68" si="28">C64*D64</f>
        <v>3.6717119999999999</v>
      </c>
      <c r="F64" s="79"/>
      <c r="G64" s="88">
        <f t="shared" si="13"/>
        <v>4.4000000000000003E-3</v>
      </c>
      <c r="H64" s="81">
        <f t="shared" ref="H64:H65" si="29">$C$45*$C$46</f>
        <v>834.4799999999999</v>
      </c>
      <c r="I64" s="67">
        <f t="shared" ref="I64:I68" si="30">G64*H64</f>
        <v>3.6717119999999999</v>
      </c>
      <c r="J64" s="65"/>
      <c r="K64" s="95">
        <f t="shared" si="18"/>
        <v>0</v>
      </c>
      <c r="L64" s="96" t="str">
        <f t="shared" si="14"/>
        <v xml:space="preserve"> 0.00%</v>
      </c>
    </row>
    <row r="65" spans="1:12" x14ac:dyDescent="0.25">
      <c r="A65" s="206" t="s">
        <v>52</v>
      </c>
      <c r="B65" s="197" t="s">
        <v>62</v>
      </c>
      <c r="C65" s="88">
        <f t="shared" si="15"/>
        <v>1.2999999999999999E-3</v>
      </c>
      <c r="D65" s="81">
        <f t="shared" si="27"/>
        <v>834.4799999999999</v>
      </c>
      <c r="E65" s="67">
        <f t="shared" si="28"/>
        <v>1.0848239999999998</v>
      </c>
      <c r="F65" s="79"/>
      <c r="G65" s="88">
        <f t="shared" si="13"/>
        <v>1.2999999999999999E-3</v>
      </c>
      <c r="H65" s="81">
        <f t="shared" si="29"/>
        <v>834.4799999999999</v>
      </c>
      <c r="I65" s="67">
        <f t="shared" si="30"/>
        <v>1.0848239999999998</v>
      </c>
      <c r="J65" s="65"/>
      <c r="K65" s="95">
        <f t="shared" si="18"/>
        <v>0</v>
      </c>
      <c r="L65" s="96" t="str">
        <f t="shared" si="14"/>
        <v xml:space="preserve"> 0.00%</v>
      </c>
    </row>
    <row r="66" spans="1:12" x14ac:dyDescent="0.25">
      <c r="A66" s="196" t="s">
        <v>53</v>
      </c>
      <c r="B66" s="197" t="s">
        <v>61</v>
      </c>
      <c r="C66" s="69">
        <f t="shared" si="15"/>
        <v>0.25</v>
      </c>
      <c r="D66" s="81">
        <v>1</v>
      </c>
      <c r="E66" s="67">
        <f t="shared" si="28"/>
        <v>0.25</v>
      </c>
      <c r="F66" s="79"/>
      <c r="G66" s="69">
        <f t="shared" si="13"/>
        <v>0.25</v>
      </c>
      <c r="H66" s="81">
        <v>1</v>
      </c>
      <c r="I66" s="67">
        <f t="shared" si="30"/>
        <v>0.25</v>
      </c>
      <c r="J66" s="79"/>
      <c r="K66" s="95">
        <f t="shared" si="18"/>
        <v>0</v>
      </c>
      <c r="L66" s="96" t="str">
        <f t="shared" si="14"/>
        <v xml:space="preserve"> 0.00%</v>
      </c>
    </row>
    <row r="67" spans="1:12" x14ac:dyDescent="0.25">
      <c r="A67" s="196" t="s">
        <v>54</v>
      </c>
      <c r="B67" s="197" t="s">
        <v>62</v>
      </c>
      <c r="C67" s="83">
        <f t="shared" si="15"/>
        <v>0.08</v>
      </c>
      <c r="D67" s="81">
        <f>$C$45*0.64</f>
        <v>512</v>
      </c>
      <c r="E67" s="67">
        <f t="shared" si="28"/>
        <v>40.96</v>
      </c>
      <c r="F67" s="79"/>
      <c r="G67" s="83">
        <f t="shared" si="13"/>
        <v>0.08</v>
      </c>
      <c r="H67" s="81">
        <f>$C$45*0.64</f>
        <v>512</v>
      </c>
      <c r="I67" s="67">
        <f t="shared" si="30"/>
        <v>40.96</v>
      </c>
      <c r="J67" s="79"/>
      <c r="K67" s="95">
        <f t="shared" si="18"/>
        <v>0</v>
      </c>
      <c r="L67" s="96" t="str">
        <f t="shared" si="14"/>
        <v xml:space="preserve"> 0.00%</v>
      </c>
    </row>
    <row r="68" spans="1:12" x14ac:dyDescent="0.25">
      <c r="A68" s="196" t="s">
        <v>55</v>
      </c>
      <c r="B68" s="197" t="s">
        <v>62</v>
      </c>
      <c r="C68" s="83">
        <f t="shared" si="15"/>
        <v>0.122</v>
      </c>
      <c r="D68" s="81">
        <f>$C$45*0.18</f>
        <v>144</v>
      </c>
      <c r="E68" s="67">
        <f t="shared" si="28"/>
        <v>17.567999999999998</v>
      </c>
      <c r="F68" s="79"/>
      <c r="G68" s="83">
        <f t="shared" si="13"/>
        <v>0.122</v>
      </c>
      <c r="H68" s="81">
        <f>$C$45*0.18</f>
        <v>144</v>
      </c>
      <c r="I68" s="67">
        <f t="shared" si="30"/>
        <v>17.567999999999998</v>
      </c>
      <c r="J68" s="79"/>
      <c r="K68" s="95">
        <f t="shared" si="18"/>
        <v>0</v>
      </c>
      <c r="L68" s="96" t="str">
        <f t="shared" si="14"/>
        <v xml:space="preserve"> 0.00%</v>
      </c>
    </row>
    <row r="69" spans="1:12" ht="15.75" thickBot="1" x14ac:dyDescent="0.3">
      <c r="A69" s="207" t="s">
        <v>56</v>
      </c>
      <c r="B69" s="208" t="s">
        <v>62</v>
      </c>
      <c r="C69" s="83">
        <f t="shared" si="15"/>
        <v>0.161</v>
      </c>
      <c r="D69" s="81">
        <f>$C$45*0.18</f>
        <v>144</v>
      </c>
      <c r="E69" s="67">
        <f>C69*D69</f>
        <v>23.184000000000001</v>
      </c>
      <c r="F69" s="79"/>
      <c r="G69" s="83">
        <f t="shared" si="13"/>
        <v>0.161</v>
      </c>
      <c r="H69" s="81">
        <f>$C$45*0.18</f>
        <v>144</v>
      </c>
      <c r="I69" s="67">
        <f>G69*H69</f>
        <v>23.184000000000001</v>
      </c>
      <c r="J69" s="79"/>
      <c r="K69" s="95">
        <f t="shared" si="18"/>
        <v>0</v>
      </c>
      <c r="L69" s="96" t="str">
        <f t="shared" si="14"/>
        <v xml:space="preserve"> 0.00%</v>
      </c>
    </row>
    <row r="70" spans="1:12" ht="9" customHeight="1" thickBot="1" x14ac:dyDescent="0.3">
      <c r="A70" s="209"/>
      <c r="B70" s="210"/>
      <c r="C70" s="137"/>
      <c r="D70" s="84"/>
      <c r="E70" s="91"/>
      <c r="F70" s="84"/>
      <c r="G70" s="137"/>
      <c r="H70" s="84"/>
      <c r="I70" s="137"/>
      <c r="J70" s="84"/>
      <c r="K70" s="138"/>
      <c r="L70" s="98"/>
    </row>
    <row r="71" spans="1:12" x14ac:dyDescent="0.25">
      <c r="A71" s="211" t="s">
        <v>57</v>
      </c>
      <c r="B71" s="212"/>
      <c r="C71" s="102"/>
      <c r="D71" s="103"/>
      <c r="E71" s="92">
        <f>SUM(E63:E69)</f>
        <v>133.20741519999999</v>
      </c>
      <c r="F71" s="104"/>
      <c r="G71" s="105"/>
      <c r="H71" s="103"/>
      <c r="I71" s="139">
        <f>SUM(I63:I69)</f>
        <v>133.06331520000001</v>
      </c>
      <c r="J71" s="85"/>
      <c r="K71" s="140">
        <f t="shared" ref="K71:K75" si="31">I71-E71</f>
        <v>-0.14409999999998035</v>
      </c>
      <c r="L71" s="68">
        <f t="shared" si="14"/>
        <v>-1.0817716099634778E-3</v>
      </c>
    </row>
    <row r="72" spans="1:12" x14ac:dyDescent="0.25">
      <c r="A72" s="213" t="s">
        <v>58</v>
      </c>
      <c r="B72" s="214"/>
      <c r="C72" s="102">
        <v>0.13</v>
      </c>
      <c r="D72" s="106"/>
      <c r="E72" s="93">
        <f>E71*C72</f>
        <v>17.316963976</v>
      </c>
      <c r="F72" s="74"/>
      <c r="G72" s="102">
        <v>0.13</v>
      </c>
      <c r="H72" s="106"/>
      <c r="I72" s="100">
        <f>I71*G72</f>
        <v>17.298230976000003</v>
      </c>
      <c r="J72" s="86"/>
      <c r="K72" s="67">
        <f t="shared" si="31"/>
        <v>-1.8732999999997446E-2</v>
      </c>
      <c r="L72" s="96">
        <f t="shared" si="14"/>
        <v>-1.0817716099634778E-3</v>
      </c>
    </row>
    <row r="73" spans="1:12" ht="15" hidden="1" customHeight="1" x14ac:dyDescent="0.25">
      <c r="A73" s="215" t="s">
        <v>117</v>
      </c>
      <c r="B73" s="214"/>
      <c r="C73" s="74"/>
      <c r="D73" s="106"/>
      <c r="E73" s="93">
        <f>E71+E72</f>
        <v>150.524379176</v>
      </c>
      <c r="F73" s="74"/>
      <c r="G73" s="74"/>
      <c r="H73" s="106"/>
      <c r="I73" s="100">
        <f>I71+I72</f>
        <v>150.36154617600002</v>
      </c>
      <c r="J73" s="86"/>
      <c r="K73" s="67">
        <f t="shared" si="31"/>
        <v>-0.1628329999999778</v>
      </c>
      <c r="L73" s="96">
        <f t="shared" ref="L73" si="32">I73/E73-1</f>
        <v>-1.0817716099634778E-3</v>
      </c>
    </row>
    <row r="74" spans="1:12" ht="15" hidden="1" customHeight="1" x14ac:dyDescent="0.25">
      <c r="A74" s="216"/>
      <c r="B74" s="214"/>
      <c r="C74" s="74"/>
      <c r="D74" s="106"/>
      <c r="E74" s="94">
        <v>0</v>
      </c>
      <c r="F74" s="74"/>
      <c r="G74" s="74"/>
      <c r="H74" s="106"/>
      <c r="I74" s="101">
        <v>0</v>
      </c>
      <c r="J74" s="86"/>
      <c r="K74" s="67">
        <f t="shared" si="31"/>
        <v>0</v>
      </c>
      <c r="L74" s="101">
        <v>0</v>
      </c>
    </row>
    <row r="75" spans="1:12" ht="15.75" thickBot="1" x14ac:dyDescent="0.3">
      <c r="A75" s="217" t="s">
        <v>96</v>
      </c>
      <c r="B75" s="218"/>
      <c r="C75" s="142"/>
      <c r="D75" s="143"/>
      <c r="E75" s="144">
        <f>E73+E74</f>
        <v>150.524379176</v>
      </c>
      <c r="F75" s="145"/>
      <c r="G75" s="145"/>
      <c r="H75" s="145"/>
      <c r="I75" s="149">
        <f>I73+I74</f>
        <v>150.36154617600002</v>
      </c>
      <c r="J75" s="146"/>
      <c r="K75" s="147">
        <f t="shared" si="31"/>
        <v>-0.1628329999999778</v>
      </c>
      <c r="L75" s="148">
        <f t="shared" ref="L75" si="33">IF(I75-E75=0, " 0.00%", I75/E75-1)</f>
        <v>-1.0817716099634778E-3</v>
      </c>
    </row>
    <row r="76" spans="1:12" ht="9" customHeight="1" thickBot="1" x14ac:dyDescent="0.3">
      <c r="A76" s="209"/>
      <c r="B76" s="210"/>
      <c r="C76" s="137"/>
      <c r="D76" s="84"/>
      <c r="E76" s="91"/>
      <c r="F76" s="84"/>
      <c r="G76" s="137"/>
      <c r="H76" s="84"/>
      <c r="I76" s="137"/>
      <c r="J76" s="84"/>
      <c r="K76" s="138"/>
      <c r="L76" s="98"/>
    </row>
    <row r="79" spans="1:12" x14ac:dyDescent="0.25">
      <c r="A79" s="229" t="s">
        <v>97</v>
      </c>
      <c r="B79" s="230"/>
      <c r="C79" s="231"/>
    </row>
    <row r="80" spans="1:12" hidden="1" x14ac:dyDescent="0.25">
      <c r="A80" s="233"/>
      <c r="B80" s="234"/>
      <c r="C80" s="235"/>
    </row>
    <row r="81" spans="1:12" x14ac:dyDescent="0.25">
      <c r="A81" s="233" t="s">
        <v>66</v>
      </c>
      <c r="B81" s="234"/>
      <c r="C81" s="240">
        <f>'2017 Bill Impact'!C81</f>
        <v>1500</v>
      </c>
    </row>
    <row r="82" spans="1:12" x14ac:dyDescent="0.25">
      <c r="A82" s="237" t="s">
        <v>65</v>
      </c>
      <c r="B82" s="238"/>
      <c r="C82" s="241">
        <f>'2017 Bill Impact'!C82</f>
        <v>1.0430999999999999</v>
      </c>
    </row>
    <row r="84" spans="1:12" x14ac:dyDescent="0.25">
      <c r="A84" s="187"/>
      <c r="B84" s="188"/>
      <c r="C84" s="258" t="s">
        <v>67</v>
      </c>
      <c r="D84" s="259"/>
      <c r="E84" s="260"/>
      <c r="F84" s="187"/>
      <c r="G84" s="258" t="s">
        <v>68</v>
      </c>
      <c r="H84" s="259"/>
      <c r="I84" s="260"/>
      <c r="J84" s="187"/>
      <c r="K84" s="258" t="s">
        <v>39</v>
      </c>
      <c r="L84" s="260"/>
    </row>
    <row r="85" spans="1:12" ht="15" customHeight="1" x14ac:dyDescent="0.25">
      <c r="A85" s="187"/>
      <c r="B85" s="189"/>
      <c r="C85" s="190" t="s">
        <v>108</v>
      </c>
      <c r="D85" s="190" t="s">
        <v>35</v>
      </c>
      <c r="E85" s="191" t="s">
        <v>109</v>
      </c>
      <c r="F85" s="187"/>
      <c r="G85" s="190" t="s">
        <v>108</v>
      </c>
      <c r="H85" s="190" t="s">
        <v>35</v>
      </c>
      <c r="I85" s="191" t="s">
        <v>109</v>
      </c>
      <c r="J85" s="187"/>
      <c r="K85" s="192" t="s">
        <v>40</v>
      </c>
      <c r="L85" s="193" t="s">
        <v>41</v>
      </c>
    </row>
    <row r="86" spans="1:12" x14ac:dyDescent="0.25">
      <c r="A86" s="194" t="s">
        <v>36</v>
      </c>
      <c r="B86" s="195" t="s">
        <v>61</v>
      </c>
      <c r="C86" s="67">
        <f>C50</f>
        <v>19.77</v>
      </c>
      <c r="D86" s="109">
        <v>1</v>
      </c>
      <c r="E86" s="67">
        <f>C86*D86</f>
        <v>19.77</v>
      </c>
      <c r="F86" s="75"/>
      <c r="G86" s="67">
        <f>G50</f>
        <v>23.18</v>
      </c>
      <c r="H86" s="109">
        <v>1</v>
      </c>
      <c r="I86" s="67">
        <f>G86*H86</f>
        <v>23.18</v>
      </c>
      <c r="J86" s="75"/>
      <c r="K86" s="67">
        <f>I86-E86</f>
        <v>3.41</v>
      </c>
      <c r="L86" s="96">
        <f t="shared" ref="L86:L108" si="34">IF(I86-E86=0, " 0.00%", I86/E86-1)</f>
        <v>0.17248356095093587</v>
      </c>
    </row>
    <row r="87" spans="1:12" x14ac:dyDescent="0.25">
      <c r="A87" s="196" t="s">
        <v>60</v>
      </c>
      <c r="B87" s="197" t="s">
        <v>61</v>
      </c>
      <c r="C87" s="67">
        <f t="shared" ref="C87:C105" si="35">C51</f>
        <v>-0.19769999999999999</v>
      </c>
      <c r="D87" s="109">
        <v>1</v>
      </c>
      <c r="E87" s="67">
        <f t="shared" ref="E87:E91" si="36">C87*D87</f>
        <v>-0.19769999999999999</v>
      </c>
      <c r="F87" s="75"/>
      <c r="G87" s="67">
        <f t="shared" ref="G87:G105" si="37">G51</f>
        <v>-0.23180000000000001</v>
      </c>
      <c r="H87" s="109">
        <v>1</v>
      </c>
      <c r="I87" s="67">
        <f t="shared" ref="I87:I91" si="38">G87*H87</f>
        <v>-0.23180000000000001</v>
      </c>
      <c r="J87" s="86"/>
      <c r="K87" s="67">
        <f t="shared" ref="K87:K105" si="39">I87-E87</f>
        <v>-3.4100000000000019E-2</v>
      </c>
      <c r="L87" s="96">
        <f t="shared" si="34"/>
        <v>0.17248356095093587</v>
      </c>
    </row>
    <row r="88" spans="1:12" x14ac:dyDescent="0.25">
      <c r="A88" s="196" t="s">
        <v>63</v>
      </c>
      <c r="B88" s="197" t="s">
        <v>61</v>
      </c>
      <c r="C88" s="67">
        <f t="shared" si="35"/>
        <v>0.64</v>
      </c>
      <c r="D88" s="109">
        <v>1</v>
      </c>
      <c r="E88" s="67">
        <f t="shared" si="36"/>
        <v>0.64</v>
      </c>
      <c r="F88" s="75"/>
      <c r="G88" s="67">
        <f t="shared" si="37"/>
        <v>0.64</v>
      </c>
      <c r="H88" s="109">
        <v>1</v>
      </c>
      <c r="I88" s="67">
        <f t="shared" si="38"/>
        <v>0.64</v>
      </c>
      <c r="J88" s="86"/>
      <c r="K88" s="67">
        <f t="shared" si="39"/>
        <v>0</v>
      </c>
      <c r="L88" s="96" t="str">
        <f t="shared" si="34"/>
        <v xml:space="preserve"> 0.00%</v>
      </c>
    </row>
    <row r="89" spans="1:12" x14ac:dyDescent="0.25">
      <c r="A89" s="196" t="s">
        <v>42</v>
      </c>
      <c r="B89" s="197" t="s">
        <v>62</v>
      </c>
      <c r="C89" s="70">
        <f t="shared" si="35"/>
        <v>1.3299999999999999E-2</v>
      </c>
      <c r="D89" s="76">
        <f>$C$81</f>
        <v>1500</v>
      </c>
      <c r="E89" s="67">
        <f t="shared" si="36"/>
        <v>19.95</v>
      </c>
      <c r="F89" s="75"/>
      <c r="G89" s="70">
        <f t="shared" si="37"/>
        <v>8.8999999999999999E-3</v>
      </c>
      <c r="H89" s="76">
        <f>$C$81</f>
        <v>1500</v>
      </c>
      <c r="I89" s="67">
        <f t="shared" si="38"/>
        <v>13.35</v>
      </c>
      <c r="J89" s="86"/>
      <c r="K89" s="67">
        <f t="shared" si="39"/>
        <v>-6.6</v>
      </c>
      <c r="L89" s="96">
        <f t="shared" si="34"/>
        <v>-0.33082706766917291</v>
      </c>
    </row>
    <row r="90" spans="1:12" x14ac:dyDescent="0.25">
      <c r="A90" s="196" t="s">
        <v>60</v>
      </c>
      <c r="B90" s="197" t="s">
        <v>62</v>
      </c>
      <c r="C90" s="70">
        <f t="shared" si="35"/>
        <v>-1E-4</v>
      </c>
      <c r="D90" s="76">
        <f>$C$81</f>
        <v>1500</v>
      </c>
      <c r="E90" s="67">
        <f t="shared" si="36"/>
        <v>-0.15</v>
      </c>
      <c r="F90" s="75"/>
      <c r="G90" s="70">
        <f t="shared" si="37"/>
        <v>-1E-4</v>
      </c>
      <c r="H90" s="76">
        <f>$C$81</f>
        <v>1500</v>
      </c>
      <c r="I90" s="67">
        <f t="shared" si="38"/>
        <v>-0.15</v>
      </c>
      <c r="J90" s="86"/>
      <c r="K90" s="67">
        <f t="shared" si="39"/>
        <v>0</v>
      </c>
      <c r="L90" s="96" t="str">
        <f t="shared" si="34"/>
        <v xml:space="preserve"> 0.00%</v>
      </c>
    </row>
    <row r="91" spans="1:12" x14ac:dyDescent="0.25">
      <c r="A91" s="198" t="s">
        <v>64</v>
      </c>
      <c r="B91" s="197" t="s">
        <v>62</v>
      </c>
      <c r="C91" s="70">
        <f t="shared" si="35"/>
        <v>8.0000000000000004E-4</v>
      </c>
      <c r="D91" s="76">
        <f>$C$81</f>
        <v>1500</v>
      </c>
      <c r="E91" s="67">
        <f t="shared" si="36"/>
        <v>1.2</v>
      </c>
      <c r="F91" s="75"/>
      <c r="G91" s="70">
        <f t="shared" si="37"/>
        <v>8.0000000000000004E-4</v>
      </c>
      <c r="H91" s="76">
        <f>$C$81</f>
        <v>1500</v>
      </c>
      <c r="I91" s="67">
        <f t="shared" si="38"/>
        <v>1.2</v>
      </c>
      <c r="J91" s="86"/>
      <c r="K91" s="67">
        <f t="shared" si="39"/>
        <v>0</v>
      </c>
      <c r="L91" s="96" t="str">
        <f t="shared" si="34"/>
        <v xml:space="preserve"> 0.00%</v>
      </c>
    </row>
    <row r="92" spans="1:12" x14ac:dyDescent="0.25">
      <c r="A92" s="199" t="s">
        <v>43</v>
      </c>
      <c r="B92" s="200"/>
      <c r="C92" s="64">
        <f t="shared" si="35"/>
        <v>0</v>
      </c>
      <c r="D92" s="80"/>
      <c r="E92" s="63">
        <f>SUM(E86:E91)</f>
        <v>41.212300000000006</v>
      </c>
      <c r="F92" s="77"/>
      <c r="G92" s="64">
        <f t="shared" si="37"/>
        <v>0</v>
      </c>
      <c r="H92" s="80"/>
      <c r="I92" s="63">
        <f>SUM(I86:I91)</f>
        <v>37.988200000000006</v>
      </c>
      <c r="J92" s="65"/>
      <c r="K92" s="141">
        <f t="shared" si="39"/>
        <v>-3.2241</v>
      </c>
      <c r="L92" s="97">
        <f t="shared" si="34"/>
        <v>-7.8231498848644665E-2</v>
      </c>
    </row>
    <row r="93" spans="1:12" x14ac:dyDescent="0.25">
      <c r="A93" s="201" t="s">
        <v>44</v>
      </c>
      <c r="B93" s="197" t="s">
        <v>62</v>
      </c>
      <c r="C93" s="87">
        <f t="shared" si="35"/>
        <v>0.10214000000000001</v>
      </c>
      <c r="D93" s="78">
        <f>($C$81*$C$46)-$C$81</f>
        <v>64.649999999999864</v>
      </c>
      <c r="E93" s="89">
        <f t="shared" ref="E93" si="40">C93*D93</f>
        <v>6.6033509999999866</v>
      </c>
      <c r="F93" s="77"/>
      <c r="G93" s="87">
        <f t="shared" si="37"/>
        <v>0.10214000000000001</v>
      </c>
      <c r="H93" s="78">
        <f>($C$81*$C$46)-$C$81</f>
        <v>64.649999999999864</v>
      </c>
      <c r="I93" s="89">
        <f t="shared" ref="I93" si="41">G93*H93</f>
        <v>6.6033509999999866</v>
      </c>
      <c r="J93" s="65"/>
      <c r="K93" s="67">
        <f t="shared" si="39"/>
        <v>0</v>
      </c>
      <c r="L93" s="96" t="str">
        <f t="shared" si="34"/>
        <v xml:space="preserve"> 0.00%</v>
      </c>
    </row>
    <row r="94" spans="1:12" hidden="1" x14ac:dyDescent="0.25">
      <c r="A94" s="201" t="s">
        <v>45</v>
      </c>
      <c r="B94" s="197" t="s">
        <v>62</v>
      </c>
      <c r="C94" s="108">
        <f t="shared" si="35"/>
        <v>0</v>
      </c>
      <c r="D94" s="78">
        <v>0</v>
      </c>
      <c r="E94" s="89">
        <v>0</v>
      </c>
      <c r="F94" s="77"/>
      <c r="G94" s="108">
        <f t="shared" si="37"/>
        <v>0</v>
      </c>
      <c r="H94" s="78">
        <v>0</v>
      </c>
      <c r="I94" s="89">
        <v>0</v>
      </c>
      <c r="J94" s="65"/>
      <c r="K94" s="67">
        <f t="shared" si="39"/>
        <v>0</v>
      </c>
      <c r="L94" s="96" t="str">
        <f t="shared" si="34"/>
        <v xml:space="preserve"> 0.00%</v>
      </c>
    </row>
    <row r="95" spans="1:12" x14ac:dyDescent="0.25">
      <c r="A95" s="196" t="s">
        <v>46</v>
      </c>
      <c r="B95" s="197" t="s">
        <v>61</v>
      </c>
      <c r="C95" s="107">
        <f t="shared" si="35"/>
        <v>0.79</v>
      </c>
      <c r="D95" s="78">
        <v>1</v>
      </c>
      <c r="E95" s="89">
        <f t="shared" ref="E95" si="42">C95*D95</f>
        <v>0.79</v>
      </c>
      <c r="F95" s="77"/>
      <c r="G95" s="107">
        <f t="shared" si="37"/>
        <v>0.79</v>
      </c>
      <c r="H95" s="78">
        <v>1</v>
      </c>
      <c r="I95" s="89">
        <f t="shared" ref="I95" si="43">G95*H95</f>
        <v>0.79</v>
      </c>
      <c r="J95" s="65"/>
      <c r="K95" s="67">
        <f t="shared" si="39"/>
        <v>0</v>
      </c>
      <c r="L95" s="96" t="str">
        <f t="shared" si="34"/>
        <v xml:space="preserve"> 0.00%</v>
      </c>
    </row>
    <row r="96" spans="1:12" x14ac:dyDescent="0.25">
      <c r="A96" s="202" t="s">
        <v>47</v>
      </c>
      <c r="B96" s="203"/>
      <c r="C96" s="80">
        <f t="shared" si="35"/>
        <v>0</v>
      </c>
      <c r="D96" s="80"/>
      <c r="E96" s="90">
        <f>SUM(E92:E95)</f>
        <v>48.605650999999995</v>
      </c>
      <c r="F96" s="77"/>
      <c r="G96" s="80">
        <f t="shared" si="37"/>
        <v>0</v>
      </c>
      <c r="H96" s="80"/>
      <c r="I96" s="90">
        <f>SUM(I92:I95)</f>
        <v>45.381550999999995</v>
      </c>
      <c r="J96" s="65"/>
      <c r="K96" s="141">
        <f t="shared" si="39"/>
        <v>-3.2241</v>
      </c>
      <c r="L96" s="97">
        <f t="shared" si="34"/>
        <v>-6.6331793395792649E-2</v>
      </c>
    </row>
    <row r="97" spans="1:12" x14ac:dyDescent="0.25">
      <c r="A97" s="204" t="s">
        <v>48</v>
      </c>
      <c r="B97" s="197" t="s">
        <v>62</v>
      </c>
      <c r="C97" s="87">
        <f t="shared" si="35"/>
        <v>7.4999999999999997E-3</v>
      </c>
      <c r="D97" s="81">
        <f>$C$81*$C$46</f>
        <v>1564.6499999999999</v>
      </c>
      <c r="E97" s="89">
        <f t="shared" ref="E97:E98" si="44">C97*D97</f>
        <v>11.734874999999999</v>
      </c>
      <c r="F97" s="77"/>
      <c r="G97" s="87">
        <f t="shared" si="37"/>
        <v>7.4999999999999997E-3</v>
      </c>
      <c r="H97" s="81">
        <f>$C$81*$C$46</f>
        <v>1564.6499999999999</v>
      </c>
      <c r="I97" s="89">
        <f t="shared" ref="I97:I98" si="45">G97*H97</f>
        <v>11.734874999999999</v>
      </c>
      <c r="J97" s="65"/>
      <c r="K97" s="95">
        <f t="shared" si="39"/>
        <v>0</v>
      </c>
      <c r="L97" s="96" t="str">
        <f t="shared" si="34"/>
        <v xml:space="preserve"> 0.00%</v>
      </c>
    </row>
    <row r="98" spans="1:12" x14ac:dyDescent="0.25">
      <c r="A98" s="205" t="s">
        <v>49</v>
      </c>
      <c r="B98" s="197" t="s">
        <v>62</v>
      </c>
      <c r="C98" s="87">
        <f t="shared" si="35"/>
        <v>5.4000000000000003E-3</v>
      </c>
      <c r="D98" s="81">
        <f>$C$81*$C$46</f>
        <v>1564.6499999999999</v>
      </c>
      <c r="E98" s="89">
        <f t="shared" si="44"/>
        <v>8.4491099999999992</v>
      </c>
      <c r="F98" s="77"/>
      <c r="G98" s="87">
        <f t="shared" si="37"/>
        <v>5.4000000000000003E-3</v>
      </c>
      <c r="H98" s="81">
        <f>$C$81*$C$46</f>
        <v>1564.6499999999999</v>
      </c>
      <c r="I98" s="89">
        <f t="shared" si="45"/>
        <v>8.4491099999999992</v>
      </c>
      <c r="J98" s="65"/>
      <c r="K98" s="95">
        <f t="shared" si="39"/>
        <v>0</v>
      </c>
      <c r="L98" s="96" t="str">
        <f t="shared" si="34"/>
        <v xml:space="preserve"> 0.00%</v>
      </c>
    </row>
    <row r="99" spans="1:12" x14ac:dyDescent="0.25">
      <c r="A99" s="202" t="s">
        <v>50</v>
      </c>
      <c r="B99" s="200"/>
      <c r="C99" s="80">
        <f t="shared" si="35"/>
        <v>0</v>
      </c>
      <c r="D99" s="80"/>
      <c r="E99" s="90">
        <f>SUM(E96:E98)</f>
        <v>68.789636000000002</v>
      </c>
      <c r="F99" s="82"/>
      <c r="G99" s="80">
        <f t="shared" si="37"/>
        <v>0</v>
      </c>
      <c r="H99" s="80"/>
      <c r="I99" s="90">
        <f>SUM(I96:I98)</f>
        <v>65.565535999999994</v>
      </c>
      <c r="J99" s="66"/>
      <c r="K99" s="141">
        <f t="shared" si="39"/>
        <v>-3.2241000000000071</v>
      </c>
      <c r="L99" s="97">
        <f t="shared" si="34"/>
        <v>-4.6868978925837079E-2</v>
      </c>
    </row>
    <row r="100" spans="1:12" x14ac:dyDescent="0.25">
      <c r="A100" s="206" t="s">
        <v>51</v>
      </c>
      <c r="B100" s="197" t="s">
        <v>62</v>
      </c>
      <c r="C100" s="88">
        <f t="shared" si="35"/>
        <v>4.4000000000000003E-3</v>
      </c>
      <c r="D100" s="81">
        <f>$C$81*$C$46</f>
        <v>1564.6499999999999</v>
      </c>
      <c r="E100" s="67">
        <f t="shared" ref="E100:E104" si="46">C100*D100</f>
        <v>6.8844599999999998</v>
      </c>
      <c r="F100" s="79"/>
      <c r="G100" s="88">
        <f t="shared" si="37"/>
        <v>4.4000000000000003E-3</v>
      </c>
      <c r="H100" s="81">
        <f>$C$81*$C$46</f>
        <v>1564.6499999999999</v>
      </c>
      <c r="I100" s="67">
        <f t="shared" ref="I100:I104" si="47">G100*H100</f>
        <v>6.8844599999999998</v>
      </c>
      <c r="J100" s="65"/>
      <c r="K100" s="95">
        <f t="shared" si="39"/>
        <v>0</v>
      </c>
      <c r="L100" s="96" t="str">
        <f t="shared" si="34"/>
        <v xml:space="preserve"> 0.00%</v>
      </c>
    </row>
    <row r="101" spans="1:12" x14ac:dyDescent="0.25">
      <c r="A101" s="206" t="s">
        <v>52</v>
      </c>
      <c r="B101" s="197" t="s">
        <v>62</v>
      </c>
      <c r="C101" s="88">
        <f t="shared" si="35"/>
        <v>1.2999999999999999E-3</v>
      </c>
      <c r="D101" s="81">
        <f>$C$81*$C$46</f>
        <v>1564.6499999999999</v>
      </c>
      <c r="E101" s="67">
        <f t="shared" si="46"/>
        <v>2.0340449999999999</v>
      </c>
      <c r="F101" s="79"/>
      <c r="G101" s="88">
        <f t="shared" si="37"/>
        <v>1.2999999999999999E-3</v>
      </c>
      <c r="H101" s="81">
        <f>$C$81*$C$46</f>
        <v>1564.6499999999999</v>
      </c>
      <c r="I101" s="67">
        <f t="shared" si="47"/>
        <v>2.0340449999999999</v>
      </c>
      <c r="J101" s="65"/>
      <c r="K101" s="95">
        <f t="shared" si="39"/>
        <v>0</v>
      </c>
      <c r="L101" s="96" t="str">
        <f t="shared" si="34"/>
        <v xml:space="preserve"> 0.00%</v>
      </c>
    </row>
    <row r="102" spans="1:12" x14ac:dyDescent="0.25">
      <c r="A102" s="196" t="s">
        <v>53</v>
      </c>
      <c r="B102" s="197" t="s">
        <v>61</v>
      </c>
      <c r="C102" s="69">
        <f t="shared" si="35"/>
        <v>0.25</v>
      </c>
      <c r="D102" s="81">
        <v>1</v>
      </c>
      <c r="E102" s="67">
        <f t="shared" si="46"/>
        <v>0.25</v>
      </c>
      <c r="F102" s="79"/>
      <c r="G102" s="69">
        <f t="shared" si="37"/>
        <v>0.25</v>
      </c>
      <c r="H102" s="81">
        <v>1</v>
      </c>
      <c r="I102" s="67">
        <f t="shared" si="47"/>
        <v>0.25</v>
      </c>
      <c r="J102" s="79"/>
      <c r="K102" s="95">
        <f t="shared" si="39"/>
        <v>0</v>
      </c>
      <c r="L102" s="96" t="str">
        <f t="shared" si="34"/>
        <v xml:space="preserve"> 0.00%</v>
      </c>
    </row>
    <row r="103" spans="1:12" x14ac:dyDescent="0.25">
      <c r="A103" s="196" t="s">
        <v>54</v>
      </c>
      <c r="B103" s="197" t="s">
        <v>62</v>
      </c>
      <c r="C103" s="83">
        <f t="shared" si="35"/>
        <v>0.08</v>
      </c>
      <c r="D103" s="81">
        <f>$C$81*0.64</f>
        <v>960</v>
      </c>
      <c r="E103" s="67">
        <f t="shared" si="46"/>
        <v>76.8</v>
      </c>
      <c r="F103" s="79"/>
      <c r="G103" s="83">
        <f t="shared" si="37"/>
        <v>0.08</v>
      </c>
      <c r="H103" s="81">
        <f>$C$81*0.64</f>
        <v>960</v>
      </c>
      <c r="I103" s="67">
        <f t="shared" si="47"/>
        <v>76.8</v>
      </c>
      <c r="J103" s="79"/>
      <c r="K103" s="95">
        <f t="shared" si="39"/>
        <v>0</v>
      </c>
      <c r="L103" s="96" t="str">
        <f t="shared" si="34"/>
        <v xml:space="preserve"> 0.00%</v>
      </c>
    </row>
    <row r="104" spans="1:12" x14ac:dyDescent="0.25">
      <c r="A104" s="196" t="s">
        <v>55</v>
      </c>
      <c r="B104" s="197" t="s">
        <v>62</v>
      </c>
      <c r="C104" s="83">
        <f t="shared" si="35"/>
        <v>0.122</v>
      </c>
      <c r="D104" s="81">
        <f>$C$81*0.18</f>
        <v>270</v>
      </c>
      <c r="E104" s="67">
        <f t="shared" si="46"/>
        <v>32.94</v>
      </c>
      <c r="F104" s="79"/>
      <c r="G104" s="83">
        <f t="shared" si="37"/>
        <v>0.122</v>
      </c>
      <c r="H104" s="81">
        <f>$C$81*0.18</f>
        <v>270</v>
      </c>
      <c r="I104" s="67">
        <f t="shared" si="47"/>
        <v>32.94</v>
      </c>
      <c r="J104" s="79"/>
      <c r="K104" s="95">
        <f t="shared" si="39"/>
        <v>0</v>
      </c>
      <c r="L104" s="96" t="str">
        <f t="shared" si="34"/>
        <v xml:space="preserve"> 0.00%</v>
      </c>
    </row>
    <row r="105" spans="1:12" ht="15.75" thickBot="1" x14ac:dyDescent="0.3">
      <c r="A105" s="207" t="s">
        <v>56</v>
      </c>
      <c r="B105" s="208" t="s">
        <v>62</v>
      </c>
      <c r="C105" s="83">
        <f t="shared" si="35"/>
        <v>0.161</v>
      </c>
      <c r="D105" s="81">
        <f>$C$81*0.18</f>
        <v>270</v>
      </c>
      <c r="E105" s="67">
        <f>C105*D105</f>
        <v>43.47</v>
      </c>
      <c r="F105" s="79"/>
      <c r="G105" s="83">
        <f t="shared" si="37"/>
        <v>0.161</v>
      </c>
      <c r="H105" s="81">
        <f>$C$81*0.18</f>
        <v>270</v>
      </c>
      <c r="I105" s="67">
        <f>G105*H105</f>
        <v>43.47</v>
      </c>
      <c r="J105" s="79"/>
      <c r="K105" s="95">
        <f t="shared" si="39"/>
        <v>0</v>
      </c>
      <c r="L105" s="96" t="str">
        <f t="shared" si="34"/>
        <v xml:space="preserve"> 0.00%</v>
      </c>
    </row>
    <row r="106" spans="1:12" ht="9" customHeight="1" thickBot="1" x14ac:dyDescent="0.3">
      <c r="A106" s="209"/>
      <c r="B106" s="210"/>
      <c r="C106" s="137"/>
      <c r="D106" s="84"/>
      <c r="E106" s="91"/>
      <c r="F106" s="84"/>
      <c r="G106" s="137"/>
      <c r="H106" s="84"/>
      <c r="I106" s="137"/>
      <c r="J106" s="84"/>
      <c r="K106" s="138"/>
      <c r="L106" s="98"/>
    </row>
    <row r="107" spans="1:12" x14ac:dyDescent="0.25">
      <c r="A107" s="211" t="s">
        <v>57</v>
      </c>
      <c r="B107" s="212"/>
      <c r="C107" s="102"/>
      <c r="D107" s="103"/>
      <c r="E107" s="92">
        <f>SUM(E99:E105)</f>
        <v>231.16814100000002</v>
      </c>
      <c r="F107" s="104"/>
      <c r="G107" s="105"/>
      <c r="H107" s="103"/>
      <c r="I107" s="139">
        <f>SUM(I99:I105)</f>
        <v>227.944041</v>
      </c>
      <c r="J107" s="85"/>
      <c r="K107" s="140">
        <f t="shared" ref="K107:K111" si="48">I107-E107</f>
        <v>-3.2241000000000213</v>
      </c>
      <c r="L107" s="68">
        <f t="shared" si="34"/>
        <v>-1.3946991077806059E-2</v>
      </c>
    </row>
    <row r="108" spans="1:12" x14ac:dyDescent="0.25">
      <c r="A108" s="213" t="s">
        <v>58</v>
      </c>
      <c r="B108" s="214"/>
      <c r="C108" s="102">
        <v>0.13</v>
      </c>
      <c r="D108" s="106"/>
      <c r="E108" s="93">
        <f>E107*C108</f>
        <v>30.051858330000005</v>
      </c>
      <c r="F108" s="74"/>
      <c r="G108" s="102">
        <v>0.13</v>
      </c>
      <c r="H108" s="106"/>
      <c r="I108" s="100">
        <f>I107*G108</f>
        <v>29.63272533</v>
      </c>
      <c r="J108" s="86"/>
      <c r="K108" s="67">
        <f t="shared" si="48"/>
        <v>-0.41913300000000575</v>
      </c>
      <c r="L108" s="96">
        <f t="shared" si="34"/>
        <v>-1.394699107780617E-2</v>
      </c>
    </row>
    <row r="109" spans="1:12" hidden="1" x14ac:dyDescent="0.25">
      <c r="A109" s="215" t="s">
        <v>117</v>
      </c>
      <c r="B109" s="214"/>
      <c r="C109" s="74"/>
      <c r="D109" s="106"/>
      <c r="E109" s="93">
        <f>E107+E108</f>
        <v>261.21999933000001</v>
      </c>
      <c r="F109" s="74"/>
      <c r="G109" s="74"/>
      <c r="H109" s="106"/>
      <c r="I109" s="100">
        <f>I107+I108</f>
        <v>257.57676633</v>
      </c>
      <c r="J109" s="86"/>
      <c r="K109" s="67">
        <f t="shared" si="48"/>
        <v>-3.6432330000000093</v>
      </c>
      <c r="L109" s="96">
        <f t="shared" ref="L109" si="49">I109/E109-1</f>
        <v>-1.3946991077806059E-2</v>
      </c>
    </row>
    <row r="110" spans="1:12" hidden="1" x14ac:dyDescent="0.25">
      <c r="A110" s="216"/>
      <c r="B110" s="214"/>
      <c r="C110" s="74"/>
      <c r="D110" s="106"/>
      <c r="E110" s="94">
        <v>0</v>
      </c>
      <c r="F110" s="74"/>
      <c r="G110" s="74"/>
      <c r="H110" s="106"/>
      <c r="I110" s="101">
        <v>0</v>
      </c>
      <c r="J110" s="86"/>
      <c r="K110" s="67">
        <f t="shared" si="48"/>
        <v>0</v>
      </c>
      <c r="L110" s="101">
        <v>0</v>
      </c>
    </row>
    <row r="111" spans="1:12" ht="15.75" thickBot="1" x14ac:dyDescent="0.3">
      <c r="A111" s="217" t="s">
        <v>96</v>
      </c>
      <c r="B111" s="218"/>
      <c r="C111" s="142"/>
      <c r="D111" s="143"/>
      <c r="E111" s="144">
        <f>E109+E110</f>
        <v>261.21999933000001</v>
      </c>
      <c r="F111" s="145"/>
      <c r="G111" s="145"/>
      <c r="H111" s="145"/>
      <c r="I111" s="149">
        <f>I109+I110</f>
        <v>257.57676633</v>
      </c>
      <c r="J111" s="146"/>
      <c r="K111" s="147">
        <f t="shared" si="48"/>
        <v>-3.6432330000000093</v>
      </c>
      <c r="L111" s="148">
        <f t="shared" ref="L111" si="50">IF(I111-E111=0, " 0.00%", I111/E111-1)</f>
        <v>-1.3946991077806059E-2</v>
      </c>
    </row>
    <row r="112" spans="1:12" ht="9" customHeight="1" thickBot="1" x14ac:dyDescent="0.3">
      <c r="A112" s="209"/>
      <c r="B112" s="210"/>
      <c r="C112" s="137"/>
      <c r="D112" s="84"/>
      <c r="E112" s="91"/>
      <c r="F112" s="84"/>
      <c r="G112" s="137"/>
      <c r="H112" s="84"/>
      <c r="I112" s="137"/>
      <c r="J112" s="84"/>
      <c r="K112" s="138"/>
      <c r="L112" s="98"/>
    </row>
  </sheetData>
  <mergeCells count="9">
    <mergeCell ref="C84:E84"/>
    <mergeCell ref="G84:I84"/>
    <mergeCell ref="K84:L84"/>
    <mergeCell ref="C12:E12"/>
    <mergeCell ref="G12:I12"/>
    <mergeCell ref="K12:L12"/>
    <mergeCell ref="C48:E48"/>
    <mergeCell ref="G48:I48"/>
    <mergeCell ref="K48:L48"/>
  </mergeCells>
  <pageMargins left="0.7" right="0.7" top="0.75" bottom="0.75" header="0.3" footer="0.3"/>
  <pageSetup scale="48" orientation="portrait" r:id="rId1"/>
  <headerFooter>
    <oddHeader>&amp;RFiled: 2016-10-18
EB-2016-0082
Draft Rate Order
Attachment 3
Page &amp;P of &amp;N</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pageSetUpPr fitToPage="1"/>
  </sheetPr>
  <dimension ref="A1:L112"/>
  <sheetViews>
    <sheetView showGridLines="0" tabSelected="1" view="pageLayout" topLeftCell="B1" zoomScaleNormal="90" workbookViewId="0">
      <selection activeCell="L1" sqref="L1"/>
    </sheetView>
  </sheetViews>
  <sheetFormatPr defaultColWidth="9.140625" defaultRowHeight="15" x14ac:dyDescent="0.25"/>
  <cols>
    <col min="1" max="1" width="64.85546875" style="232" bestFit="1" customWidth="1"/>
    <col min="2" max="2" width="9.140625" style="232"/>
    <col min="3" max="3" width="11.7109375" style="232" bestFit="1" customWidth="1"/>
    <col min="4" max="4" width="9.140625" style="232"/>
    <col min="5" max="5" width="11.5703125" style="232" bestFit="1" customWidth="1"/>
    <col min="6" max="6" width="9.140625" style="232"/>
    <col min="7" max="7" width="11.7109375" style="186" bestFit="1" customWidth="1"/>
    <col min="8" max="8" width="9.140625" style="186"/>
    <col min="9" max="9" width="11.5703125" style="186" bestFit="1" customWidth="1"/>
    <col min="10" max="10" width="9.140625" style="186"/>
    <col min="11" max="11" width="9.5703125" style="186" bestFit="1" customWidth="1"/>
    <col min="12" max="12" width="10" style="186" bestFit="1" customWidth="1"/>
    <col min="13" max="16384" width="9.140625" style="186"/>
  </cols>
  <sheetData>
    <row r="1" spans="1:12" s="183" customFormat="1" x14ac:dyDescent="0.25">
      <c r="E1" s="184"/>
      <c r="L1" s="185"/>
    </row>
    <row r="2" spans="1:12" s="183" customFormat="1" x14ac:dyDescent="0.25">
      <c r="E2" s="184"/>
      <c r="L2" s="185"/>
    </row>
    <row r="3" spans="1:12" s="183" customFormat="1" x14ac:dyDescent="0.25">
      <c r="E3" s="184"/>
      <c r="L3" s="185"/>
    </row>
    <row r="4" spans="1:12" s="183" customFormat="1" x14ac:dyDescent="0.25">
      <c r="E4" s="184"/>
      <c r="L4" s="185"/>
    </row>
    <row r="5" spans="1:12" s="183" customFormat="1" x14ac:dyDescent="0.25">
      <c r="E5" s="184"/>
      <c r="L5" s="242"/>
    </row>
    <row r="7" spans="1:12" x14ac:dyDescent="0.25">
      <c r="A7" s="229" t="s">
        <v>97</v>
      </c>
      <c r="B7" s="230"/>
      <c r="C7" s="231"/>
    </row>
    <row r="8" spans="1:12" hidden="1" x14ac:dyDescent="0.25">
      <c r="A8" s="233"/>
      <c r="B8" s="234"/>
      <c r="C8" s="235"/>
    </row>
    <row r="9" spans="1:12" x14ac:dyDescent="0.25">
      <c r="A9" s="233" t="s">
        <v>66</v>
      </c>
      <c r="B9" s="234"/>
      <c r="C9" s="240">
        <f>'2018 Bill Impact'!C9</f>
        <v>285</v>
      </c>
    </row>
    <row r="10" spans="1:12" x14ac:dyDescent="0.25">
      <c r="A10" s="237" t="s">
        <v>65</v>
      </c>
      <c r="B10" s="238"/>
      <c r="C10" s="241">
        <f>'2018 Bill Impact'!C10</f>
        <v>1.0430999999999999</v>
      </c>
    </row>
    <row r="12" spans="1:12" x14ac:dyDescent="0.25">
      <c r="A12" s="187"/>
      <c r="B12" s="188"/>
      <c r="C12" s="258" t="s">
        <v>68</v>
      </c>
      <c r="D12" s="259"/>
      <c r="E12" s="260"/>
      <c r="F12" s="187"/>
      <c r="G12" s="258" t="s">
        <v>69</v>
      </c>
      <c r="H12" s="259"/>
      <c r="I12" s="260"/>
      <c r="J12" s="187"/>
      <c r="K12" s="258" t="s">
        <v>39</v>
      </c>
      <c r="L12" s="260"/>
    </row>
    <row r="13" spans="1:12" ht="15" customHeight="1" x14ac:dyDescent="0.25">
      <c r="A13" s="187"/>
      <c r="B13" s="189"/>
      <c r="C13" s="190" t="s">
        <v>108</v>
      </c>
      <c r="D13" s="190" t="s">
        <v>35</v>
      </c>
      <c r="E13" s="191" t="s">
        <v>109</v>
      </c>
      <c r="F13" s="187"/>
      <c r="G13" s="190" t="s">
        <v>108</v>
      </c>
      <c r="H13" s="190" t="s">
        <v>35</v>
      </c>
      <c r="I13" s="191" t="s">
        <v>109</v>
      </c>
      <c r="J13" s="187"/>
      <c r="K13" s="192" t="s">
        <v>40</v>
      </c>
      <c r="L13" s="193" t="s">
        <v>41</v>
      </c>
    </row>
    <row r="14" spans="1:12" x14ac:dyDescent="0.25">
      <c r="A14" s="194" t="s">
        <v>36</v>
      </c>
      <c r="B14" s="195" t="s">
        <v>61</v>
      </c>
      <c r="C14" s="67">
        <f>'2018 Bill Impact'!G14</f>
        <v>23.18</v>
      </c>
      <c r="D14" s="109">
        <v>1</v>
      </c>
      <c r="E14" s="67">
        <f>C14*D14</f>
        <v>23.18</v>
      </c>
      <c r="F14" s="75"/>
      <c r="G14" s="67">
        <f>'App.2-PA_Res_Rate_Design_19'!D43</f>
        <v>26.57</v>
      </c>
      <c r="H14" s="109">
        <v>1</v>
      </c>
      <c r="I14" s="67">
        <f>G14*H14</f>
        <v>26.57</v>
      </c>
      <c r="J14" s="75"/>
      <c r="K14" s="67">
        <f>I14-E14</f>
        <v>3.3900000000000006</v>
      </c>
      <c r="L14" s="96">
        <f t="shared" ref="L14:L36" si="0">IF(I14-E14=0, " 0.00%", I14/E14-1)</f>
        <v>0.14624676445211393</v>
      </c>
    </row>
    <row r="15" spans="1:12" x14ac:dyDescent="0.25">
      <c r="A15" s="196" t="s">
        <v>60</v>
      </c>
      <c r="B15" s="197" t="s">
        <v>61</v>
      </c>
      <c r="C15" s="67">
        <f>'2018 Bill Impact'!G15</f>
        <v>-0.23180000000000001</v>
      </c>
      <c r="D15" s="109">
        <v>1</v>
      </c>
      <c r="E15" s="67">
        <f t="shared" ref="E15:E32" si="1">C15*D15</f>
        <v>-0.23180000000000001</v>
      </c>
      <c r="F15" s="75"/>
      <c r="G15" s="67">
        <f>-G14*0.01</f>
        <v>-0.26569999999999999</v>
      </c>
      <c r="H15" s="109">
        <v>1</v>
      </c>
      <c r="I15" s="67">
        <f t="shared" ref="I15:I19" si="2">G15*H15</f>
        <v>-0.26569999999999999</v>
      </c>
      <c r="J15" s="86"/>
      <c r="K15" s="67">
        <f t="shared" ref="K15:K33" si="3">I15-E15</f>
        <v>-3.3899999999999986E-2</v>
      </c>
      <c r="L15" s="96">
        <f t="shared" si="0"/>
        <v>0.14624676445211393</v>
      </c>
    </row>
    <row r="16" spans="1:12" x14ac:dyDescent="0.25">
      <c r="A16" s="196" t="s">
        <v>63</v>
      </c>
      <c r="B16" s="197" t="s">
        <v>61</v>
      </c>
      <c r="C16" s="67">
        <f>'2018 Bill Impact'!G16</f>
        <v>0.64</v>
      </c>
      <c r="D16" s="109">
        <v>1</v>
      </c>
      <c r="E16" s="67">
        <f t="shared" si="1"/>
        <v>0.64</v>
      </c>
      <c r="F16" s="75"/>
      <c r="G16" s="67">
        <v>0.64</v>
      </c>
      <c r="H16" s="109">
        <v>1</v>
      </c>
      <c r="I16" s="67">
        <f t="shared" si="2"/>
        <v>0.64</v>
      </c>
      <c r="J16" s="86"/>
      <c r="K16" s="67">
        <f t="shared" si="3"/>
        <v>0</v>
      </c>
      <c r="L16" s="96" t="str">
        <f t="shared" si="0"/>
        <v xml:space="preserve"> 0.00%</v>
      </c>
    </row>
    <row r="17" spans="1:12" x14ac:dyDescent="0.25">
      <c r="A17" s="196" t="s">
        <v>42</v>
      </c>
      <c r="B17" s="197" t="s">
        <v>62</v>
      </c>
      <c r="C17" s="70">
        <f>'2018 Bill Impact'!G17</f>
        <v>8.8999999999999999E-3</v>
      </c>
      <c r="D17" s="76">
        <f>$C$9</f>
        <v>285</v>
      </c>
      <c r="E17" s="67">
        <f t="shared" si="1"/>
        <v>2.5365000000000002</v>
      </c>
      <c r="F17" s="75"/>
      <c r="G17" s="70">
        <f>'App.2-PA_Res_Rate_Design_19'!D44</f>
        <v>4.4000000000000003E-3</v>
      </c>
      <c r="H17" s="76">
        <f>$C$9</f>
        <v>285</v>
      </c>
      <c r="I17" s="67">
        <f t="shared" si="2"/>
        <v>1.254</v>
      </c>
      <c r="J17" s="86"/>
      <c r="K17" s="67">
        <f t="shared" si="3"/>
        <v>-1.2825000000000002</v>
      </c>
      <c r="L17" s="96">
        <f t="shared" si="0"/>
        <v>-0.5056179775280899</v>
      </c>
    </row>
    <row r="18" spans="1:12" x14ac:dyDescent="0.25">
      <c r="A18" s="196" t="s">
        <v>60</v>
      </c>
      <c r="B18" s="197" t="s">
        <v>62</v>
      </c>
      <c r="C18" s="70">
        <f>'2018 Bill Impact'!G18</f>
        <v>-1E-4</v>
      </c>
      <c r="D18" s="76">
        <f t="shared" ref="D18:D19" si="4">$C$9</f>
        <v>285</v>
      </c>
      <c r="E18" s="67">
        <f t="shared" si="1"/>
        <v>-2.8500000000000001E-2</v>
      </c>
      <c r="F18" s="75"/>
      <c r="G18" s="245">
        <f>-ROUND(G17*0.01,5)</f>
        <v>-4.0000000000000003E-5</v>
      </c>
      <c r="H18" s="76">
        <f t="shared" ref="H18:H19" si="5">$C$9</f>
        <v>285</v>
      </c>
      <c r="I18" s="67">
        <f t="shared" si="2"/>
        <v>-1.14E-2</v>
      </c>
      <c r="J18" s="86"/>
      <c r="K18" s="67">
        <f t="shared" si="3"/>
        <v>1.7100000000000001E-2</v>
      </c>
      <c r="L18" s="96">
        <f t="shared" si="0"/>
        <v>-0.6</v>
      </c>
    </row>
    <row r="19" spans="1:12" x14ac:dyDescent="0.25">
      <c r="A19" s="198" t="s">
        <v>64</v>
      </c>
      <c r="B19" s="197" t="s">
        <v>62</v>
      </c>
      <c r="C19" s="70">
        <f>'2018 Bill Impact'!G19</f>
        <v>8.0000000000000004E-4</v>
      </c>
      <c r="D19" s="76">
        <f t="shared" si="4"/>
        <v>285</v>
      </c>
      <c r="E19" s="67">
        <f t="shared" si="1"/>
        <v>0.22800000000000001</v>
      </c>
      <c r="F19" s="75"/>
      <c r="G19" s="70">
        <v>8.0000000000000004E-4</v>
      </c>
      <c r="H19" s="76">
        <f t="shared" si="5"/>
        <v>285</v>
      </c>
      <c r="I19" s="67">
        <f t="shared" si="2"/>
        <v>0.22800000000000001</v>
      </c>
      <c r="J19" s="86"/>
      <c r="K19" s="67">
        <f t="shared" si="3"/>
        <v>0</v>
      </c>
      <c r="L19" s="96" t="str">
        <f t="shared" si="0"/>
        <v xml:space="preserve"> 0.00%</v>
      </c>
    </row>
    <row r="20" spans="1:12" x14ac:dyDescent="0.25">
      <c r="A20" s="199" t="s">
        <v>43</v>
      </c>
      <c r="B20" s="200"/>
      <c r="C20" s="64">
        <f>'2018 Bill Impact'!G20</f>
        <v>0</v>
      </c>
      <c r="D20" s="80"/>
      <c r="E20" s="63">
        <f>SUM(E14:E19)</f>
        <v>26.324200000000001</v>
      </c>
      <c r="F20" s="77"/>
      <c r="G20" s="64"/>
      <c r="H20" s="80"/>
      <c r="I20" s="63">
        <f>SUM(I14:I19)</f>
        <v>28.414900000000006</v>
      </c>
      <c r="J20" s="65"/>
      <c r="K20" s="141">
        <f t="shared" si="3"/>
        <v>2.0907000000000053</v>
      </c>
      <c r="L20" s="97">
        <f t="shared" si="0"/>
        <v>7.9421216979053799E-2</v>
      </c>
    </row>
    <row r="21" spans="1:12" x14ac:dyDescent="0.25">
      <c r="A21" s="201" t="s">
        <v>44</v>
      </c>
      <c r="B21" s="197" t="s">
        <v>62</v>
      </c>
      <c r="C21" s="87">
        <f>'2018 Bill Impact'!G21</f>
        <v>0.10214000000000001</v>
      </c>
      <c r="D21" s="78">
        <f>($C$9*$C$10)-$C$9</f>
        <v>12.283500000000004</v>
      </c>
      <c r="E21" s="89">
        <f t="shared" si="1"/>
        <v>1.2546366900000006</v>
      </c>
      <c r="F21" s="77"/>
      <c r="G21" s="87">
        <f>G31*0.64+G32*0.18+G33*0.18</f>
        <v>0.10214000000000001</v>
      </c>
      <c r="H21" s="78">
        <f>($C$9*$C$10)-$C$9</f>
        <v>12.283500000000004</v>
      </c>
      <c r="I21" s="89">
        <f t="shared" ref="I21" si="6">G21*H21</f>
        <v>1.2546366900000006</v>
      </c>
      <c r="J21" s="65"/>
      <c r="K21" s="67">
        <f t="shared" si="3"/>
        <v>0</v>
      </c>
      <c r="L21" s="96" t="str">
        <f t="shared" si="0"/>
        <v xml:space="preserve"> 0.00%</v>
      </c>
    </row>
    <row r="22" spans="1:12" hidden="1" x14ac:dyDescent="0.25">
      <c r="A22" s="201" t="s">
        <v>45</v>
      </c>
      <c r="B22" s="197" t="s">
        <v>62</v>
      </c>
      <c r="C22" s="108">
        <f>'2018 Bill Impact'!G22</f>
        <v>0</v>
      </c>
      <c r="D22" s="78">
        <v>0</v>
      </c>
      <c r="E22" s="89">
        <v>0</v>
      </c>
      <c r="F22" s="77"/>
      <c r="G22" s="108">
        <v>0</v>
      </c>
      <c r="H22" s="78">
        <v>0</v>
      </c>
      <c r="I22" s="89">
        <v>0</v>
      </c>
      <c r="J22" s="65"/>
      <c r="K22" s="67">
        <f t="shared" si="3"/>
        <v>0</v>
      </c>
      <c r="L22" s="96" t="str">
        <f t="shared" si="0"/>
        <v xml:space="preserve"> 0.00%</v>
      </c>
    </row>
    <row r="23" spans="1:12" x14ac:dyDescent="0.25">
      <c r="A23" s="196" t="s">
        <v>46</v>
      </c>
      <c r="B23" s="197" t="s">
        <v>61</v>
      </c>
      <c r="C23" s="107">
        <f>'2018 Bill Impact'!G23</f>
        <v>0.79</v>
      </c>
      <c r="D23" s="78">
        <v>1</v>
      </c>
      <c r="E23" s="89">
        <f t="shared" si="1"/>
        <v>0.79</v>
      </c>
      <c r="F23" s="77"/>
      <c r="G23" s="107">
        <v>0</v>
      </c>
      <c r="H23" s="78">
        <v>1</v>
      </c>
      <c r="I23" s="89">
        <f t="shared" ref="I23" si="7">G23*H23</f>
        <v>0</v>
      </c>
      <c r="J23" s="65"/>
      <c r="K23" s="67">
        <f t="shared" si="3"/>
        <v>-0.79</v>
      </c>
      <c r="L23" s="96">
        <f t="shared" si="0"/>
        <v>-1</v>
      </c>
    </row>
    <row r="24" spans="1:12" x14ac:dyDescent="0.25">
      <c r="A24" s="202" t="s">
        <v>47</v>
      </c>
      <c r="B24" s="203"/>
      <c r="C24" s="80">
        <f>'2018 Bill Impact'!G24</f>
        <v>0</v>
      </c>
      <c r="D24" s="80"/>
      <c r="E24" s="90">
        <f>SUM(E20:E23)</f>
        <v>28.368836690000002</v>
      </c>
      <c r="F24" s="77"/>
      <c r="G24" s="80"/>
      <c r="H24" s="80"/>
      <c r="I24" s="90">
        <f>SUM(I20:I23)</f>
        <v>29.669536690000008</v>
      </c>
      <c r="J24" s="65"/>
      <c r="K24" s="141">
        <f t="shared" si="3"/>
        <v>1.3007000000000062</v>
      </c>
      <c r="L24" s="97">
        <f t="shared" si="0"/>
        <v>4.5849606531751075E-2</v>
      </c>
    </row>
    <row r="25" spans="1:12" x14ac:dyDescent="0.25">
      <c r="A25" s="204" t="s">
        <v>48</v>
      </c>
      <c r="B25" s="197" t="s">
        <v>62</v>
      </c>
      <c r="C25" s="87">
        <f>'2018 Bill Impact'!G25</f>
        <v>7.4999999999999997E-3</v>
      </c>
      <c r="D25" s="81">
        <f>$C$9*$C$10</f>
        <v>297.2835</v>
      </c>
      <c r="E25" s="89">
        <f t="shared" si="1"/>
        <v>2.2296262499999999</v>
      </c>
      <c r="F25" s="77"/>
      <c r="G25" s="87">
        <v>7.4999999999999997E-3</v>
      </c>
      <c r="H25" s="81">
        <f>$C$9*$C$10</f>
        <v>297.2835</v>
      </c>
      <c r="I25" s="89">
        <f t="shared" ref="I25:I26" si="8">G25*H25</f>
        <v>2.2296262499999999</v>
      </c>
      <c r="J25" s="65"/>
      <c r="K25" s="95">
        <f t="shared" si="3"/>
        <v>0</v>
      </c>
      <c r="L25" s="96" t="str">
        <f t="shared" si="0"/>
        <v xml:space="preserve"> 0.00%</v>
      </c>
    </row>
    <row r="26" spans="1:12" x14ac:dyDescent="0.25">
      <c r="A26" s="205" t="s">
        <v>49</v>
      </c>
      <c r="B26" s="197" t="s">
        <v>62</v>
      </c>
      <c r="C26" s="87">
        <f>'2018 Bill Impact'!G26</f>
        <v>5.4000000000000003E-3</v>
      </c>
      <c r="D26" s="81">
        <f>$C$9*$C$10</f>
        <v>297.2835</v>
      </c>
      <c r="E26" s="89">
        <f t="shared" si="1"/>
        <v>1.6053309</v>
      </c>
      <c r="F26" s="77"/>
      <c r="G26" s="87">
        <v>5.4000000000000003E-3</v>
      </c>
      <c r="H26" s="81">
        <f>$C$9*$C$10</f>
        <v>297.2835</v>
      </c>
      <c r="I26" s="89">
        <f t="shared" si="8"/>
        <v>1.6053309</v>
      </c>
      <c r="J26" s="65"/>
      <c r="K26" s="95">
        <f t="shared" si="3"/>
        <v>0</v>
      </c>
      <c r="L26" s="96" t="str">
        <f t="shared" si="0"/>
        <v xml:space="preserve"> 0.00%</v>
      </c>
    </row>
    <row r="27" spans="1:12" x14ac:dyDescent="0.25">
      <c r="A27" s="202" t="s">
        <v>50</v>
      </c>
      <c r="B27" s="200"/>
      <c r="C27" s="80">
        <f>'2018 Bill Impact'!G27</f>
        <v>0</v>
      </c>
      <c r="D27" s="80"/>
      <c r="E27" s="90">
        <f>SUM(E24:E26)</f>
        <v>32.203793840000003</v>
      </c>
      <c r="F27" s="82"/>
      <c r="G27" s="80"/>
      <c r="H27" s="80"/>
      <c r="I27" s="90">
        <f>SUM(I24:I26)</f>
        <v>33.504493840000009</v>
      </c>
      <c r="J27" s="66"/>
      <c r="K27" s="141">
        <f t="shared" si="3"/>
        <v>1.3007000000000062</v>
      </c>
      <c r="L27" s="97">
        <f t="shared" si="0"/>
        <v>4.0389651184029818E-2</v>
      </c>
    </row>
    <row r="28" spans="1:12" x14ac:dyDescent="0.25">
      <c r="A28" s="206" t="s">
        <v>51</v>
      </c>
      <c r="B28" s="197" t="s">
        <v>62</v>
      </c>
      <c r="C28" s="88">
        <f>'2018 Bill Impact'!G28</f>
        <v>4.4000000000000003E-3</v>
      </c>
      <c r="D28" s="81">
        <f>$C$9*$C$10</f>
        <v>297.2835</v>
      </c>
      <c r="E28" s="67">
        <f t="shared" si="1"/>
        <v>1.3080474000000002</v>
      </c>
      <c r="F28" s="79"/>
      <c r="G28" s="88">
        <v>4.4000000000000003E-3</v>
      </c>
      <c r="H28" s="81">
        <f>$C$9*$C$10</f>
        <v>297.2835</v>
      </c>
      <c r="I28" s="67">
        <f t="shared" ref="I28:I32" si="9">G28*H28</f>
        <v>1.3080474000000002</v>
      </c>
      <c r="J28" s="65"/>
      <c r="K28" s="95">
        <f t="shared" si="3"/>
        <v>0</v>
      </c>
      <c r="L28" s="96" t="str">
        <f t="shared" si="0"/>
        <v xml:space="preserve"> 0.00%</v>
      </c>
    </row>
    <row r="29" spans="1:12" x14ac:dyDescent="0.25">
      <c r="A29" s="206" t="s">
        <v>52</v>
      </c>
      <c r="B29" s="197" t="s">
        <v>62</v>
      </c>
      <c r="C29" s="88">
        <f>'2018 Bill Impact'!G29</f>
        <v>1.2999999999999999E-3</v>
      </c>
      <c r="D29" s="81">
        <f>$C$9*$C$10</f>
        <v>297.2835</v>
      </c>
      <c r="E29" s="67">
        <f t="shared" si="1"/>
        <v>0.38646854999999997</v>
      </c>
      <c r="F29" s="79"/>
      <c r="G29" s="88">
        <v>1.2999999999999999E-3</v>
      </c>
      <c r="H29" s="81">
        <f>$C$9*$C$10</f>
        <v>297.2835</v>
      </c>
      <c r="I29" s="67">
        <f t="shared" si="9"/>
        <v>0.38646854999999997</v>
      </c>
      <c r="J29" s="65"/>
      <c r="K29" s="95">
        <f t="shared" si="3"/>
        <v>0</v>
      </c>
      <c r="L29" s="96" t="str">
        <f t="shared" si="0"/>
        <v xml:space="preserve"> 0.00%</v>
      </c>
    </row>
    <row r="30" spans="1:12" x14ac:dyDescent="0.25">
      <c r="A30" s="196" t="s">
        <v>53</v>
      </c>
      <c r="B30" s="197" t="s">
        <v>61</v>
      </c>
      <c r="C30" s="69">
        <f>'2018 Bill Impact'!G30</f>
        <v>0.25</v>
      </c>
      <c r="D30" s="81">
        <v>1</v>
      </c>
      <c r="E30" s="67">
        <f t="shared" si="1"/>
        <v>0.25</v>
      </c>
      <c r="F30" s="79"/>
      <c r="G30" s="69">
        <v>0.25</v>
      </c>
      <c r="H30" s="81">
        <v>1</v>
      </c>
      <c r="I30" s="67">
        <f t="shared" si="9"/>
        <v>0.25</v>
      </c>
      <c r="J30" s="79"/>
      <c r="K30" s="95">
        <f t="shared" si="3"/>
        <v>0</v>
      </c>
      <c r="L30" s="96" t="str">
        <f t="shared" si="0"/>
        <v xml:space="preserve"> 0.00%</v>
      </c>
    </row>
    <row r="31" spans="1:12" x14ac:dyDescent="0.25">
      <c r="A31" s="196" t="s">
        <v>54</v>
      </c>
      <c r="B31" s="197" t="s">
        <v>62</v>
      </c>
      <c r="C31" s="83">
        <f>'2018 Bill Impact'!G31</f>
        <v>0.08</v>
      </c>
      <c r="D31" s="81">
        <f>$C$9*0.64</f>
        <v>182.4</v>
      </c>
      <c r="E31" s="67">
        <f t="shared" si="1"/>
        <v>14.592000000000001</v>
      </c>
      <c r="F31" s="79"/>
      <c r="G31" s="83">
        <v>0.08</v>
      </c>
      <c r="H31" s="81">
        <f>$C$9*0.64</f>
        <v>182.4</v>
      </c>
      <c r="I31" s="67">
        <f t="shared" si="9"/>
        <v>14.592000000000001</v>
      </c>
      <c r="J31" s="79"/>
      <c r="K31" s="95">
        <f t="shared" si="3"/>
        <v>0</v>
      </c>
      <c r="L31" s="96" t="str">
        <f t="shared" si="0"/>
        <v xml:space="preserve"> 0.00%</v>
      </c>
    </row>
    <row r="32" spans="1:12" x14ac:dyDescent="0.25">
      <c r="A32" s="196" t="s">
        <v>55</v>
      </c>
      <c r="B32" s="197" t="s">
        <v>62</v>
      </c>
      <c r="C32" s="83">
        <f>'2018 Bill Impact'!G32</f>
        <v>0.122</v>
      </c>
      <c r="D32" s="81">
        <f>$C$9*0.18</f>
        <v>51.3</v>
      </c>
      <c r="E32" s="67">
        <f t="shared" si="1"/>
        <v>6.2585999999999995</v>
      </c>
      <c r="F32" s="79"/>
      <c r="G32" s="83">
        <v>0.122</v>
      </c>
      <c r="H32" s="81">
        <f>$C$9*0.18</f>
        <v>51.3</v>
      </c>
      <c r="I32" s="67">
        <f t="shared" si="9"/>
        <v>6.2585999999999995</v>
      </c>
      <c r="J32" s="79"/>
      <c r="K32" s="95">
        <f t="shared" si="3"/>
        <v>0</v>
      </c>
      <c r="L32" s="96" t="str">
        <f t="shared" si="0"/>
        <v xml:space="preserve"> 0.00%</v>
      </c>
    </row>
    <row r="33" spans="1:12" ht="15.75" thickBot="1" x14ac:dyDescent="0.3">
      <c r="A33" s="207" t="s">
        <v>56</v>
      </c>
      <c r="B33" s="208" t="s">
        <v>62</v>
      </c>
      <c r="C33" s="83">
        <f>'2018 Bill Impact'!G33</f>
        <v>0.161</v>
      </c>
      <c r="D33" s="81">
        <f>$C$9*0.18</f>
        <v>51.3</v>
      </c>
      <c r="E33" s="67">
        <f>C33*D33</f>
        <v>8.2592999999999996</v>
      </c>
      <c r="F33" s="79"/>
      <c r="G33" s="83">
        <v>0.161</v>
      </c>
      <c r="H33" s="81">
        <f>$C$9*0.18</f>
        <v>51.3</v>
      </c>
      <c r="I33" s="67">
        <f>G33*H33</f>
        <v>8.2592999999999996</v>
      </c>
      <c r="J33" s="79"/>
      <c r="K33" s="95">
        <f t="shared" si="3"/>
        <v>0</v>
      </c>
      <c r="L33" s="96" t="str">
        <f t="shared" si="0"/>
        <v xml:space="preserve"> 0.00%</v>
      </c>
    </row>
    <row r="34" spans="1:12" ht="9" customHeight="1" thickBot="1" x14ac:dyDescent="0.3">
      <c r="A34" s="209"/>
      <c r="B34" s="210"/>
      <c r="C34" s="137"/>
      <c r="D34" s="84"/>
      <c r="E34" s="91"/>
      <c r="F34" s="84"/>
      <c r="G34" s="137"/>
      <c r="H34" s="84"/>
      <c r="I34" s="137"/>
      <c r="J34" s="84"/>
      <c r="K34" s="138"/>
      <c r="L34" s="98"/>
    </row>
    <row r="35" spans="1:12" x14ac:dyDescent="0.25">
      <c r="A35" s="211" t="s">
        <v>57</v>
      </c>
      <c r="B35" s="212"/>
      <c r="C35" s="102"/>
      <c r="D35" s="103"/>
      <c r="E35" s="92">
        <f>SUM(E27:E33)</f>
        <v>63.258209789999995</v>
      </c>
      <c r="F35" s="104"/>
      <c r="G35" s="105"/>
      <c r="H35" s="105"/>
      <c r="I35" s="139">
        <f>SUM(I27:I33)</f>
        <v>64.558909790000001</v>
      </c>
      <c r="J35" s="85"/>
      <c r="K35" s="140">
        <f t="shared" ref="K35:K39" si="10">I35-E35</f>
        <v>1.3007000000000062</v>
      </c>
      <c r="L35" s="68">
        <f t="shared" si="0"/>
        <v>2.0561757980789741E-2</v>
      </c>
    </row>
    <row r="36" spans="1:12" x14ac:dyDescent="0.25">
      <c r="A36" s="213" t="s">
        <v>58</v>
      </c>
      <c r="B36" s="214"/>
      <c r="C36" s="102">
        <v>0.13</v>
      </c>
      <c r="D36" s="106"/>
      <c r="E36" s="93">
        <f>E35*C36</f>
        <v>8.2235672727000004</v>
      </c>
      <c r="F36" s="74"/>
      <c r="G36" s="102">
        <v>0.13</v>
      </c>
      <c r="H36" s="74"/>
      <c r="I36" s="100">
        <f>I35*G36</f>
        <v>8.3926582727000003</v>
      </c>
      <c r="J36" s="86"/>
      <c r="K36" s="67">
        <f t="shared" si="10"/>
        <v>0.16909099999999988</v>
      </c>
      <c r="L36" s="96">
        <f t="shared" si="0"/>
        <v>2.0561757980789741E-2</v>
      </c>
    </row>
    <row r="37" spans="1:12" hidden="1" x14ac:dyDescent="0.25">
      <c r="A37" s="215" t="s">
        <v>117</v>
      </c>
      <c r="B37" s="214"/>
      <c r="C37" s="74"/>
      <c r="D37" s="106"/>
      <c r="E37" s="93">
        <f>E35+E36</f>
        <v>71.48177706269999</v>
      </c>
      <c r="F37" s="74"/>
      <c r="G37" s="74"/>
      <c r="H37" s="74"/>
      <c r="I37" s="100">
        <f>I35+I36</f>
        <v>72.951568062700005</v>
      </c>
      <c r="J37" s="86"/>
      <c r="K37" s="67">
        <f t="shared" si="10"/>
        <v>1.4697910000000149</v>
      </c>
      <c r="L37" s="96">
        <f t="shared" ref="L37" si="11">I37/E37-1</f>
        <v>2.0561757980789963E-2</v>
      </c>
    </row>
    <row r="38" spans="1:12" hidden="1" x14ac:dyDescent="0.25">
      <c r="A38" s="216"/>
      <c r="B38" s="214"/>
      <c r="C38" s="74"/>
      <c r="D38" s="106"/>
      <c r="E38" s="94">
        <v>0</v>
      </c>
      <c r="F38" s="74"/>
      <c r="G38" s="74"/>
      <c r="H38" s="74"/>
      <c r="I38" s="101">
        <v>0</v>
      </c>
      <c r="J38" s="86"/>
      <c r="K38" s="67">
        <f t="shared" si="10"/>
        <v>0</v>
      </c>
      <c r="L38" s="101">
        <v>0</v>
      </c>
    </row>
    <row r="39" spans="1:12" ht="15.75" thickBot="1" x14ac:dyDescent="0.3">
      <c r="A39" s="217" t="s">
        <v>96</v>
      </c>
      <c r="B39" s="218"/>
      <c r="C39" s="142"/>
      <c r="D39" s="143"/>
      <c r="E39" s="144">
        <f>E37+E38</f>
        <v>71.48177706269999</v>
      </c>
      <c r="F39" s="145"/>
      <c r="G39" s="145"/>
      <c r="H39" s="145"/>
      <c r="I39" s="149">
        <f>I37+I38</f>
        <v>72.951568062700005</v>
      </c>
      <c r="J39" s="146"/>
      <c r="K39" s="147">
        <f t="shared" si="10"/>
        <v>1.4697910000000149</v>
      </c>
      <c r="L39" s="148">
        <f t="shared" ref="L39" si="12">IF(I39-E39=0, " 0.00%", I39/E39-1)</f>
        <v>2.0561757980789963E-2</v>
      </c>
    </row>
    <row r="40" spans="1:12" ht="9" customHeight="1" thickBot="1" x14ac:dyDescent="0.3">
      <c r="A40" s="209"/>
      <c r="B40" s="210"/>
      <c r="C40" s="137"/>
      <c r="D40" s="84"/>
      <c r="E40" s="91"/>
      <c r="F40" s="84"/>
      <c r="G40" s="137"/>
      <c r="H40" s="84"/>
      <c r="I40" s="137"/>
      <c r="J40" s="84"/>
      <c r="K40" s="138"/>
      <c r="L40" s="98"/>
    </row>
    <row r="43" spans="1:12" x14ac:dyDescent="0.25">
      <c r="A43" s="229" t="s">
        <v>97</v>
      </c>
      <c r="B43" s="230"/>
      <c r="C43" s="231"/>
    </row>
    <row r="44" spans="1:12" hidden="1" x14ac:dyDescent="0.25">
      <c r="A44" s="233"/>
      <c r="B44" s="234"/>
      <c r="C44" s="235"/>
    </row>
    <row r="45" spans="1:12" x14ac:dyDescent="0.25">
      <c r="A45" s="233" t="s">
        <v>66</v>
      </c>
      <c r="B45" s="234"/>
      <c r="C45" s="240">
        <f>'2018 Bill Impact'!C45</f>
        <v>800</v>
      </c>
    </row>
    <row r="46" spans="1:12" x14ac:dyDescent="0.25">
      <c r="A46" s="237" t="s">
        <v>65</v>
      </c>
      <c r="B46" s="238"/>
      <c r="C46" s="241">
        <f>'2018 Bill Impact'!C46</f>
        <v>1.0430999999999999</v>
      </c>
    </row>
    <row r="48" spans="1:12" x14ac:dyDescent="0.25">
      <c r="A48" s="187"/>
      <c r="B48" s="188"/>
      <c r="C48" s="258" t="s">
        <v>68</v>
      </c>
      <c r="D48" s="259"/>
      <c r="E48" s="260"/>
      <c r="F48" s="187"/>
      <c r="G48" s="258" t="s">
        <v>69</v>
      </c>
      <c r="H48" s="259"/>
      <c r="I48" s="260"/>
      <c r="J48" s="187"/>
      <c r="K48" s="258" t="s">
        <v>39</v>
      </c>
      <c r="L48" s="260"/>
    </row>
    <row r="49" spans="1:12" ht="15" customHeight="1" x14ac:dyDescent="0.25">
      <c r="A49" s="187"/>
      <c r="B49" s="189"/>
      <c r="C49" s="190" t="s">
        <v>108</v>
      </c>
      <c r="D49" s="190" t="s">
        <v>35</v>
      </c>
      <c r="E49" s="191" t="s">
        <v>109</v>
      </c>
      <c r="F49" s="187"/>
      <c r="G49" s="190" t="s">
        <v>108</v>
      </c>
      <c r="H49" s="190" t="s">
        <v>35</v>
      </c>
      <c r="I49" s="191" t="s">
        <v>109</v>
      </c>
      <c r="J49" s="187"/>
      <c r="K49" s="192" t="s">
        <v>40</v>
      </c>
      <c r="L49" s="193" t="s">
        <v>41</v>
      </c>
    </row>
    <row r="50" spans="1:12" x14ac:dyDescent="0.25">
      <c r="A50" s="194" t="s">
        <v>36</v>
      </c>
      <c r="B50" s="195" t="s">
        <v>61</v>
      </c>
      <c r="C50" s="67">
        <f t="shared" ref="C50:C55" si="13">C14</f>
        <v>23.18</v>
      </c>
      <c r="D50" s="109">
        <v>1</v>
      </c>
      <c r="E50" s="67">
        <f>C50*D50</f>
        <v>23.18</v>
      </c>
      <c r="F50" s="75"/>
      <c r="G50" s="67">
        <f t="shared" ref="G50:G55" si="14">G14</f>
        <v>26.57</v>
      </c>
      <c r="H50" s="109">
        <v>1</v>
      </c>
      <c r="I50" s="67">
        <f>G50*H50</f>
        <v>26.57</v>
      </c>
      <c r="J50" s="75"/>
      <c r="K50" s="67">
        <f>I50-E50</f>
        <v>3.3900000000000006</v>
      </c>
      <c r="L50" s="96">
        <f t="shared" ref="L50:L72" si="15">IF(I50-E50=0, " 0.00%", I50/E50-1)</f>
        <v>0.14624676445211393</v>
      </c>
    </row>
    <row r="51" spans="1:12" x14ac:dyDescent="0.25">
      <c r="A51" s="196" t="s">
        <v>60</v>
      </c>
      <c r="B51" s="197" t="s">
        <v>61</v>
      </c>
      <c r="C51" s="67">
        <f t="shared" si="13"/>
        <v>-0.23180000000000001</v>
      </c>
      <c r="D51" s="109">
        <v>1</v>
      </c>
      <c r="E51" s="67">
        <f t="shared" ref="E51:E55" si="16">C51*D51</f>
        <v>-0.23180000000000001</v>
      </c>
      <c r="F51" s="75"/>
      <c r="G51" s="67">
        <f t="shared" si="14"/>
        <v>-0.26569999999999999</v>
      </c>
      <c r="H51" s="109">
        <v>1</v>
      </c>
      <c r="I51" s="67">
        <f t="shared" ref="I51:I55" si="17">G51*H51</f>
        <v>-0.26569999999999999</v>
      </c>
      <c r="J51" s="86"/>
      <c r="K51" s="67">
        <f t="shared" ref="K51:K69" si="18">I51-E51</f>
        <v>-3.3899999999999986E-2</v>
      </c>
      <c r="L51" s="96">
        <f t="shared" si="15"/>
        <v>0.14624676445211393</v>
      </c>
    </row>
    <row r="52" spans="1:12" x14ac:dyDescent="0.25">
      <c r="A52" s="196" t="s">
        <v>63</v>
      </c>
      <c r="B52" s="197" t="s">
        <v>61</v>
      </c>
      <c r="C52" s="67">
        <f t="shared" si="13"/>
        <v>0.64</v>
      </c>
      <c r="D52" s="109">
        <v>1</v>
      </c>
      <c r="E52" s="67">
        <f t="shared" si="16"/>
        <v>0.64</v>
      </c>
      <c r="F52" s="75"/>
      <c r="G52" s="67">
        <f t="shared" si="14"/>
        <v>0.64</v>
      </c>
      <c r="H52" s="109">
        <v>1</v>
      </c>
      <c r="I52" s="67">
        <f t="shared" si="17"/>
        <v>0.64</v>
      </c>
      <c r="J52" s="86"/>
      <c r="K52" s="67">
        <f t="shared" si="18"/>
        <v>0</v>
      </c>
      <c r="L52" s="96" t="str">
        <f t="shared" si="15"/>
        <v xml:space="preserve"> 0.00%</v>
      </c>
    </row>
    <row r="53" spans="1:12" x14ac:dyDescent="0.25">
      <c r="A53" s="196" t="s">
        <v>42</v>
      </c>
      <c r="B53" s="197" t="s">
        <v>62</v>
      </c>
      <c r="C53" s="70">
        <f t="shared" si="13"/>
        <v>8.8999999999999999E-3</v>
      </c>
      <c r="D53" s="76">
        <f>$C$45</f>
        <v>800</v>
      </c>
      <c r="E53" s="67">
        <f t="shared" si="16"/>
        <v>7.12</v>
      </c>
      <c r="F53" s="75"/>
      <c r="G53" s="70">
        <f t="shared" si="14"/>
        <v>4.4000000000000003E-3</v>
      </c>
      <c r="H53" s="76">
        <f>$C$45</f>
        <v>800</v>
      </c>
      <c r="I53" s="67">
        <f t="shared" si="17"/>
        <v>3.52</v>
      </c>
      <c r="J53" s="86"/>
      <c r="K53" s="67">
        <f t="shared" si="18"/>
        <v>-3.6</v>
      </c>
      <c r="L53" s="96">
        <f t="shared" si="15"/>
        <v>-0.5056179775280899</v>
      </c>
    </row>
    <row r="54" spans="1:12" x14ac:dyDescent="0.25">
      <c r="A54" s="196" t="s">
        <v>60</v>
      </c>
      <c r="B54" s="197" t="s">
        <v>62</v>
      </c>
      <c r="C54" s="70">
        <f t="shared" si="13"/>
        <v>-1E-4</v>
      </c>
      <c r="D54" s="76">
        <f t="shared" ref="D54:D55" si="19">$C$45</f>
        <v>800</v>
      </c>
      <c r="E54" s="67">
        <f t="shared" si="16"/>
        <v>-0.08</v>
      </c>
      <c r="F54" s="75"/>
      <c r="G54" s="245">
        <f t="shared" si="14"/>
        <v>-4.0000000000000003E-5</v>
      </c>
      <c r="H54" s="76">
        <f t="shared" ref="H54:H55" si="20">$C$45</f>
        <v>800</v>
      </c>
      <c r="I54" s="67">
        <f t="shared" si="17"/>
        <v>-3.2000000000000001E-2</v>
      </c>
      <c r="J54" s="86"/>
      <c r="K54" s="67">
        <f t="shared" si="18"/>
        <v>4.8000000000000001E-2</v>
      </c>
      <c r="L54" s="96">
        <f t="shared" si="15"/>
        <v>-0.6</v>
      </c>
    </row>
    <row r="55" spans="1:12" x14ac:dyDescent="0.25">
      <c r="A55" s="198" t="s">
        <v>64</v>
      </c>
      <c r="B55" s="197" t="s">
        <v>62</v>
      </c>
      <c r="C55" s="70">
        <f t="shared" si="13"/>
        <v>8.0000000000000004E-4</v>
      </c>
      <c r="D55" s="76">
        <f t="shared" si="19"/>
        <v>800</v>
      </c>
      <c r="E55" s="67">
        <f t="shared" si="16"/>
        <v>0.64</v>
      </c>
      <c r="F55" s="75"/>
      <c r="G55" s="70">
        <f t="shared" si="14"/>
        <v>8.0000000000000004E-4</v>
      </c>
      <c r="H55" s="76">
        <f t="shared" si="20"/>
        <v>800</v>
      </c>
      <c r="I55" s="67">
        <f t="shared" si="17"/>
        <v>0.64</v>
      </c>
      <c r="J55" s="86"/>
      <c r="K55" s="67">
        <f t="shared" si="18"/>
        <v>0</v>
      </c>
      <c r="L55" s="96" t="str">
        <f t="shared" si="15"/>
        <v xml:space="preserve"> 0.00%</v>
      </c>
    </row>
    <row r="56" spans="1:12" x14ac:dyDescent="0.25">
      <c r="A56" s="199" t="s">
        <v>43</v>
      </c>
      <c r="B56" s="200"/>
      <c r="C56" s="64"/>
      <c r="D56" s="80"/>
      <c r="E56" s="63">
        <f>SUM(E50:E55)</f>
        <v>31.268200000000004</v>
      </c>
      <c r="F56" s="77"/>
      <c r="G56" s="64"/>
      <c r="H56" s="80"/>
      <c r="I56" s="63">
        <f>SUM(I50:I55)</f>
        <v>31.072300000000002</v>
      </c>
      <c r="J56" s="65"/>
      <c r="K56" s="141">
        <f t="shared" si="18"/>
        <v>-0.19590000000000174</v>
      </c>
      <c r="L56" s="97">
        <f t="shared" si="15"/>
        <v>-6.2651511759551637E-3</v>
      </c>
    </row>
    <row r="57" spans="1:12" x14ac:dyDescent="0.25">
      <c r="A57" s="201" t="s">
        <v>44</v>
      </c>
      <c r="B57" s="197" t="s">
        <v>62</v>
      </c>
      <c r="C57" s="87">
        <f>C21</f>
        <v>0.10214000000000001</v>
      </c>
      <c r="D57" s="78">
        <f>($C$45*$C$46)-$C$45</f>
        <v>34.479999999999905</v>
      </c>
      <c r="E57" s="89">
        <f t="shared" ref="E57" si="21">C57*D57</f>
        <v>3.5217871999999906</v>
      </c>
      <c r="F57" s="77"/>
      <c r="G57" s="87">
        <f>G21</f>
        <v>0.10214000000000001</v>
      </c>
      <c r="H57" s="78">
        <f>($C$45*$C$46)-$C$45</f>
        <v>34.479999999999905</v>
      </c>
      <c r="I57" s="89">
        <f t="shared" ref="I57" si="22">G57*H57</f>
        <v>3.5217871999999906</v>
      </c>
      <c r="J57" s="65"/>
      <c r="K57" s="67">
        <f t="shared" si="18"/>
        <v>0</v>
      </c>
      <c r="L57" s="96" t="str">
        <f t="shared" si="15"/>
        <v xml:space="preserve"> 0.00%</v>
      </c>
    </row>
    <row r="58" spans="1:12" hidden="1" x14ac:dyDescent="0.25">
      <c r="A58" s="201" t="s">
        <v>45</v>
      </c>
      <c r="B58" s="197" t="s">
        <v>62</v>
      </c>
      <c r="C58" s="108">
        <f>C22</f>
        <v>0</v>
      </c>
      <c r="D58" s="78">
        <v>0</v>
      </c>
      <c r="E58" s="89">
        <v>0</v>
      </c>
      <c r="F58" s="77"/>
      <c r="G58" s="108">
        <f>G22</f>
        <v>0</v>
      </c>
      <c r="H58" s="78">
        <v>0</v>
      </c>
      <c r="I58" s="89">
        <v>0</v>
      </c>
      <c r="J58" s="65"/>
      <c r="K58" s="67">
        <f t="shared" si="18"/>
        <v>0</v>
      </c>
      <c r="L58" s="96" t="str">
        <f t="shared" si="15"/>
        <v xml:space="preserve"> 0.00%</v>
      </c>
    </row>
    <row r="59" spans="1:12" x14ac:dyDescent="0.25">
      <c r="A59" s="196" t="s">
        <v>46</v>
      </c>
      <c r="B59" s="197" t="s">
        <v>61</v>
      </c>
      <c r="C59" s="107">
        <f>C23</f>
        <v>0.79</v>
      </c>
      <c r="D59" s="78">
        <v>1</v>
      </c>
      <c r="E59" s="89">
        <f t="shared" ref="E59" si="23">C59*D59</f>
        <v>0.79</v>
      </c>
      <c r="F59" s="77"/>
      <c r="G59" s="107">
        <f>G23</f>
        <v>0</v>
      </c>
      <c r="H59" s="78">
        <v>1</v>
      </c>
      <c r="I59" s="89">
        <f t="shared" ref="I59" si="24">G59*H59</f>
        <v>0</v>
      </c>
      <c r="J59" s="65"/>
      <c r="K59" s="67">
        <f t="shared" si="18"/>
        <v>-0.79</v>
      </c>
      <c r="L59" s="96">
        <f t="shared" si="15"/>
        <v>-1</v>
      </c>
    </row>
    <row r="60" spans="1:12" x14ac:dyDescent="0.25">
      <c r="A60" s="202" t="s">
        <v>47</v>
      </c>
      <c r="B60" s="203"/>
      <c r="C60" s="80"/>
      <c r="D60" s="80"/>
      <c r="E60" s="90">
        <f>SUM(E56:E59)</f>
        <v>35.579987199999991</v>
      </c>
      <c r="F60" s="77"/>
      <c r="G60" s="80"/>
      <c r="H60" s="80"/>
      <c r="I60" s="90">
        <f>SUM(I56:I59)</f>
        <v>34.59408719999999</v>
      </c>
      <c r="J60" s="65"/>
      <c r="K60" s="141">
        <f t="shared" si="18"/>
        <v>-0.98590000000000089</v>
      </c>
      <c r="L60" s="97">
        <f t="shared" si="15"/>
        <v>-2.7709397264763513E-2</v>
      </c>
    </row>
    <row r="61" spans="1:12" x14ac:dyDescent="0.25">
      <c r="A61" s="204" t="s">
        <v>48</v>
      </c>
      <c r="B61" s="197" t="s">
        <v>62</v>
      </c>
      <c r="C61" s="87">
        <f>C25</f>
        <v>7.4999999999999997E-3</v>
      </c>
      <c r="D61" s="81">
        <f>$C$45*$C$46</f>
        <v>834.4799999999999</v>
      </c>
      <c r="E61" s="89">
        <f t="shared" ref="E61:E62" si="25">C61*D61</f>
        <v>6.2585999999999986</v>
      </c>
      <c r="F61" s="77"/>
      <c r="G61" s="87">
        <f>G25</f>
        <v>7.4999999999999997E-3</v>
      </c>
      <c r="H61" s="81">
        <f>$C$45*$C$46</f>
        <v>834.4799999999999</v>
      </c>
      <c r="I61" s="89">
        <f t="shared" ref="I61:I62" si="26">G61*H61</f>
        <v>6.2585999999999986</v>
      </c>
      <c r="J61" s="65"/>
      <c r="K61" s="95">
        <f t="shared" si="18"/>
        <v>0</v>
      </c>
      <c r="L61" s="96" t="str">
        <f t="shared" si="15"/>
        <v xml:space="preserve"> 0.00%</v>
      </c>
    </row>
    <row r="62" spans="1:12" x14ac:dyDescent="0.25">
      <c r="A62" s="205" t="s">
        <v>49</v>
      </c>
      <c r="B62" s="197" t="s">
        <v>62</v>
      </c>
      <c r="C62" s="87">
        <f>C26</f>
        <v>5.4000000000000003E-3</v>
      </c>
      <c r="D62" s="81">
        <f>$C$45*$C$46</f>
        <v>834.4799999999999</v>
      </c>
      <c r="E62" s="89">
        <f t="shared" si="25"/>
        <v>4.5061919999999995</v>
      </c>
      <c r="F62" s="77"/>
      <c r="G62" s="87">
        <f>G26</f>
        <v>5.4000000000000003E-3</v>
      </c>
      <c r="H62" s="81">
        <f>$C$45*$C$46</f>
        <v>834.4799999999999</v>
      </c>
      <c r="I62" s="89">
        <f t="shared" si="26"/>
        <v>4.5061919999999995</v>
      </c>
      <c r="J62" s="65"/>
      <c r="K62" s="95">
        <f t="shared" si="18"/>
        <v>0</v>
      </c>
      <c r="L62" s="96" t="str">
        <f t="shared" si="15"/>
        <v xml:space="preserve"> 0.00%</v>
      </c>
    </row>
    <row r="63" spans="1:12" x14ac:dyDescent="0.25">
      <c r="A63" s="202" t="s">
        <v>50</v>
      </c>
      <c r="B63" s="200"/>
      <c r="C63" s="80"/>
      <c r="D63" s="80"/>
      <c r="E63" s="90">
        <f>SUM(E60:E62)</f>
        <v>46.344779199999991</v>
      </c>
      <c r="F63" s="82"/>
      <c r="G63" s="80"/>
      <c r="H63" s="80"/>
      <c r="I63" s="90">
        <f>SUM(I60:I62)</f>
        <v>45.35887919999999</v>
      </c>
      <c r="J63" s="66"/>
      <c r="K63" s="141">
        <f t="shared" si="18"/>
        <v>-0.98590000000000089</v>
      </c>
      <c r="L63" s="97">
        <f t="shared" si="15"/>
        <v>-2.1273162091146602E-2</v>
      </c>
    </row>
    <row r="64" spans="1:12" x14ac:dyDescent="0.25">
      <c r="A64" s="206" t="s">
        <v>51</v>
      </c>
      <c r="B64" s="197" t="s">
        <v>62</v>
      </c>
      <c r="C64" s="88">
        <f t="shared" ref="C64:C69" si="27">C28</f>
        <v>4.4000000000000003E-3</v>
      </c>
      <c r="D64" s="81">
        <f t="shared" ref="D64:D65" si="28">$C$45*$C$46</f>
        <v>834.4799999999999</v>
      </c>
      <c r="E64" s="67">
        <f t="shared" ref="E64:E68" si="29">C64*D64</f>
        <v>3.6717119999999999</v>
      </c>
      <c r="F64" s="79"/>
      <c r="G64" s="88">
        <f t="shared" ref="G64:G69" si="30">G28</f>
        <v>4.4000000000000003E-3</v>
      </c>
      <c r="H64" s="81">
        <f t="shared" ref="H64:H65" si="31">$C$45*$C$46</f>
        <v>834.4799999999999</v>
      </c>
      <c r="I64" s="67">
        <f t="shared" ref="I64:I68" si="32">G64*H64</f>
        <v>3.6717119999999999</v>
      </c>
      <c r="J64" s="65"/>
      <c r="K64" s="95">
        <f t="shared" si="18"/>
        <v>0</v>
      </c>
      <c r="L64" s="96" t="str">
        <f t="shared" si="15"/>
        <v xml:space="preserve"> 0.00%</v>
      </c>
    </row>
    <row r="65" spans="1:12" x14ac:dyDescent="0.25">
      <c r="A65" s="206" t="s">
        <v>52</v>
      </c>
      <c r="B65" s="197" t="s">
        <v>62</v>
      </c>
      <c r="C65" s="88">
        <f t="shared" si="27"/>
        <v>1.2999999999999999E-3</v>
      </c>
      <c r="D65" s="81">
        <f t="shared" si="28"/>
        <v>834.4799999999999</v>
      </c>
      <c r="E65" s="67">
        <f t="shared" si="29"/>
        <v>1.0848239999999998</v>
      </c>
      <c r="F65" s="79"/>
      <c r="G65" s="88">
        <f t="shared" si="30"/>
        <v>1.2999999999999999E-3</v>
      </c>
      <c r="H65" s="81">
        <f t="shared" si="31"/>
        <v>834.4799999999999</v>
      </c>
      <c r="I65" s="67">
        <f t="shared" si="32"/>
        <v>1.0848239999999998</v>
      </c>
      <c r="J65" s="65"/>
      <c r="K65" s="95">
        <f t="shared" si="18"/>
        <v>0</v>
      </c>
      <c r="L65" s="96" t="str">
        <f t="shared" si="15"/>
        <v xml:space="preserve"> 0.00%</v>
      </c>
    </row>
    <row r="66" spans="1:12" x14ac:dyDescent="0.25">
      <c r="A66" s="196" t="s">
        <v>53</v>
      </c>
      <c r="B66" s="197" t="s">
        <v>61</v>
      </c>
      <c r="C66" s="69">
        <f t="shared" si="27"/>
        <v>0.25</v>
      </c>
      <c r="D66" s="81">
        <v>1</v>
      </c>
      <c r="E66" s="67">
        <f t="shared" si="29"/>
        <v>0.25</v>
      </c>
      <c r="F66" s="79"/>
      <c r="G66" s="69">
        <f t="shared" si="30"/>
        <v>0.25</v>
      </c>
      <c r="H66" s="81">
        <v>1</v>
      </c>
      <c r="I66" s="67">
        <f t="shared" si="32"/>
        <v>0.25</v>
      </c>
      <c r="J66" s="79"/>
      <c r="K66" s="95">
        <f t="shared" si="18"/>
        <v>0</v>
      </c>
      <c r="L66" s="96" t="str">
        <f t="shared" si="15"/>
        <v xml:space="preserve"> 0.00%</v>
      </c>
    </row>
    <row r="67" spans="1:12" x14ac:dyDescent="0.25">
      <c r="A67" s="196" t="s">
        <v>54</v>
      </c>
      <c r="B67" s="197" t="s">
        <v>62</v>
      </c>
      <c r="C67" s="83">
        <f t="shared" si="27"/>
        <v>0.08</v>
      </c>
      <c r="D67" s="81">
        <f>$C$45*0.64</f>
        <v>512</v>
      </c>
      <c r="E67" s="67">
        <f t="shared" si="29"/>
        <v>40.96</v>
      </c>
      <c r="F67" s="79"/>
      <c r="G67" s="83">
        <f t="shared" si="30"/>
        <v>0.08</v>
      </c>
      <c r="H67" s="81">
        <f>$C$45*0.64</f>
        <v>512</v>
      </c>
      <c r="I67" s="67">
        <f t="shared" si="32"/>
        <v>40.96</v>
      </c>
      <c r="J67" s="79"/>
      <c r="K67" s="95">
        <f t="shared" si="18"/>
        <v>0</v>
      </c>
      <c r="L67" s="96" t="str">
        <f t="shared" si="15"/>
        <v xml:space="preserve"> 0.00%</v>
      </c>
    </row>
    <row r="68" spans="1:12" x14ac:dyDescent="0.25">
      <c r="A68" s="196" t="s">
        <v>55</v>
      </c>
      <c r="B68" s="197" t="s">
        <v>62</v>
      </c>
      <c r="C68" s="83">
        <f t="shared" si="27"/>
        <v>0.122</v>
      </c>
      <c r="D68" s="81">
        <f>$C$45*0.18</f>
        <v>144</v>
      </c>
      <c r="E68" s="67">
        <f t="shared" si="29"/>
        <v>17.567999999999998</v>
      </c>
      <c r="F68" s="79"/>
      <c r="G68" s="83">
        <f t="shared" si="30"/>
        <v>0.122</v>
      </c>
      <c r="H68" s="81">
        <f>$C$45*0.18</f>
        <v>144</v>
      </c>
      <c r="I68" s="67">
        <f t="shared" si="32"/>
        <v>17.567999999999998</v>
      </c>
      <c r="J68" s="79"/>
      <c r="K68" s="95">
        <f t="shared" si="18"/>
        <v>0</v>
      </c>
      <c r="L68" s="96" t="str">
        <f t="shared" si="15"/>
        <v xml:space="preserve"> 0.00%</v>
      </c>
    </row>
    <row r="69" spans="1:12" ht="15.75" thickBot="1" x14ac:dyDescent="0.3">
      <c r="A69" s="207" t="s">
        <v>56</v>
      </c>
      <c r="B69" s="208" t="s">
        <v>62</v>
      </c>
      <c r="C69" s="83">
        <f t="shared" si="27"/>
        <v>0.161</v>
      </c>
      <c r="D69" s="81">
        <f>$C$45*0.18</f>
        <v>144</v>
      </c>
      <c r="E69" s="67">
        <f>C69*D69</f>
        <v>23.184000000000001</v>
      </c>
      <c r="F69" s="79"/>
      <c r="G69" s="83">
        <f t="shared" si="30"/>
        <v>0.161</v>
      </c>
      <c r="H69" s="81">
        <f>$C$45*0.18</f>
        <v>144</v>
      </c>
      <c r="I69" s="67">
        <f>G69*H69</f>
        <v>23.184000000000001</v>
      </c>
      <c r="J69" s="79"/>
      <c r="K69" s="95">
        <f t="shared" si="18"/>
        <v>0</v>
      </c>
      <c r="L69" s="96" t="str">
        <f t="shared" si="15"/>
        <v xml:space="preserve"> 0.00%</v>
      </c>
    </row>
    <row r="70" spans="1:12" ht="9" customHeight="1" thickBot="1" x14ac:dyDescent="0.3">
      <c r="A70" s="209"/>
      <c r="B70" s="210"/>
      <c r="C70" s="137"/>
      <c r="D70" s="84"/>
      <c r="E70" s="91"/>
      <c r="F70" s="84"/>
      <c r="G70" s="137"/>
      <c r="H70" s="84"/>
      <c r="I70" s="137"/>
      <c r="J70" s="84"/>
      <c r="K70" s="138"/>
      <c r="L70" s="98"/>
    </row>
    <row r="71" spans="1:12" x14ac:dyDescent="0.25">
      <c r="A71" s="211" t="s">
        <v>57</v>
      </c>
      <c r="B71" s="212"/>
      <c r="C71" s="102"/>
      <c r="D71" s="103"/>
      <c r="E71" s="92">
        <f>SUM(E63:E69)</f>
        <v>133.06331520000001</v>
      </c>
      <c r="F71" s="104"/>
      <c r="G71" s="105"/>
      <c r="H71" s="103"/>
      <c r="I71" s="139">
        <f>SUM(I63:I69)</f>
        <v>132.07741519999999</v>
      </c>
      <c r="J71" s="85"/>
      <c r="K71" s="140">
        <f t="shared" ref="K71:K75" si="33">I71-E71</f>
        <v>-0.9859000000000151</v>
      </c>
      <c r="L71" s="68">
        <f t="shared" si="15"/>
        <v>-7.4092547485244964E-3</v>
      </c>
    </row>
    <row r="72" spans="1:12" x14ac:dyDescent="0.25">
      <c r="A72" s="213" t="s">
        <v>58</v>
      </c>
      <c r="B72" s="214"/>
      <c r="C72" s="102">
        <v>0.13</v>
      </c>
      <c r="D72" s="106"/>
      <c r="E72" s="93">
        <f>E71*C72</f>
        <v>17.298230976000003</v>
      </c>
      <c r="F72" s="74"/>
      <c r="G72" s="102">
        <v>0.13</v>
      </c>
      <c r="H72" s="106"/>
      <c r="I72" s="100">
        <f>I71*G72</f>
        <v>17.170063975999998</v>
      </c>
      <c r="J72" s="86"/>
      <c r="K72" s="67">
        <f t="shared" si="33"/>
        <v>-0.1281670000000048</v>
      </c>
      <c r="L72" s="96">
        <f t="shared" si="15"/>
        <v>-7.4092547485247184E-3</v>
      </c>
    </row>
    <row r="73" spans="1:12" hidden="1" x14ac:dyDescent="0.25">
      <c r="A73" s="215" t="s">
        <v>117</v>
      </c>
      <c r="B73" s="214"/>
      <c r="C73" s="74"/>
      <c r="D73" s="106"/>
      <c r="E73" s="93">
        <f>E71+E72</f>
        <v>150.36154617600002</v>
      </c>
      <c r="F73" s="74"/>
      <c r="G73" s="74"/>
      <c r="H73" s="106"/>
      <c r="I73" s="100">
        <f>I71+I72</f>
        <v>149.24747917599998</v>
      </c>
      <c r="J73" s="86"/>
      <c r="K73" s="67">
        <f t="shared" si="33"/>
        <v>-1.1140670000000341</v>
      </c>
      <c r="L73" s="96">
        <f t="shared" ref="L73" si="34">I73/E73-1</f>
        <v>-7.4092547485246074E-3</v>
      </c>
    </row>
    <row r="74" spans="1:12" hidden="1" x14ac:dyDescent="0.25">
      <c r="A74" s="216"/>
      <c r="B74" s="214"/>
      <c r="C74" s="74"/>
      <c r="D74" s="106"/>
      <c r="E74" s="94">
        <v>0</v>
      </c>
      <c r="F74" s="74"/>
      <c r="G74" s="74"/>
      <c r="H74" s="106"/>
      <c r="I74" s="101">
        <v>0</v>
      </c>
      <c r="J74" s="86"/>
      <c r="K74" s="67">
        <f t="shared" si="33"/>
        <v>0</v>
      </c>
      <c r="L74" s="101">
        <v>0</v>
      </c>
    </row>
    <row r="75" spans="1:12" ht="15.75" thickBot="1" x14ac:dyDescent="0.3">
      <c r="A75" s="217" t="s">
        <v>96</v>
      </c>
      <c r="B75" s="218"/>
      <c r="C75" s="142"/>
      <c r="D75" s="143"/>
      <c r="E75" s="144">
        <f>E73+E74</f>
        <v>150.36154617600002</v>
      </c>
      <c r="F75" s="145"/>
      <c r="G75" s="145"/>
      <c r="H75" s="145"/>
      <c r="I75" s="149">
        <f>I73+I74</f>
        <v>149.24747917599998</v>
      </c>
      <c r="J75" s="146"/>
      <c r="K75" s="147">
        <f t="shared" si="33"/>
        <v>-1.1140670000000341</v>
      </c>
      <c r="L75" s="148">
        <f t="shared" ref="L75" si="35">IF(I75-E75=0, " 0.00%", I75/E75-1)</f>
        <v>-7.4092547485246074E-3</v>
      </c>
    </row>
    <row r="76" spans="1:12" ht="9" customHeight="1" thickBot="1" x14ac:dyDescent="0.3">
      <c r="A76" s="209"/>
      <c r="B76" s="210"/>
      <c r="C76" s="137"/>
      <c r="D76" s="84"/>
      <c r="E76" s="91"/>
      <c r="F76" s="84"/>
      <c r="G76" s="137"/>
      <c r="H76" s="84"/>
      <c r="I76" s="137"/>
      <c r="J76" s="84"/>
      <c r="K76" s="138"/>
      <c r="L76" s="98"/>
    </row>
    <row r="79" spans="1:12" x14ac:dyDescent="0.25">
      <c r="A79" s="229" t="s">
        <v>97</v>
      </c>
      <c r="B79" s="230"/>
      <c r="C79" s="231"/>
    </row>
    <row r="80" spans="1:12" hidden="1" x14ac:dyDescent="0.25">
      <c r="A80" s="233"/>
      <c r="B80" s="234"/>
      <c r="C80" s="235"/>
    </row>
    <row r="81" spans="1:12" x14ac:dyDescent="0.25">
      <c r="A81" s="233" t="s">
        <v>66</v>
      </c>
      <c r="B81" s="234"/>
      <c r="C81" s="240">
        <f>'2018 Bill Impact'!C81</f>
        <v>1500</v>
      </c>
    </row>
    <row r="82" spans="1:12" x14ac:dyDescent="0.25">
      <c r="A82" s="237" t="s">
        <v>65</v>
      </c>
      <c r="B82" s="238"/>
      <c r="C82" s="241">
        <f>'2018 Bill Impact'!C82</f>
        <v>1.0430999999999999</v>
      </c>
    </row>
    <row r="84" spans="1:12" x14ac:dyDescent="0.25">
      <c r="A84" s="187"/>
      <c r="B84" s="188"/>
      <c r="C84" s="258" t="s">
        <v>68</v>
      </c>
      <c r="D84" s="259"/>
      <c r="E84" s="260"/>
      <c r="F84" s="187"/>
      <c r="G84" s="258" t="s">
        <v>69</v>
      </c>
      <c r="H84" s="259"/>
      <c r="I84" s="260"/>
      <c r="J84" s="187"/>
      <c r="K84" s="258" t="s">
        <v>39</v>
      </c>
      <c r="L84" s="260"/>
    </row>
    <row r="85" spans="1:12" ht="15" customHeight="1" x14ac:dyDescent="0.25">
      <c r="A85" s="187"/>
      <c r="B85" s="189"/>
      <c r="C85" s="190" t="s">
        <v>108</v>
      </c>
      <c r="D85" s="190" t="s">
        <v>35</v>
      </c>
      <c r="E85" s="191" t="s">
        <v>109</v>
      </c>
      <c r="F85" s="187"/>
      <c r="G85" s="190" t="s">
        <v>108</v>
      </c>
      <c r="H85" s="190" t="s">
        <v>35</v>
      </c>
      <c r="I85" s="191" t="s">
        <v>109</v>
      </c>
      <c r="J85" s="187"/>
      <c r="K85" s="192" t="s">
        <v>40</v>
      </c>
      <c r="L85" s="193" t="s">
        <v>41</v>
      </c>
    </row>
    <row r="86" spans="1:12" x14ac:dyDescent="0.25">
      <c r="A86" s="194" t="s">
        <v>36</v>
      </c>
      <c r="B86" s="195" t="s">
        <v>61</v>
      </c>
      <c r="C86" s="67">
        <f t="shared" ref="C86:C91" si="36">C50</f>
        <v>23.18</v>
      </c>
      <c r="D86" s="109">
        <v>1</v>
      </c>
      <c r="E86" s="67">
        <f>C86*D86</f>
        <v>23.18</v>
      </c>
      <c r="F86" s="75"/>
      <c r="G86" s="67">
        <f t="shared" ref="G86:G91" si="37">G50</f>
        <v>26.57</v>
      </c>
      <c r="H86" s="109">
        <v>1</v>
      </c>
      <c r="I86" s="67">
        <f>G86*H86</f>
        <v>26.57</v>
      </c>
      <c r="J86" s="75"/>
      <c r="K86" s="67">
        <f>I86-E86</f>
        <v>3.3900000000000006</v>
      </c>
      <c r="L86" s="96">
        <f t="shared" ref="L86:L108" si="38">IF(I86-E86=0, " 0.00%", I86/E86-1)</f>
        <v>0.14624676445211393</v>
      </c>
    </row>
    <row r="87" spans="1:12" x14ac:dyDescent="0.25">
      <c r="A87" s="196" t="s">
        <v>60</v>
      </c>
      <c r="B87" s="197" t="s">
        <v>61</v>
      </c>
      <c r="C87" s="67">
        <f t="shared" si="36"/>
        <v>-0.23180000000000001</v>
      </c>
      <c r="D87" s="109">
        <v>1</v>
      </c>
      <c r="E87" s="67">
        <f t="shared" ref="E87:E91" si="39">C87*D87</f>
        <v>-0.23180000000000001</v>
      </c>
      <c r="F87" s="75"/>
      <c r="G87" s="67">
        <f t="shared" si="37"/>
        <v>-0.26569999999999999</v>
      </c>
      <c r="H87" s="109">
        <v>1</v>
      </c>
      <c r="I87" s="67">
        <f t="shared" ref="I87:I91" si="40">G87*H87</f>
        <v>-0.26569999999999999</v>
      </c>
      <c r="J87" s="86"/>
      <c r="K87" s="67">
        <f t="shared" ref="K87:K105" si="41">I87-E87</f>
        <v>-3.3899999999999986E-2</v>
      </c>
      <c r="L87" s="96">
        <f t="shared" si="38"/>
        <v>0.14624676445211393</v>
      </c>
    </row>
    <row r="88" spans="1:12" x14ac:dyDescent="0.25">
      <c r="A88" s="196" t="s">
        <v>63</v>
      </c>
      <c r="B88" s="197" t="s">
        <v>61</v>
      </c>
      <c r="C88" s="67">
        <f t="shared" si="36"/>
        <v>0.64</v>
      </c>
      <c r="D88" s="109">
        <v>1</v>
      </c>
      <c r="E88" s="67">
        <f t="shared" si="39"/>
        <v>0.64</v>
      </c>
      <c r="F88" s="75"/>
      <c r="G88" s="67">
        <f t="shared" si="37"/>
        <v>0.64</v>
      </c>
      <c r="H88" s="109">
        <v>1</v>
      </c>
      <c r="I88" s="67">
        <f t="shared" si="40"/>
        <v>0.64</v>
      </c>
      <c r="J88" s="86"/>
      <c r="K88" s="67">
        <f t="shared" si="41"/>
        <v>0</v>
      </c>
      <c r="L88" s="96" t="str">
        <f t="shared" si="38"/>
        <v xml:space="preserve"> 0.00%</v>
      </c>
    </row>
    <row r="89" spans="1:12" x14ac:dyDescent="0.25">
      <c r="A89" s="196" t="s">
        <v>42</v>
      </c>
      <c r="B89" s="197" t="s">
        <v>62</v>
      </c>
      <c r="C89" s="70">
        <f t="shared" si="36"/>
        <v>8.8999999999999999E-3</v>
      </c>
      <c r="D89" s="76">
        <f>$C$81</f>
        <v>1500</v>
      </c>
      <c r="E89" s="67">
        <f t="shared" si="39"/>
        <v>13.35</v>
      </c>
      <c r="F89" s="75"/>
      <c r="G89" s="70">
        <f t="shared" si="37"/>
        <v>4.4000000000000003E-3</v>
      </c>
      <c r="H89" s="76">
        <f>$C$81</f>
        <v>1500</v>
      </c>
      <c r="I89" s="67">
        <f t="shared" si="40"/>
        <v>6.6000000000000005</v>
      </c>
      <c r="J89" s="86"/>
      <c r="K89" s="67">
        <f t="shared" si="41"/>
        <v>-6.7499999999999991</v>
      </c>
      <c r="L89" s="96">
        <f t="shared" si="38"/>
        <v>-0.50561797752808979</v>
      </c>
    </row>
    <row r="90" spans="1:12" x14ac:dyDescent="0.25">
      <c r="A90" s="196" t="s">
        <v>60</v>
      </c>
      <c r="B90" s="197" t="s">
        <v>62</v>
      </c>
      <c r="C90" s="70">
        <f t="shared" si="36"/>
        <v>-1E-4</v>
      </c>
      <c r="D90" s="76">
        <f>$C$81</f>
        <v>1500</v>
      </c>
      <c r="E90" s="67">
        <f t="shared" si="39"/>
        <v>-0.15</v>
      </c>
      <c r="F90" s="75"/>
      <c r="G90" s="245">
        <f t="shared" si="37"/>
        <v>-4.0000000000000003E-5</v>
      </c>
      <c r="H90" s="76">
        <f>$C$81</f>
        <v>1500</v>
      </c>
      <c r="I90" s="67">
        <f t="shared" si="40"/>
        <v>-6.0000000000000005E-2</v>
      </c>
      <c r="J90" s="86"/>
      <c r="K90" s="67">
        <f t="shared" si="41"/>
        <v>0.09</v>
      </c>
      <c r="L90" s="96">
        <f t="shared" si="38"/>
        <v>-0.6</v>
      </c>
    </row>
    <row r="91" spans="1:12" x14ac:dyDescent="0.25">
      <c r="A91" s="198" t="s">
        <v>64</v>
      </c>
      <c r="B91" s="197" t="s">
        <v>62</v>
      </c>
      <c r="C91" s="70">
        <f t="shared" si="36"/>
        <v>8.0000000000000004E-4</v>
      </c>
      <c r="D91" s="76">
        <f>$C$81</f>
        <v>1500</v>
      </c>
      <c r="E91" s="67">
        <f t="shared" si="39"/>
        <v>1.2</v>
      </c>
      <c r="F91" s="75"/>
      <c r="G91" s="70">
        <f t="shared" si="37"/>
        <v>8.0000000000000004E-4</v>
      </c>
      <c r="H91" s="76">
        <f>$C$81</f>
        <v>1500</v>
      </c>
      <c r="I91" s="67">
        <f t="shared" si="40"/>
        <v>1.2</v>
      </c>
      <c r="J91" s="86"/>
      <c r="K91" s="67">
        <f t="shared" si="41"/>
        <v>0</v>
      </c>
      <c r="L91" s="96" t="str">
        <f t="shared" si="38"/>
        <v xml:space="preserve"> 0.00%</v>
      </c>
    </row>
    <row r="92" spans="1:12" x14ac:dyDescent="0.25">
      <c r="A92" s="199" t="s">
        <v>43</v>
      </c>
      <c r="B92" s="200"/>
      <c r="C92" s="64"/>
      <c r="D92" s="80"/>
      <c r="E92" s="63">
        <f>SUM(E86:E91)</f>
        <v>37.988200000000006</v>
      </c>
      <c r="F92" s="77"/>
      <c r="G92" s="64"/>
      <c r="H92" s="80"/>
      <c r="I92" s="63">
        <f>SUM(I86:I91)</f>
        <v>34.6843</v>
      </c>
      <c r="J92" s="65"/>
      <c r="K92" s="141">
        <f t="shared" si="41"/>
        <v>-3.3039000000000058</v>
      </c>
      <c r="L92" s="97">
        <f t="shared" si="38"/>
        <v>-8.6971743857303219E-2</v>
      </c>
    </row>
    <row r="93" spans="1:12" x14ac:dyDescent="0.25">
      <c r="A93" s="201" t="s">
        <v>44</v>
      </c>
      <c r="B93" s="197" t="s">
        <v>62</v>
      </c>
      <c r="C93" s="87">
        <f>C57</f>
        <v>0.10214000000000001</v>
      </c>
      <c r="D93" s="78">
        <f>($C$81*$C$46)-$C$81</f>
        <v>64.649999999999864</v>
      </c>
      <c r="E93" s="89">
        <f t="shared" ref="E93" si="42">C93*D93</f>
        <v>6.6033509999999866</v>
      </c>
      <c r="F93" s="77"/>
      <c r="G93" s="87">
        <f>G57</f>
        <v>0.10214000000000001</v>
      </c>
      <c r="H93" s="78">
        <f>($C$81*$C$46)-$C$81</f>
        <v>64.649999999999864</v>
      </c>
      <c r="I93" s="89">
        <f t="shared" ref="I93" si="43">G93*H93</f>
        <v>6.6033509999999866</v>
      </c>
      <c r="J93" s="65"/>
      <c r="K93" s="67">
        <f t="shared" si="41"/>
        <v>0</v>
      </c>
      <c r="L93" s="96" t="str">
        <f t="shared" si="38"/>
        <v xml:space="preserve"> 0.00%</v>
      </c>
    </row>
    <row r="94" spans="1:12" hidden="1" x14ac:dyDescent="0.25">
      <c r="A94" s="201" t="s">
        <v>45</v>
      </c>
      <c r="B94" s="197" t="s">
        <v>62</v>
      </c>
      <c r="C94" s="108">
        <f>C58</f>
        <v>0</v>
      </c>
      <c r="D94" s="78">
        <v>0</v>
      </c>
      <c r="E94" s="89">
        <v>0</v>
      </c>
      <c r="F94" s="77"/>
      <c r="G94" s="108">
        <f>G58</f>
        <v>0</v>
      </c>
      <c r="H94" s="78">
        <v>0</v>
      </c>
      <c r="I94" s="89">
        <v>0</v>
      </c>
      <c r="J94" s="65"/>
      <c r="K94" s="67">
        <f t="shared" si="41"/>
        <v>0</v>
      </c>
      <c r="L94" s="96" t="str">
        <f t="shared" si="38"/>
        <v xml:space="preserve"> 0.00%</v>
      </c>
    </row>
    <row r="95" spans="1:12" x14ac:dyDescent="0.25">
      <c r="A95" s="196" t="s">
        <v>46</v>
      </c>
      <c r="B95" s="197" t="s">
        <v>61</v>
      </c>
      <c r="C95" s="107">
        <f>C59</f>
        <v>0.79</v>
      </c>
      <c r="D95" s="78">
        <v>1</v>
      </c>
      <c r="E95" s="89">
        <f t="shared" ref="E95" si="44">C95*D95</f>
        <v>0.79</v>
      </c>
      <c r="F95" s="77"/>
      <c r="G95" s="107">
        <f>G59</f>
        <v>0</v>
      </c>
      <c r="H95" s="78">
        <v>1</v>
      </c>
      <c r="I95" s="89">
        <f t="shared" ref="I95" si="45">G95*H95</f>
        <v>0</v>
      </c>
      <c r="J95" s="65"/>
      <c r="K95" s="67">
        <f t="shared" si="41"/>
        <v>-0.79</v>
      </c>
      <c r="L95" s="96">
        <f t="shared" si="38"/>
        <v>-1</v>
      </c>
    </row>
    <row r="96" spans="1:12" x14ac:dyDescent="0.25">
      <c r="A96" s="202" t="s">
        <v>47</v>
      </c>
      <c r="B96" s="203"/>
      <c r="C96" s="80"/>
      <c r="D96" s="80"/>
      <c r="E96" s="90">
        <f>SUM(E92:E95)</f>
        <v>45.381550999999995</v>
      </c>
      <c r="F96" s="77"/>
      <c r="G96" s="80"/>
      <c r="H96" s="80"/>
      <c r="I96" s="90">
        <f>SUM(I92:I95)</f>
        <v>41.28765099999999</v>
      </c>
      <c r="J96" s="65"/>
      <c r="K96" s="141">
        <f t="shared" si="41"/>
        <v>-4.093900000000005</v>
      </c>
      <c r="L96" s="97">
        <f t="shared" si="38"/>
        <v>-9.0210667326024341E-2</v>
      </c>
    </row>
    <row r="97" spans="1:12" x14ac:dyDescent="0.25">
      <c r="A97" s="204" t="s">
        <v>48</v>
      </c>
      <c r="B97" s="197" t="s">
        <v>62</v>
      </c>
      <c r="C97" s="87">
        <f>C61</f>
        <v>7.4999999999999997E-3</v>
      </c>
      <c r="D97" s="81">
        <f>$C$81*$C$46</f>
        <v>1564.6499999999999</v>
      </c>
      <c r="E97" s="89">
        <f t="shared" ref="E97:E98" si="46">C97*D97</f>
        <v>11.734874999999999</v>
      </c>
      <c r="F97" s="77"/>
      <c r="G97" s="87">
        <f>G61</f>
        <v>7.4999999999999997E-3</v>
      </c>
      <c r="H97" s="81">
        <f>$C$81*$C$46</f>
        <v>1564.6499999999999</v>
      </c>
      <c r="I97" s="89">
        <f t="shared" ref="I97:I98" si="47">G97*H97</f>
        <v>11.734874999999999</v>
      </c>
      <c r="J97" s="65"/>
      <c r="K97" s="95">
        <f t="shared" si="41"/>
        <v>0</v>
      </c>
      <c r="L97" s="96" t="str">
        <f t="shared" si="38"/>
        <v xml:space="preserve"> 0.00%</v>
      </c>
    </row>
    <row r="98" spans="1:12" x14ac:dyDescent="0.25">
      <c r="A98" s="205" t="s">
        <v>49</v>
      </c>
      <c r="B98" s="197" t="s">
        <v>62</v>
      </c>
      <c r="C98" s="87">
        <f>C62</f>
        <v>5.4000000000000003E-3</v>
      </c>
      <c r="D98" s="81">
        <f>$C$81*$C$46</f>
        <v>1564.6499999999999</v>
      </c>
      <c r="E98" s="89">
        <f t="shared" si="46"/>
        <v>8.4491099999999992</v>
      </c>
      <c r="F98" s="77"/>
      <c r="G98" s="87">
        <f>G62</f>
        <v>5.4000000000000003E-3</v>
      </c>
      <c r="H98" s="81">
        <f>$C$81*$C$46</f>
        <v>1564.6499999999999</v>
      </c>
      <c r="I98" s="89">
        <f t="shared" si="47"/>
        <v>8.4491099999999992</v>
      </c>
      <c r="J98" s="65"/>
      <c r="K98" s="95">
        <f t="shared" si="41"/>
        <v>0</v>
      </c>
      <c r="L98" s="96" t="str">
        <f t="shared" si="38"/>
        <v xml:space="preserve"> 0.00%</v>
      </c>
    </row>
    <row r="99" spans="1:12" x14ac:dyDescent="0.25">
      <c r="A99" s="202" t="s">
        <v>50</v>
      </c>
      <c r="B99" s="200"/>
      <c r="C99" s="80"/>
      <c r="D99" s="80"/>
      <c r="E99" s="90">
        <f>SUM(E96:E98)</f>
        <v>65.565535999999994</v>
      </c>
      <c r="F99" s="82"/>
      <c r="G99" s="80"/>
      <c r="H99" s="80"/>
      <c r="I99" s="90">
        <f>SUM(I96:I98)</f>
        <v>61.471635999999982</v>
      </c>
      <c r="J99" s="66"/>
      <c r="K99" s="141">
        <f t="shared" si="41"/>
        <v>-4.0939000000000121</v>
      </c>
      <c r="L99" s="97">
        <f t="shared" si="38"/>
        <v>-6.2439815942326948E-2</v>
      </c>
    </row>
    <row r="100" spans="1:12" x14ac:dyDescent="0.25">
      <c r="A100" s="206" t="s">
        <v>51</v>
      </c>
      <c r="B100" s="197" t="s">
        <v>62</v>
      </c>
      <c r="C100" s="88">
        <f t="shared" ref="C100:C105" si="48">C64</f>
        <v>4.4000000000000003E-3</v>
      </c>
      <c r="D100" s="81">
        <f>$C$81*$C$46</f>
        <v>1564.6499999999999</v>
      </c>
      <c r="E100" s="67">
        <f t="shared" ref="E100:E104" si="49">C100*D100</f>
        <v>6.8844599999999998</v>
      </c>
      <c r="F100" s="79"/>
      <c r="G100" s="88">
        <f t="shared" ref="G100:G105" si="50">G64</f>
        <v>4.4000000000000003E-3</v>
      </c>
      <c r="H100" s="81">
        <f>$C$81*$C$46</f>
        <v>1564.6499999999999</v>
      </c>
      <c r="I100" s="67">
        <f t="shared" ref="I100:I104" si="51">G100*H100</f>
        <v>6.8844599999999998</v>
      </c>
      <c r="J100" s="65"/>
      <c r="K100" s="95">
        <f t="shared" si="41"/>
        <v>0</v>
      </c>
      <c r="L100" s="96" t="str">
        <f t="shared" si="38"/>
        <v xml:space="preserve"> 0.00%</v>
      </c>
    </row>
    <row r="101" spans="1:12" x14ac:dyDescent="0.25">
      <c r="A101" s="206" t="s">
        <v>52</v>
      </c>
      <c r="B101" s="197" t="s">
        <v>62</v>
      </c>
      <c r="C101" s="88">
        <f t="shared" si="48"/>
        <v>1.2999999999999999E-3</v>
      </c>
      <c r="D101" s="81">
        <f>$C$81*$C$46</f>
        <v>1564.6499999999999</v>
      </c>
      <c r="E101" s="67">
        <f t="shared" si="49"/>
        <v>2.0340449999999999</v>
      </c>
      <c r="F101" s="79"/>
      <c r="G101" s="88">
        <f t="shared" si="50"/>
        <v>1.2999999999999999E-3</v>
      </c>
      <c r="H101" s="81">
        <f>$C$81*$C$46</f>
        <v>1564.6499999999999</v>
      </c>
      <c r="I101" s="67">
        <f t="shared" si="51"/>
        <v>2.0340449999999999</v>
      </c>
      <c r="J101" s="65"/>
      <c r="K101" s="95">
        <f t="shared" si="41"/>
        <v>0</v>
      </c>
      <c r="L101" s="96" t="str">
        <f t="shared" si="38"/>
        <v xml:space="preserve"> 0.00%</v>
      </c>
    </row>
    <row r="102" spans="1:12" x14ac:dyDescent="0.25">
      <c r="A102" s="196" t="s">
        <v>53</v>
      </c>
      <c r="B102" s="197" t="s">
        <v>61</v>
      </c>
      <c r="C102" s="69">
        <f t="shared" si="48"/>
        <v>0.25</v>
      </c>
      <c r="D102" s="81">
        <v>1</v>
      </c>
      <c r="E102" s="67">
        <f t="shared" si="49"/>
        <v>0.25</v>
      </c>
      <c r="F102" s="79"/>
      <c r="G102" s="69">
        <f t="shared" si="50"/>
        <v>0.25</v>
      </c>
      <c r="H102" s="81">
        <v>1</v>
      </c>
      <c r="I102" s="67">
        <f t="shared" si="51"/>
        <v>0.25</v>
      </c>
      <c r="J102" s="79"/>
      <c r="K102" s="95">
        <f t="shared" si="41"/>
        <v>0</v>
      </c>
      <c r="L102" s="96" t="str">
        <f t="shared" si="38"/>
        <v xml:space="preserve"> 0.00%</v>
      </c>
    </row>
    <row r="103" spans="1:12" x14ac:dyDescent="0.25">
      <c r="A103" s="196" t="s">
        <v>54</v>
      </c>
      <c r="B103" s="197" t="s">
        <v>62</v>
      </c>
      <c r="C103" s="83">
        <f t="shared" si="48"/>
        <v>0.08</v>
      </c>
      <c r="D103" s="81">
        <f>$C$81*0.64</f>
        <v>960</v>
      </c>
      <c r="E103" s="67">
        <f t="shared" si="49"/>
        <v>76.8</v>
      </c>
      <c r="F103" s="79"/>
      <c r="G103" s="83">
        <f t="shared" si="50"/>
        <v>0.08</v>
      </c>
      <c r="H103" s="81">
        <f>$C$81*0.64</f>
        <v>960</v>
      </c>
      <c r="I103" s="67">
        <f t="shared" si="51"/>
        <v>76.8</v>
      </c>
      <c r="J103" s="79"/>
      <c r="K103" s="95">
        <f t="shared" si="41"/>
        <v>0</v>
      </c>
      <c r="L103" s="96" t="str">
        <f t="shared" si="38"/>
        <v xml:space="preserve"> 0.00%</v>
      </c>
    </row>
    <row r="104" spans="1:12" x14ac:dyDescent="0.25">
      <c r="A104" s="196" t="s">
        <v>55</v>
      </c>
      <c r="B104" s="197" t="s">
        <v>62</v>
      </c>
      <c r="C104" s="83">
        <f t="shared" si="48"/>
        <v>0.122</v>
      </c>
      <c r="D104" s="81">
        <f>$C$81*0.18</f>
        <v>270</v>
      </c>
      <c r="E104" s="67">
        <f t="shared" si="49"/>
        <v>32.94</v>
      </c>
      <c r="F104" s="79"/>
      <c r="G104" s="83">
        <f t="shared" si="50"/>
        <v>0.122</v>
      </c>
      <c r="H104" s="81">
        <f>$C$81*0.18</f>
        <v>270</v>
      </c>
      <c r="I104" s="67">
        <f t="shared" si="51"/>
        <v>32.94</v>
      </c>
      <c r="J104" s="79"/>
      <c r="K104" s="95">
        <f t="shared" si="41"/>
        <v>0</v>
      </c>
      <c r="L104" s="96" t="str">
        <f t="shared" si="38"/>
        <v xml:space="preserve"> 0.00%</v>
      </c>
    </row>
    <row r="105" spans="1:12" ht="15.75" thickBot="1" x14ac:dyDescent="0.3">
      <c r="A105" s="207" t="s">
        <v>56</v>
      </c>
      <c r="B105" s="208" t="s">
        <v>62</v>
      </c>
      <c r="C105" s="83">
        <f t="shared" si="48"/>
        <v>0.161</v>
      </c>
      <c r="D105" s="81">
        <f>$C$81*0.18</f>
        <v>270</v>
      </c>
      <c r="E105" s="67">
        <f>C105*D105</f>
        <v>43.47</v>
      </c>
      <c r="F105" s="79"/>
      <c r="G105" s="83">
        <f t="shared" si="50"/>
        <v>0.161</v>
      </c>
      <c r="H105" s="81">
        <f>$C$81*0.18</f>
        <v>270</v>
      </c>
      <c r="I105" s="67">
        <f>G105*H105</f>
        <v>43.47</v>
      </c>
      <c r="J105" s="79"/>
      <c r="K105" s="95">
        <f t="shared" si="41"/>
        <v>0</v>
      </c>
      <c r="L105" s="96" t="str">
        <f t="shared" si="38"/>
        <v xml:space="preserve"> 0.00%</v>
      </c>
    </row>
    <row r="106" spans="1:12" ht="9" customHeight="1" thickBot="1" x14ac:dyDescent="0.3">
      <c r="A106" s="209"/>
      <c r="B106" s="210"/>
      <c r="C106" s="137"/>
      <c r="D106" s="84"/>
      <c r="E106" s="91"/>
      <c r="F106" s="84"/>
      <c r="G106" s="137"/>
      <c r="H106" s="84"/>
      <c r="I106" s="137"/>
      <c r="J106" s="84"/>
      <c r="K106" s="138"/>
      <c r="L106" s="98"/>
    </row>
    <row r="107" spans="1:12" x14ac:dyDescent="0.25">
      <c r="A107" s="211" t="s">
        <v>57</v>
      </c>
      <c r="B107" s="212"/>
      <c r="C107" s="102"/>
      <c r="D107" s="103"/>
      <c r="E107" s="92">
        <f>SUM(E99:E105)</f>
        <v>227.944041</v>
      </c>
      <c r="F107" s="104"/>
      <c r="G107" s="105"/>
      <c r="H107" s="103"/>
      <c r="I107" s="139">
        <f>SUM(I99:I105)</f>
        <v>223.85014099999998</v>
      </c>
      <c r="J107" s="85"/>
      <c r="K107" s="140">
        <f t="shared" ref="K107:K111" si="52">I107-E107</f>
        <v>-4.0939000000000192</v>
      </c>
      <c r="L107" s="68">
        <f t="shared" si="38"/>
        <v>-1.7960109779750821E-2</v>
      </c>
    </row>
    <row r="108" spans="1:12" x14ac:dyDescent="0.25">
      <c r="A108" s="213" t="s">
        <v>58</v>
      </c>
      <c r="B108" s="214"/>
      <c r="C108" s="102">
        <v>0.13</v>
      </c>
      <c r="D108" s="106"/>
      <c r="E108" s="93">
        <f>E107*C108</f>
        <v>29.63272533</v>
      </c>
      <c r="F108" s="74"/>
      <c r="G108" s="102">
        <v>0.13</v>
      </c>
      <c r="H108" s="106"/>
      <c r="I108" s="100">
        <f>I107*G108</f>
        <v>29.10051833</v>
      </c>
      <c r="J108" s="86"/>
      <c r="K108" s="67">
        <f t="shared" si="52"/>
        <v>-0.53220699999999965</v>
      </c>
      <c r="L108" s="96">
        <f t="shared" si="38"/>
        <v>-1.796010977975071E-2</v>
      </c>
    </row>
    <row r="109" spans="1:12" hidden="1" x14ac:dyDescent="0.25">
      <c r="A109" s="215" t="s">
        <v>117</v>
      </c>
      <c r="B109" s="214"/>
      <c r="C109" s="74"/>
      <c r="D109" s="106"/>
      <c r="E109" s="93">
        <f>E107+E108</f>
        <v>257.57676633</v>
      </c>
      <c r="F109" s="74"/>
      <c r="G109" s="74"/>
      <c r="H109" s="106"/>
      <c r="I109" s="100">
        <f>I107+I108</f>
        <v>252.95065932999998</v>
      </c>
      <c r="J109" s="86"/>
      <c r="K109" s="67">
        <f t="shared" si="52"/>
        <v>-4.6261070000000188</v>
      </c>
      <c r="L109" s="96">
        <f t="shared" ref="L109" si="53">I109/E109-1</f>
        <v>-1.7960109779750821E-2</v>
      </c>
    </row>
    <row r="110" spans="1:12" hidden="1" x14ac:dyDescent="0.25">
      <c r="A110" s="216"/>
      <c r="B110" s="214"/>
      <c r="C110" s="74"/>
      <c r="D110" s="106"/>
      <c r="E110" s="94">
        <v>0</v>
      </c>
      <c r="F110" s="74"/>
      <c r="G110" s="74"/>
      <c r="H110" s="106"/>
      <c r="I110" s="101">
        <v>0</v>
      </c>
      <c r="J110" s="86"/>
      <c r="K110" s="67">
        <f t="shared" si="52"/>
        <v>0</v>
      </c>
      <c r="L110" s="101">
        <v>0</v>
      </c>
    </row>
    <row r="111" spans="1:12" ht="15.75" thickBot="1" x14ac:dyDescent="0.3">
      <c r="A111" s="217" t="s">
        <v>96</v>
      </c>
      <c r="B111" s="218"/>
      <c r="C111" s="142"/>
      <c r="D111" s="143"/>
      <c r="E111" s="144">
        <f>E109+E110</f>
        <v>257.57676633</v>
      </c>
      <c r="F111" s="145"/>
      <c r="G111" s="145"/>
      <c r="H111" s="145"/>
      <c r="I111" s="149">
        <f>I109+I110</f>
        <v>252.95065932999998</v>
      </c>
      <c r="J111" s="146"/>
      <c r="K111" s="147">
        <f t="shared" si="52"/>
        <v>-4.6261070000000188</v>
      </c>
      <c r="L111" s="148">
        <f t="shared" ref="L111" si="54">IF(I111-E111=0, " 0.00%", I111/E111-1)</f>
        <v>-1.7960109779750821E-2</v>
      </c>
    </row>
    <row r="112" spans="1:12" ht="9" customHeight="1" thickBot="1" x14ac:dyDescent="0.3">
      <c r="A112" s="209"/>
      <c r="B112" s="210"/>
      <c r="C112" s="137"/>
      <c r="D112" s="84"/>
      <c r="E112" s="91"/>
      <c r="F112" s="84"/>
      <c r="G112" s="137"/>
      <c r="H112" s="84"/>
      <c r="I112" s="137"/>
      <c r="J112" s="84"/>
      <c r="K112" s="138"/>
      <c r="L112" s="98"/>
    </row>
  </sheetData>
  <mergeCells count="9">
    <mergeCell ref="C84:E84"/>
    <mergeCell ref="G84:I84"/>
    <mergeCell ref="K84:L84"/>
    <mergeCell ref="C12:E12"/>
    <mergeCell ref="G12:I12"/>
    <mergeCell ref="K12:L12"/>
    <mergeCell ref="C48:E48"/>
    <mergeCell ref="G48:I48"/>
    <mergeCell ref="K48:L48"/>
  </mergeCells>
  <pageMargins left="0.7" right="0.7" top="0.75" bottom="0.75" header="0.3" footer="0.3"/>
  <pageSetup scale="48" orientation="portrait" r:id="rId1"/>
  <headerFooter>
    <oddHeader>&amp;RFiled: 2016-10-18
EB-2016-0082
Draft Rate Order
Attachment 3
Page &amp;P of &amp;N</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pageSetUpPr fitToPage="1"/>
  </sheetPr>
  <dimension ref="A1:L112"/>
  <sheetViews>
    <sheetView showGridLines="0" tabSelected="1" view="pageLayout" topLeftCell="B1" zoomScaleNormal="90" workbookViewId="0">
      <selection activeCell="L1" sqref="L1"/>
    </sheetView>
  </sheetViews>
  <sheetFormatPr defaultColWidth="9.140625" defaultRowHeight="15" x14ac:dyDescent="0.25"/>
  <cols>
    <col min="1" max="1" width="64.85546875" style="232" bestFit="1" customWidth="1"/>
    <col min="2" max="2" width="9.140625" style="232"/>
    <col min="3" max="3" width="11.7109375" style="232" bestFit="1" customWidth="1"/>
    <col min="4" max="4" width="9.140625" style="186"/>
    <col min="5" max="5" width="11.5703125" style="186" bestFit="1" customWidth="1"/>
    <col min="6" max="6" width="9.140625" style="186"/>
    <col min="7" max="7" width="11.7109375" style="186" bestFit="1" customWidth="1"/>
    <col min="8" max="8" width="9.140625" style="186"/>
    <col min="9" max="9" width="11.5703125" style="186" bestFit="1" customWidth="1"/>
    <col min="10" max="10" width="9.28515625" style="186" customWidth="1"/>
    <col min="11" max="11" width="9.5703125" style="186" bestFit="1" customWidth="1"/>
    <col min="12" max="12" width="10" style="186" bestFit="1" customWidth="1"/>
    <col min="13" max="16384" width="9.140625" style="186"/>
  </cols>
  <sheetData>
    <row r="1" spans="1:12" s="183" customFormat="1" x14ac:dyDescent="0.25">
      <c r="E1" s="184"/>
      <c r="L1" s="185"/>
    </row>
    <row r="2" spans="1:12" s="183" customFormat="1" x14ac:dyDescent="0.25">
      <c r="E2" s="184"/>
      <c r="L2" s="185"/>
    </row>
    <row r="3" spans="1:12" s="183" customFormat="1" x14ac:dyDescent="0.25">
      <c r="E3" s="184"/>
      <c r="L3" s="185"/>
    </row>
    <row r="4" spans="1:12" s="183" customFormat="1" x14ac:dyDescent="0.25">
      <c r="E4" s="184"/>
      <c r="L4" s="185"/>
    </row>
    <row r="5" spans="1:12" s="183" customFormat="1" x14ac:dyDescent="0.25">
      <c r="E5" s="184"/>
      <c r="L5" s="242"/>
    </row>
    <row r="7" spans="1:12" x14ac:dyDescent="0.25">
      <c r="A7" s="229" t="s">
        <v>97</v>
      </c>
      <c r="B7" s="230"/>
      <c r="C7" s="231"/>
    </row>
    <row r="8" spans="1:12" hidden="1" x14ac:dyDescent="0.25">
      <c r="A8" s="233"/>
      <c r="B8" s="234"/>
      <c r="C8" s="235"/>
    </row>
    <row r="9" spans="1:12" x14ac:dyDescent="0.25">
      <c r="A9" s="233" t="s">
        <v>66</v>
      </c>
      <c r="B9" s="234"/>
      <c r="C9" s="240">
        <f>'2019 Bill Impact'!C9</f>
        <v>285</v>
      </c>
    </row>
    <row r="10" spans="1:12" x14ac:dyDescent="0.25">
      <c r="A10" s="237" t="s">
        <v>65</v>
      </c>
      <c r="B10" s="238"/>
      <c r="C10" s="241">
        <f>'2019 Bill Impact'!C10</f>
        <v>1.0430999999999999</v>
      </c>
    </row>
    <row r="12" spans="1:12" x14ac:dyDescent="0.25">
      <c r="A12" s="187"/>
      <c r="B12" s="188"/>
      <c r="C12" s="258" t="s">
        <v>69</v>
      </c>
      <c r="D12" s="259"/>
      <c r="E12" s="260"/>
      <c r="F12" s="187"/>
      <c r="G12" s="258" t="s">
        <v>70</v>
      </c>
      <c r="H12" s="259"/>
      <c r="I12" s="260"/>
      <c r="J12" s="187"/>
      <c r="K12" s="258" t="s">
        <v>39</v>
      </c>
      <c r="L12" s="260"/>
    </row>
    <row r="13" spans="1:12" ht="15" customHeight="1" x14ac:dyDescent="0.25">
      <c r="A13" s="187"/>
      <c r="B13" s="189"/>
      <c r="C13" s="190" t="s">
        <v>108</v>
      </c>
      <c r="D13" s="190" t="s">
        <v>35</v>
      </c>
      <c r="E13" s="191" t="s">
        <v>109</v>
      </c>
      <c r="F13" s="187"/>
      <c r="G13" s="190" t="s">
        <v>108</v>
      </c>
      <c r="H13" s="190" t="s">
        <v>35</v>
      </c>
      <c r="I13" s="191" t="s">
        <v>109</v>
      </c>
      <c r="J13" s="187"/>
      <c r="K13" s="192" t="s">
        <v>40</v>
      </c>
      <c r="L13" s="193" t="s">
        <v>41</v>
      </c>
    </row>
    <row r="14" spans="1:12" x14ac:dyDescent="0.25">
      <c r="A14" s="194" t="s">
        <v>36</v>
      </c>
      <c r="B14" s="195" t="s">
        <v>61</v>
      </c>
      <c r="C14" s="67">
        <f>'2019 Bill Impact'!G14</f>
        <v>26.57</v>
      </c>
      <c r="D14" s="109">
        <v>1</v>
      </c>
      <c r="E14" s="67">
        <f>C14*D14</f>
        <v>26.57</v>
      </c>
      <c r="F14" s="75"/>
      <c r="G14" s="67">
        <f>App.2PA_Res_Rate_Design_20!D43</f>
        <v>29.98</v>
      </c>
      <c r="H14" s="109">
        <v>1</v>
      </c>
      <c r="I14" s="67">
        <f>G14*H14</f>
        <v>29.98</v>
      </c>
      <c r="J14" s="75"/>
      <c r="K14" s="67">
        <f>I14-E14</f>
        <v>3.41</v>
      </c>
      <c r="L14" s="96">
        <f t="shared" ref="L14:L36" si="0">IF(I14-E14=0, " 0.00%", I14/E14-1)</f>
        <v>0.12834023334587874</v>
      </c>
    </row>
    <row r="15" spans="1:12" x14ac:dyDescent="0.25">
      <c r="A15" s="196" t="s">
        <v>60</v>
      </c>
      <c r="B15" s="197" t="s">
        <v>61</v>
      </c>
      <c r="C15" s="67">
        <f>'2019 Bill Impact'!G15</f>
        <v>-0.26569999999999999</v>
      </c>
      <c r="D15" s="109">
        <v>1</v>
      </c>
      <c r="E15" s="67">
        <f t="shared" ref="E15:E32" si="1">C15*D15</f>
        <v>-0.26569999999999999</v>
      </c>
      <c r="F15" s="75"/>
      <c r="G15" s="67">
        <f>-G14*0.01</f>
        <v>-0.29980000000000001</v>
      </c>
      <c r="H15" s="109">
        <v>1</v>
      </c>
      <c r="I15" s="67">
        <f t="shared" ref="I15:I19" si="2">G15*H15</f>
        <v>-0.29980000000000001</v>
      </c>
      <c r="J15" s="86"/>
      <c r="K15" s="67">
        <f t="shared" ref="K15:K33" si="3">I15-E15</f>
        <v>-3.4100000000000019E-2</v>
      </c>
      <c r="L15" s="96">
        <f t="shared" si="0"/>
        <v>0.12834023334587896</v>
      </c>
    </row>
    <row r="16" spans="1:12" x14ac:dyDescent="0.25">
      <c r="A16" s="196" t="s">
        <v>63</v>
      </c>
      <c r="B16" s="197" t="s">
        <v>61</v>
      </c>
      <c r="C16" s="67">
        <f>'2019 Bill Impact'!G16</f>
        <v>0.64</v>
      </c>
      <c r="D16" s="109">
        <v>1</v>
      </c>
      <c r="E16" s="67">
        <f t="shared" si="1"/>
        <v>0.64</v>
      </c>
      <c r="F16" s="75"/>
      <c r="G16" s="67">
        <v>0.64</v>
      </c>
      <c r="H16" s="109">
        <v>1</v>
      </c>
      <c r="I16" s="67">
        <f t="shared" si="2"/>
        <v>0.64</v>
      </c>
      <c r="J16" s="86"/>
      <c r="K16" s="67">
        <f t="shared" si="3"/>
        <v>0</v>
      </c>
      <c r="L16" s="96" t="str">
        <f t="shared" si="0"/>
        <v xml:space="preserve"> 0.00%</v>
      </c>
    </row>
    <row r="17" spans="1:12" x14ac:dyDescent="0.25">
      <c r="A17" s="196" t="s">
        <v>42</v>
      </c>
      <c r="B17" s="197" t="s">
        <v>62</v>
      </c>
      <c r="C17" s="70">
        <f>'2019 Bill Impact'!G17</f>
        <v>4.4000000000000003E-3</v>
      </c>
      <c r="D17" s="76">
        <f>$C$9</f>
        <v>285</v>
      </c>
      <c r="E17" s="67">
        <f t="shared" si="1"/>
        <v>1.254</v>
      </c>
      <c r="F17" s="75"/>
      <c r="G17" s="70">
        <f>App.2PA_Res_Rate_Design_20!D44</f>
        <v>0</v>
      </c>
      <c r="H17" s="76">
        <f>$C$9</f>
        <v>285</v>
      </c>
      <c r="I17" s="67">
        <f t="shared" si="2"/>
        <v>0</v>
      </c>
      <c r="J17" s="86"/>
      <c r="K17" s="67">
        <f t="shared" si="3"/>
        <v>-1.254</v>
      </c>
      <c r="L17" s="96">
        <f t="shared" si="0"/>
        <v>-1</v>
      </c>
    </row>
    <row r="18" spans="1:12" x14ac:dyDescent="0.25">
      <c r="A18" s="196" t="s">
        <v>60</v>
      </c>
      <c r="B18" s="197" t="s">
        <v>62</v>
      </c>
      <c r="C18" s="70">
        <f>'2019 Bill Impact'!G18</f>
        <v>-4.0000000000000003E-5</v>
      </c>
      <c r="D18" s="76">
        <f t="shared" ref="D18:D19" si="4">$C$9</f>
        <v>285</v>
      </c>
      <c r="E18" s="67">
        <f t="shared" si="1"/>
        <v>-1.14E-2</v>
      </c>
      <c r="F18" s="75"/>
      <c r="G18" s="70">
        <f>ROUND(-G17*0.01,5)</f>
        <v>0</v>
      </c>
      <c r="H18" s="76">
        <f t="shared" ref="H18:H19" si="5">$C$9</f>
        <v>285</v>
      </c>
      <c r="I18" s="67">
        <f t="shared" si="2"/>
        <v>0</v>
      </c>
      <c r="J18" s="86"/>
      <c r="K18" s="67">
        <f t="shared" si="3"/>
        <v>1.14E-2</v>
      </c>
      <c r="L18" s="96">
        <f t="shared" si="0"/>
        <v>-1</v>
      </c>
    </row>
    <row r="19" spans="1:12" x14ac:dyDescent="0.25">
      <c r="A19" s="198" t="s">
        <v>64</v>
      </c>
      <c r="B19" s="197" t="s">
        <v>62</v>
      </c>
      <c r="C19" s="70">
        <f>'2019 Bill Impact'!G19</f>
        <v>8.0000000000000004E-4</v>
      </c>
      <c r="D19" s="76">
        <f t="shared" si="4"/>
        <v>285</v>
      </c>
      <c r="E19" s="67">
        <f t="shared" si="1"/>
        <v>0.22800000000000001</v>
      </c>
      <c r="F19" s="75"/>
      <c r="G19" s="70">
        <v>8.0000000000000004E-4</v>
      </c>
      <c r="H19" s="76">
        <f t="shared" si="5"/>
        <v>285</v>
      </c>
      <c r="I19" s="67">
        <f t="shared" si="2"/>
        <v>0.22800000000000001</v>
      </c>
      <c r="J19" s="86"/>
      <c r="K19" s="67">
        <f t="shared" si="3"/>
        <v>0</v>
      </c>
      <c r="L19" s="96" t="str">
        <f t="shared" si="0"/>
        <v xml:space="preserve"> 0.00%</v>
      </c>
    </row>
    <row r="20" spans="1:12" x14ac:dyDescent="0.25">
      <c r="A20" s="199" t="s">
        <v>43</v>
      </c>
      <c r="B20" s="200"/>
      <c r="C20" s="64"/>
      <c r="D20" s="80"/>
      <c r="E20" s="63">
        <f>SUM(E14:E19)</f>
        <v>28.414900000000006</v>
      </c>
      <c r="F20" s="77"/>
      <c r="G20" s="64"/>
      <c r="H20" s="80"/>
      <c r="I20" s="63">
        <f>SUM(I14:I19)</f>
        <v>30.548200000000001</v>
      </c>
      <c r="J20" s="65"/>
      <c r="K20" s="141">
        <f t="shared" si="3"/>
        <v>2.1332999999999949</v>
      </c>
      <c r="L20" s="97">
        <f t="shared" si="0"/>
        <v>7.5076808294239905E-2</v>
      </c>
    </row>
    <row r="21" spans="1:12" x14ac:dyDescent="0.25">
      <c r="A21" s="201" t="s">
        <v>44</v>
      </c>
      <c r="B21" s="197" t="s">
        <v>62</v>
      </c>
      <c r="C21" s="87">
        <f>'2019 Bill Impact'!G21</f>
        <v>0.10214000000000001</v>
      </c>
      <c r="D21" s="78">
        <f>($C$9*$C$10)-$C$9</f>
        <v>12.283500000000004</v>
      </c>
      <c r="E21" s="89">
        <f t="shared" si="1"/>
        <v>1.2546366900000006</v>
      </c>
      <c r="F21" s="77"/>
      <c r="G21" s="87">
        <f>G31*0.64+G32*0.18+G33*0.18</f>
        <v>0.10214000000000001</v>
      </c>
      <c r="H21" s="78">
        <f>($C$9*$C$10)-$C$9</f>
        <v>12.283500000000004</v>
      </c>
      <c r="I21" s="89">
        <f t="shared" ref="I21" si="6">G21*H21</f>
        <v>1.2546366900000006</v>
      </c>
      <c r="J21" s="65"/>
      <c r="K21" s="67">
        <f t="shared" si="3"/>
        <v>0</v>
      </c>
      <c r="L21" s="96" t="str">
        <f t="shared" si="0"/>
        <v xml:space="preserve"> 0.00%</v>
      </c>
    </row>
    <row r="22" spans="1:12" ht="12.75" hidden="1" customHeight="1" x14ac:dyDescent="0.25">
      <c r="A22" s="201" t="s">
        <v>45</v>
      </c>
      <c r="B22" s="197" t="s">
        <v>62</v>
      </c>
      <c r="C22" s="108">
        <f>'2019 Bill Impact'!G22</f>
        <v>0</v>
      </c>
      <c r="D22" s="78">
        <v>0</v>
      </c>
      <c r="E22" s="89">
        <v>0</v>
      </c>
      <c r="F22" s="77"/>
      <c r="G22" s="108">
        <v>0</v>
      </c>
      <c r="H22" s="78">
        <v>0</v>
      </c>
      <c r="I22" s="89">
        <v>0</v>
      </c>
      <c r="J22" s="65"/>
      <c r="K22" s="67">
        <f t="shared" si="3"/>
        <v>0</v>
      </c>
      <c r="L22" s="96" t="str">
        <f t="shared" si="0"/>
        <v xml:space="preserve"> 0.00%</v>
      </c>
    </row>
    <row r="23" spans="1:12" x14ac:dyDescent="0.25">
      <c r="A23" s="196" t="s">
        <v>46</v>
      </c>
      <c r="B23" s="197" t="s">
        <v>61</v>
      </c>
      <c r="C23" s="107">
        <f>'2019 Bill Impact'!G23</f>
        <v>0</v>
      </c>
      <c r="D23" s="78">
        <v>1</v>
      </c>
      <c r="E23" s="89">
        <f t="shared" si="1"/>
        <v>0</v>
      </c>
      <c r="F23" s="77"/>
      <c r="G23" s="107">
        <v>0</v>
      </c>
      <c r="H23" s="78">
        <v>1</v>
      </c>
      <c r="I23" s="89">
        <f t="shared" ref="I23" si="7">G23*H23</f>
        <v>0</v>
      </c>
      <c r="J23" s="65"/>
      <c r="K23" s="67">
        <f t="shared" si="3"/>
        <v>0</v>
      </c>
      <c r="L23" s="96" t="str">
        <f t="shared" si="0"/>
        <v xml:space="preserve"> 0.00%</v>
      </c>
    </row>
    <row r="24" spans="1:12" x14ac:dyDescent="0.25">
      <c r="A24" s="202" t="s">
        <v>47</v>
      </c>
      <c r="B24" s="203"/>
      <c r="C24" s="80"/>
      <c r="D24" s="80"/>
      <c r="E24" s="90">
        <f>SUM(E20:E23)</f>
        <v>29.669536690000008</v>
      </c>
      <c r="F24" s="77"/>
      <c r="G24" s="80"/>
      <c r="H24" s="80"/>
      <c r="I24" s="90">
        <f>SUM(I20:I23)</f>
        <v>31.802836690000003</v>
      </c>
      <c r="J24" s="65"/>
      <c r="K24" s="141">
        <f t="shared" si="3"/>
        <v>2.1332999999999949</v>
      </c>
      <c r="L24" s="97">
        <f t="shared" si="0"/>
        <v>7.1902032791735904E-2</v>
      </c>
    </row>
    <row r="25" spans="1:12" x14ac:dyDescent="0.25">
      <c r="A25" s="204" t="s">
        <v>48</v>
      </c>
      <c r="B25" s="197" t="s">
        <v>62</v>
      </c>
      <c r="C25" s="87">
        <f>'2019 Bill Impact'!G25</f>
        <v>7.4999999999999997E-3</v>
      </c>
      <c r="D25" s="81">
        <f>$C$9*$C$10</f>
        <v>297.2835</v>
      </c>
      <c r="E25" s="89">
        <f t="shared" si="1"/>
        <v>2.2296262499999999</v>
      </c>
      <c r="F25" s="77"/>
      <c r="G25" s="87">
        <v>7.4999999999999997E-3</v>
      </c>
      <c r="H25" s="81">
        <f>$C$9*$C$10</f>
        <v>297.2835</v>
      </c>
      <c r="I25" s="89">
        <f t="shared" ref="I25:I26" si="8">G25*H25</f>
        <v>2.2296262499999999</v>
      </c>
      <c r="J25" s="65"/>
      <c r="K25" s="95">
        <f t="shared" si="3"/>
        <v>0</v>
      </c>
      <c r="L25" s="96" t="str">
        <f t="shared" si="0"/>
        <v xml:space="preserve"> 0.00%</v>
      </c>
    </row>
    <row r="26" spans="1:12" x14ac:dyDescent="0.25">
      <c r="A26" s="205" t="s">
        <v>49</v>
      </c>
      <c r="B26" s="197" t="s">
        <v>62</v>
      </c>
      <c r="C26" s="87">
        <f>'2019 Bill Impact'!G26</f>
        <v>5.4000000000000003E-3</v>
      </c>
      <c r="D26" s="81">
        <f>$C$9*$C$10</f>
        <v>297.2835</v>
      </c>
      <c r="E26" s="89">
        <f t="shared" si="1"/>
        <v>1.6053309</v>
      </c>
      <c r="F26" s="77"/>
      <c r="G26" s="87">
        <v>5.4000000000000003E-3</v>
      </c>
      <c r="H26" s="81">
        <f>$C$9*$C$10</f>
        <v>297.2835</v>
      </c>
      <c r="I26" s="89">
        <f t="shared" si="8"/>
        <v>1.6053309</v>
      </c>
      <c r="J26" s="65"/>
      <c r="K26" s="95">
        <f t="shared" si="3"/>
        <v>0</v>
      </c>
      <c r="L26" s="96" t="str">
        <f t="shared" si="0"/>
        <v xml:space="preserve"> 0.00%</v>
      </c>
    </row>
    <row r="27" spans="1:12" x14ac:dyDescent="0.25">
      <c r="A27" s="202" t="s">
        <v>50</v>
      </c>
      <c r="B27" s="200"/>
      <c r="C27" s="80"/>
      <c r="D27" s="80"/>
      <c r="E27" s="90">
        <f>SUM(E24:E26)</f>
        <v>33.504493840000009</v>
      </c>
      <c r="F27" s="82"/>
      <c r="G27" s="80"/>
      <c r="H27" s="80"/>
      <c r="I27" s="90">
        <f>SUM(I24:I26)</f>
        <v>35.637793840000001</v>
      </c>
      <c r="J27" s="66"/>
      <c r="K27" s="141">
        <f t="shared" si="3"/>
        <v>2.1332999999999913</v>
      </c>
      <c r="L27" s="97">
        <f t="shared" si="0"/>
        <v>6.3672055760266577E-2</v>
      </c>
    </row>
    <row r="28" spans="1:12" x14ac:dyDescent="0.25">
      <c r="A28" s="206" t="s">
        <v>51</v>
      </c>
      <c r="B28" s="197" t="s">
        <v>62</v>
      </c>
      <c r="C28" s="88">
        <f>'2019 Bill Impact'!G28</f>
        <v>4.4000000000000003E-3</v>
      </c>
      <c r="D28" s="81">
        <f>$C$9*$C$10</f>
        <v>297.2835</v>
      </c>
      <c r="E28" s="67">
        <f t="shared" si="1"/>
        <v>1.3080474000000002</v>
      </c>
      <c r="F28" s="79"/>
      <c r="G28" s="88">
        <v>4.4000000000000003E-3</v>
      </c>
      <c r="H28" s="81">
        <f>$C$9*$C$10</f>
        <v>297.2835</v>
      </c>
      <c r="I28" s="67">
        <f t="shared" ref="I28:I32" si="9">G28*H28</f>
        <v>1.3080474000000002</v>
      </c>
      <c r="J28" s="65"/>
      <c r="K28" s="95">
        <f t="shared" si="3"/>
        <v>0</v>
      </c>
      <c r="L28" s="96" t="str">
        <f t="shared" si="0"/>
        <v xml:space="preserve"> 0.00%</v>
      </c>
    </row>
    <row r="29" spans="1:12" x14ac:dyDescent="0.25">
      <c r="A29" s="206" t="s">
        <v>52</v>
      </c>
      <c r="B29" s="197" t="s">
        <v>62</v>
      </c>
      <c r="C29" s="88">
        <f>'2019 Bill Impact'!G29</f>
        <v>1.2999999999999999E-3</v>
      </c>
      <c r="D29" s="81">
        <f>$C$9*$C$10</f>
        <v>297.2835</v>
      </c>
      <c r="E29" s="67">
        <f t="shared" si="1"/>
        <v>0.38646854999999997</v>
      </c>
      <c r="F29" s="79"/>
      <c r="G29" s="88">
        <v>1.2999999999999999E-3</v>
      </c>
      <c r="H29" s="81">
        <f>$C$9*$C$10</f>
        <v>297.2835</v>
      </c>
      <c r="I29" s="67">
        <f t="shared" si="9"/>
        <v>0.38646854999999997</v>
      </c>
      <c r="J29" s="65"/>
      <c r="K29" s="95">
        <f t="shared" si="3"/>
        <v>0</v>
      </c>
      <c r="L29" s="96" t="str">
        <f t="shared" si="0"/>
        <v xml:space="preserve"> 0.00%</v>
      </c>
    </row>
    <row r="30" spans="1:12" x14ac:dyDescent="0.25">
      <c r="A30" s="196" t="s">
        <v>53</v>
      </c>
      <c r="B30" s="197" t="s">
        <v>61</v>
      </c>
      <c r="C30" s="69">
        <f>'2019 Bill Impact'!G30</f>
        <v>0.25</v>
      </c>
      <c r="D30" s="81">
        <v>1</v>
      </c>
      <c r="E30" s="67">
        <f t="shared" si="1"/>
        <v>0.25</v>
      </c>
      <c r="F30" s="79"/>
      <c r="G30" s="69">
        <v>0.25</v>
      </c>
      <c r="H30" s="81">
        <v>1</v>
      </c>
      <c r="I30" s="67">
        <f t="shared" si="9"/>
        <v>0.25</v>
      </c>
      <c r="J30" s="79"/>
      <c r="K30" s="95">
        <f t="shared" si="3"/>
        <v>0</v>
      </c>
      <c r="L30" s="96" t="str">
        <f t="shared" si="0"/>
        <v xml:space="preserve"> 0.00%</v>
      </c>
    </row>
    <row r="31" spans="1:12" x14ac:dyDescent="0.25">
      <c r="A31" s="196" t="s">
        <v>54</v>
      </c>
      <c r="B31" s="197" t="s">
        <v>62</v>
      </c>
      <c r="C31" s="83">
        <f>'2019 Bill Impact'!G31</f>
        <v>0.08</v>
      </c>
      <c r="D31" s="81">
        <f>$C$9*0.64</f>
        <v>182.4</v>
      </c>
      <c r="E31" s="67">
        <f t="shared" si="1"/>
        <v>14.592000000000001</v>
      </c>
      <c r="F31" s="79"/>
      <c r="G31" s="83">
        <v>0.08</v>
      </c>
      <c r="H31" s="81">
        <f>$C$9*0.64</f>
        <v>182.4</v>
      </c>
      <c r="I31" s="67">
        <f t="shared" si="9"/>
        <v>14.592000000000001</v>
      </c>
      <c r="J31" s="79"/>
      <c r="K31" s="95">
        <f t="shared" si="3"/>
        <v>0</v>
      </c>
      <c r="L31" s="96" t="str">
        <f t="shared" si="0"/>
        <v xml:space="preserve"> 0.00%</v>
      </c>
    </row>
    <row r="32" spans="1:12" x14ac:dyDescent="0.25">
      <c r="A32" s="196" t="s">
        <v>55</v>
      </c>
      <c r="B32" s="197" t="s">
        <v>62</v>
      </c>
      <c r="C32" s="83">
        <f>'2019 Bill Impact'!G32</f>
        <v>0.122</v>
      </c>
      <c r="D32" s="81">
        <f>$C$9*0.18</f>
        <v>51.3</v>
      </c>
      <c r="E32" s="67">
        <f t="shared" si="1"/>
        <v>6.2585999999999995</v>
      </c>
      <c r="F32" s="79"/>
      <c r="G32" s="83">
        <v>0.122</v>
      </c>
      <c r="H32" s="81">
        <f>$C$9*0.18</f>
        <v>51.3</v>
      </c>
      <c r="I32" s="67">
        <f t="shared" si="9"/>
        <v>6.2585999999999995</v>
      </c>
      <c r="J32" s="79"/>
      <c r="K32" s="95">
        <f t="shared" si="3"/>
        <v>0</v>
      </c>
      <c r="L32" s="96" t="str">
        <f t="shared" si="0"/>
        <v xml:space="preserve"> 0.00%</v>
      </c>
    </row>
    <row r="33" spans="1:12" ht="15.75" thickBot="1" x14ac:dyDescent="0.3">
      <c r="A33" s="207" t="s">
        <v>56</v>
      </c>
      <c r="B33" s="208" t="s">
        <v>62</v>
      </c>
      <c r="C33" s="83">
        <f>'2019 Bill Impact'!G33</f>
        <v>0.161</v>
      </c>
      <c r="D33" s="81">
        <f>$C$9*0.18</f>
        <v>51.3</v>
      </c>
      <c r="E33" s="67">
        <f>C33*D33</f>
        <v>8.2592999999999996</v>
      </c>
      <c r="F33" s="79"/>
      <c r="G33" s="83">
        <v>0.161</v>
      </c>
      <c r="H33" s="81">
        <f>$C$9*0.18</f>
        <v>51.3</v>
      </c>
      <c r="I33" s="67">
        <f>G33*H33</f>
        <v>8.2592999999999996</v>
      </c>
      <c r="J33" s="79"/>
      <c r="K33" s="95">
        <f t="shared" si="3"/>
        <v>0</v>
      </c>
      <c r="L33" s="96" t="str">
        <f t="shared" si="0"/>
        <v xml:space="preserve"> 0.00%</v>
      </c>
    </row>
    <row r="34" spans="1:12" ht="9" customHeight="1" thickBot="1" x14ac:dyDescent="0.3">
      <c r="A34" s="209"/>
      <c r="B34" s="210"/>
      <c r="C34" s="137"/>
      <c r="D34" s="84"/>
      <c r="E34" s="91"/>
      <c r="F34" s="84"/>
      <c r="G34" s="137"/>
      <c r="H34" s="84"/>
      <c r="I34" s="137"/>
      <c r="J34" s="84"/>
      <c r="K34" s="138"/>
      <c r="L34" s="98"/>
    </row>
    <row r="35" spans="1:12" x14ac:dyDescent="0.25">
      <c r="A35" s="211" t="s">
        <v>57</v>
      </c>
      <c r="B35" s="212"/>
      <c r="C35" s="102"/>
      <c r="D35" s="103"/>
      <c r="E35" s="92">
        <f>SUM(E27:E33)</f>
        <v>64.558909790000001</v>
      </c>
      <c r="F35" s="104"/>
      <c r="G35" s="105"/>
      <c r="H35" s="105"/>
      <c r="I35" s="139">
        <f>SUM(I27:I33)</f>
        <v>66.692209789999993</v>
      </c>
      <c r="J35" s="85"/>
      <c r="K35" s="140">
        <f t="shared" ref="K35:K39" si="10">I35-E35</f>
        <v>2.1332999999999913</v>
      </c>
      <c r="L35" s="68">
        <f t="shared" si="0"/>
        <v>3.3044238307915696E-2</v>
      </c>
    </row>
    <row r="36" spans="1:12" x14ac:dyDescent="0.25">
      <c r="A36" s="213" t="s">
        <v>58</v>
      </c>
      <c r="B36" s="214"/>
      <c r="C36" s="102">
        <v>0.13</v>
      </c>
      <c r="D36" s="106"/>
      <c r="E36" s="93">
        <f>E35*C36</f>
        <v>8.3926582727000003</v>
      </c>
      <c r="F36" s="74"/>
      <c r="G36" s="102">
        <v>0.13</v>
      </c>
      <c r="H36" s="74"/>
      <c r="I36" s="100">
        <f>I35*G36</f>
        <v>8.6699872726999985</v>
      </c>
      <c r="J36" s="86"/>
      <c r="K36" s="67">
        <f t="shared" si="10"/>
        <v>0.27732899999999816</v>
      </c>
      <c r="L36" s="96">
        <f t="shared" si="0"/>
        <v>3.3044238307915696E-2</v>
      </c>
    </row>
    <row r="37" spans="1:12" hidden="1" x14ac:dyDescent="0.25">
      <c r="A37" s="215" t="s">
        <v>117</v>
      </c>
      <c r="B37" s="214"/>
      <c r="C37" s="74"/>
      <c r="D37" s="106"/>
      <c r="E37" s="93">
        <f>E35+E36</f>
        <v>72.951568062700005</v>
      </c>
      <c r="F37" s="74"/>
      <c r="G37" s="74"/>
      <c r="H37" s="74"/>
      <c r="I37" s="100">
        <f>I35+I36</f>
        <v>75.362197062699991</v>
      </c>
      <c r="J37" s="86"/>
      <c r="K37" s="67">
        <f t="shared" si="10"/>
        <v>2.4106289999999859</v>
      </c>
      <c r="L37" s="96">
        <f t="shared" ref="L37" si="11">I37/E37-1</f>
        <v>3.3044238307915696E-2</v>
      </c>
    </row>
    <row r="38" spans="1:12" hidden="1" x14ac:dyDescent="0.25">
      <c r="A38" s="216"/>
      <c r="B38" s="214"/>
      <c r="C38" s="74"/>
      <c r="D38" s="106"/>
      <c r="E38" s="94">
        <v>0</v>
      </c>
      <c r="F38" s="74"/>
      <c r="G38" s="74"/>
      <c r="H38" s="74"/>
      <c r="I38" s="101">
        <v>0</v>
      </c>
      <c r="J38" s="86"/>
      <c r="K38" s="67">
        <f t="shared" si="10"/>
        <v>0</v>
      </c>
      <c r="L38" s="101">
        <v>0</v>
      </c>
    </row>
    <row r="39" spans="1:12" ht="15.75" thickBot="1" x14ac:dyDescent="0.3">
      <c r="A39" s="217" t="s">
        <v>96</v>
      </c>
      <c r="B39" s="218"/>
      <c r="C39" s="142"/>
      <c r="D39" s="143"/>
      <c r="E39" s="144">
        <f>E37+E38</f>
        <v>72.951568062700005</v>
      </c>
      <c r="F39" s="145"/>
      <c r="G39" s="145"/>
      <c r="H39" s="145"/>
      <c r="I39" s="149">
        <f>I37+I38</f>
        <v>75.362197062699991</v>
      </c>
      <c r="J39" s="146"/>
      <c r="K39" s="147">
        <f t="shared" si="10"/>
        <v>2.4106289999999859</v>
      </c>
      <c r="L39" s="148">
        <f t="shared" ref="L39" si="12">IF(I39-E39=0, " 0.00%", I39/E39-1)</f>
        <v>3.3044238307915696E-2</v>
      </c>
    </row>
    <row r="40" spans="1:12" ht="9" customHeight="1" thickBot="1" x14ac:dyDescent="0.3">
      <c r="A40" s="209"/>
      <c r="B40" s="210"/>
      <c r="C40" s="137"/>
      <c r="D40" s="84"/>
      <c r="E40" s="91"/>
      <c r="F40" s="84"/>
      <c r="G40" s="137"/>
      <c r="H40" s="84"/>
      <c r="I40" s="137"/>
      <c r="J40" s="84"/>
      <c r="K40" s="138"/>
      <c r="L40" s="98"/>
    </row>
    <row r="43" spans="1:12" x14ac:dyDescent="0.25">
      <c r="A43" s="229" t="s">
        <v>97</v>
      </c>
      <c r="B43" s="230"/>
      <c r="C43" s="231"/>
    </row>
    <row r="44" spans="1:12" hidden="1" x14ac:dyDescent="0.25">
      <c r="A44" s="233"/>
      <c r="B44" s="234"/>
      <c r="C44" s="235"/>
    </row>
    <row r="45" spans="1:12" x14ac:dyDescent="0.25">
      <c r="A45" s="233" t="s">
        <v>66</v>
      </c>
      <c r="B45" s="234"/>
      <c r="C45" s="240">
        <f>'2019 Bill Impact'!C45</f>
        <v>800</v>
      </c>
    </row>
    <row r="46" spans="1:12" x14ac:dyDescent="0.25">
      <c r="A46" s="237" t="s">
        <v>65</v>
      </c>
      <c r="B46" s="238"/>
      <c r="C46" s="241">
        <f>'2019 Bill Impact'!C46</f>
        <v>1.0430999999999999</v>
      </c>
    </row>
    <row r="48" spans="1:12" x14ac:dyDescent="0.25">
      <c r="A48" s="187"/>
      <c r="B48" s="188"/>
      <c r="C48" s="258" t="s">
        <v>69</v>
      </c>
      <c r="D48" s="259"/>
      <c r="E48" s="260"/>
      <c r="F48" s="187"/>
      <c r="G48" s="258" t="s">
        <v>70</v>
      </c>
      <c r="H48" s="259"/>
      <c r="I48" s="260"/>
      <c r="J48" s="187"/>
      <c r="K48" s="258" t="s">
        <v>39</v>
      </c>
      <c r="L48" s="260"/>
    </row>
    <row r="49" spans="1:12" ht="15" customHeight="1" x14ac:dyDescent="0.25">
      <c r="A49" s="187"/>
      <c r="B49" s="189"/>
      <c r="C49" s="190" t="s">
        <v>108</v>
      </c>
      <c r="D49" s="190" t="s">
        <v>35</v>
      </c>
      <c r="E49" s="191" t="s">
        <v>109</v>
      </c>
      <c r="F49" s="187"/>
      <c r="G49" s="190" t="s">
        <v>108</v>
      </c>
      <c r="H49" s="190" t="s">
        <v>35</v>
      </c>
      <c r="I49" s="191" t="s">
        <v>109</v>
      </c>
      <c r="J49" s="187"/>
      <c r="K49" s="192" t="s">
        <v>40</v>
      </c>
      <c r="L49" s="193" t="s">
        <v>41</v>
      </c>
    </row>
    <row r="50" spans="1:12" x14ac:dyDescent="0.25">
      <c r="A50" s="194" t="s">
        <v>36</v>
      </c>
      <c r="B50" s="195" t="s">
        <v>61</v>
      </c>
      <c r="C50" s="67">
        <f>C14</f>
        <v>26.57</v>
      </c>
      <c r="D50" s="109">
        <v>1</v>
      </c>
      <c r="E50" s="67">
        <f>C50*D50</f>
        <v>26.57</v>
      </c>
      <c r="F50" s="75"/>
      <c r="G50" s="67">
        <f t="shared" ref="G50:G55" si="13">G14</f>
        <v>29.98</v>
      </c>
      <c r="H50" s="109">
        <v>1</v>
      </c>
      <c r="I50" s="67">
        <f>G50*H50</f>
        <v>29.98</v>
      </c>
      <c r="J50" s="75"/>
      <c r="K50" s="67">
        <f>I50-E50</f>
        <v>3.41</v>
      </c>
      <c r="L50" s="96">
        <f t="shared" ref="L50:L72" si="14">IF(I50-E50=0, " 0.00%", I50/E50-1)</f>
        <v>0.12834023334587874</v>
      </c>
    </row>
    <row r="51" spans="1:12" x14ac:dyDescent="0.25">
      <c r="A51" s="196" t="s">
        <v>60</v>
      </c>
      <c r="B51" s="197" t="s">
        <v>61</v>
      </c>
      <c r="C51" s="67">
        <f t="shared" ref="C51:C69" si="15">C15</f>
        <v>-0.26569999999999999</v>
      </c>
      <c r="D51" s="109">
        <v>1</v>
      </c>
      <c r="E51" s="67">
        <f t="shared" ref="E51:E55" si="16">C51*D51</f>
        <v>-0.26569999999999999</v>
      </c>
      <c r="F51" s="75"/>
      <c r="G51" s="67">
        <f t="shared" si="13"/>
        <v>-0.29980000000000001</v>
      </c>
      <c r="H51" s="109">
        <v>1</v>
      </c>
      <c r="I51" s="67">
        <f t="shared" ref="I51:I55" si="17">G51*H51</f>
        <v>-0.29980000000000001</v>
      </c>
      <c r="J51" s="86"/>
      <c r="K51" s="67">
        <f t="shared" ref="K51:K69" si="18">I51-E51</f>
        <v>-3.4100000000000019E-2</v>
      </c>
      <c r="L51" s="96">
        <f t="shared" si="14"/>
        <v>0.12834023334587896</v>
      </c>
    </row>
    <row r="52" spans="1:12" x14ac:dyDescent="0.25">
      <c r="A52" s="196" t="s">
        <v>63</v>
      </c>
      <c r="B52" s="197" t="s">
        <v>61</v>
      </c>
      <c r="C52" s="67">
        <f t="shared" si="15"/>
        <v>0.64</v>
      </c>
      <c r="D52" s="109">
        <v>1</v>
      </c>
      <c r="E52" s="67">
        <f t="shared" si="16"/>
        <v>0.64</v>
      </c>
      <c r="F52" s="75"/>
      <c r="G52" s="67">
        <f t="shared" si="13"/>
        <v>0.64</v>
      </c>
      <c r="H52" s="109">
        <v>1</v>
      </c>
      <c r="I52" s="67">
        <f t="shared" si="17"/>
        <v>0.64</v>
      </c>
      <c r="J52" s="86"/>
      <c r="K52" s="67">
        <f t="shared" si="18"/>
        <v>0</v>
      </c>
      <c r="L52" s="96" t="str">
        <f t="shared" si="14"/>
        <v xml:space="preserve"> 0.00%</v>
      </c>
    </row>
    <row r="53" spans="1:12" x14ac:dyDescent="0.25">
      <c r="A53" s="196" t="s">
        <v>42</v>
      </c>
      <c r="B53" s="197" t="s">
        <v>62</v>
      </c>
      <c r="C53" s="70">
        <f t="shared" si="15"/>
        <v>4.4000000000000003E-3</v>
      </c>
      <c r="D53" s="76">
        <f>$C$45</f>
        <v>800</v>
      </c>
      <c r="E53" s="67">
        <f t="shared" si="16"/>
        <v>3.52</v>
      </c>
      <c r="F53" s="75"/>
      <c r="G53" s="70">
        <f t="shared" si="13"/>
        <v>0</v>
      </c>
      <c r="H53" s="76">
        <f>$C$45</f>
        <v>800</v>
      </c>
      <c r="I53" s="67">
        <f t="shared" si="17"/>
        <v>0</v>
      </c>
      <c r="J53" s="86"/>
      <c r="K53" s="67">
        <f t="shared" si="18"/>
        <v>-3.52</v>
      </c>
      <c r="L53" s="96">
        <f t="shared" si="14"/>
        <v>-1</v>
      </c>
    </row>
    <row r="54" spans="1:12" x14ac:dyDescent="0.25">
      <c r="A54" s="196" t="s">
        <v>60</v>
      </c>
      <c r="B54" s="197" t="s">
        <v>62</v>
      </c>
      <c r="C54" s="70">
        <f t="shared" si="15"/>
        <v>-4.0000000000000003E-5</v>
      </c>
      <c r="D54" s="76">
        <f t="shared" ref="D54:D55" si="19">$C$45</f>
        <v>800</v>
      </c>
      <c r="E54" s="67">
        <f t="shared" si="16"/>
        <v>-3.2000000000000001E-2</v>
      </c>
      <c r="F54" s="75"/>
      <c r="G54" s="70">
        <f t="shared" si="13"/>
        <v>0</v>
      </c>
      <c r="H54" s="76">
        <f t="shared" ref="H54:H55" si="20">$C$45</f>
        <v>800</v>
      </c>
      <c r="I54" s="67">
        <f t="shared" si="17"/>
        <v>0</v>
      </c>
      <c r="J54" s="86"/>
      <c r="K54" s="67">
        <f t="shared" si="18"/>
        <v>3.2000000000000001E-2</v>
      </c>
      <c r="L54" s="96">
        <f t="shared" si="14"/>
        <v>-1</v>
      </c>
    </row>
    <row r="55" spans="1:12" x14ac:dyDescent="0.25">
      <c r="A55" s="198" t="s">
        <v>64</v>
      </c>
      <c r="B55" s="197" t="s">
        <v>62</v>
      </c>
      <c r="C55" s="70">
        <f t="shared" si="15"/>
        <v>8.0000000000000004E-4</v>
      </c>
      <c r="D55" s="76">
        <f t="shared" si="19"/>
        <v>800</v>
      </c>
      <c r="E55" s="67">
        <f t="shared" si="16"/>
        <v>0.64</v>
      </c>
      <c r="F55" s="75"/>
      <c r="G55" s="70">
        <f t="shared" si="13"/>
        <v>8.0000000000000004E-4</v>
      </c>
      <c r="H55" s="76">
        <f t="shared" si="20"/>
        <v>800</v>
      </c>
      <c r="I55" s="67">
        <f t="shared" si="17"/>
        <v>0.64</v>
      </c>
      <c r="J55" s="86"/>
      <c r="K55" s="67">
        <f t="shared" si="18"/>
        <v>0</v>
      </c>
      <c r="L55" s="96" t="str">
        <f t="shared" si="14"/>
        <v xml:space="preserve"> 0.00%</v>
      </c>
    </row>
    <row r="56" spans="1:12" x14ac:dyDescent="0.25">
      <c r="A56" s="199" t="s">
        <v>43</v>
      </c>
      <c r="B56" s="200"/>
      <c r="C56" s="64"/>
      <c r="D56" s="80"/>
      <c r="E56" s="63">
        <f>SUM(E50:E55)</f>
        <v>31.072300000000002</v>
      </c>
      <c r="F56" s="77"/>
      <c r="G56" s="64"/>
      <c r="H56" s="80"/>
      <c r="I56" s="63">
        <f>SUM(I50:I55)</f>
        <v>30.9602</v>
      </c>
      <c r="J56" s="65"/>
      <c r="K56" s="141">
        <f t="shared" si="18"/>
        <v>-0.11210000000000164</v>
      </c>
      <c r="L56" s="97">
        <f t="shared" si="14"/>
        <v>-3.6077149100646189E-3</v>
      </c>
    </row>
    <row r="57" spans="1:12" x14ac:dyDescent="0.25">
      <c r="A57" s="201" t="s">
        <v>44</v>
      </c>
      <c r="B57" s="197" t="s">
        <v>62</v>
      </c>
      <c r="C57" s="87">
        <f t="shared" si="15"/>
        <v>0.10214000000000001</v>
      </c>
      <c r="D57" s="78">
        <f>($C$45*$C$46)-$C$45</f>
        <v>34.479999999999905</v>
      </c>
      <c r="E57" s="89">
        <f t="shared" ref="E57" si="21">C57*D57</f>
        <v>3.5217871999999906</v>
      </c>
      <c r="F57" s="77"/>
      <c r="G57" s="87">
        <f>G21</f>
        <v>0.10214000000000001</v>
      </c>
      <c r="H57" s="78">
        <f>($C$45*$C$46)-$C$45</f>
        <v>34.479999999999905</v>
      </c>
      <c r="I57" s="89">
        <f t="shared" ref="I57" si="22">G57*H57</f>
        <v>3.5217871999999906</v>
      </c>
      <c r="J57" s="65"/>
      <c r="K57" s="67">
        <f t="shared" si="18"/>
        <v>0</v>
      </c>
      <c r="L57" s="96" t="str">
        <f t="shared" si="14"/>
        <v xml:space="preserve"> 0.00%</v>
      </c>
    </row>
    <row r="58" spans="1:12" hidden="1" x14ac:dyDescent="0.25">
      <c r="A58" s="201" t="s">
        <v>45</v>
      </c>
      <c r="B58" s="197" t="s">
        <v>62</v>
      </c>
      <c r="C58" s="108">
        <f t="shared" si="15"/>
        <v>0</v>
      </c>
      <c r="D58" s="78">
        <v>0</v>
      </c>
      <c r="E58" s="89">
        <v>0</v>
      </c>
      <c r="F58" s="77"/>
      <c r="G58" s="108">
        <f>G22</f>
        <v>0</v>
      </c>
      <c r="H58" s="78">
        <v>0</v>
      </c>
      <c r="I58" s="89">
        <v>0</v>
      </c>
      <c r="J58" s="65"/>
      <c r="K58" s="67">
        <f t="shared" si="18"/>
        <v>0</v>
      </c>
      <c r="L58" s="96" t="str">
        <f t="shared" si="14"/>
        <v xml:space="preserve"> 0.00%</v>
      </c>
    </row>
    <row r="59" spans="1:12" x14ac:dyDescent="0.25">
      <c r="A59" s="196" t="s">
        <v>46</v>
      </c>
      <c r="B59" s="197" t="s">
        <v>61</v>
      </c>
      <c r="C59" s="107">
        <f t="shared" si="15"/>
        <v>0</v>
      </c>
      <c r="D59" s="78">
        <v>1</v>
      </c>
      <c r="E59" s="89">
        <f t="shared" ref="E59" si="23">C59*D59</f>
        <v>0</v>
      </c>
      <c r="F59" s="77"/>
      <c r="G59" s="70">
        <f t="shared" ref="G59" si="24">G23</f>
        <v>0</v>
      </c>
      <c r="H59" s="78">
        <v>1</v>
      </c>
      <c r="I59" s="89">
        <f t="shared" ref="I59" si="25">G59*H59</f>
        <v>0</v>
      </c>
      <c r="J59" s="65"/>
      <c r="K59" s="67">
        <f t="shared" si="18"/>
        <v>0</v>
      </c>
      <c r="L59" s="96" t="str">
        <f t="shared" si="14"/>
        <v xml:space="preserve"> 0.00%</v>
      </c>
    </row>
    <row r="60" spans="1:12" x14ac:dyDescent="0.25">
      <c r="A60" s="202" t="s">
        <v>47</v>
      </c>
      <c r="B60" s="203"/>
      <c r="C60" s="80"/>
      <c r="D60" s="80"/>
      <c r="E60" s="90">
        <f>SUM(E56:E59)</f>
        <v>34.59408719999999</v>
      </c>
      <c r="F60" s="77"/>
      <c r="G60" s="80"/>
      <c r="H60" s="80"/>
      <c r="I60" s="90">
        <f>SUM(I56:I59)</f>
        <v>34.481987199999992</v>
      </c>
      <c r="J60" s="65"/>
      <c r="K60" s="141">
        <f t="shared" si="18"/>
        <v>-0.11209999999999809</v>
      </c>
      <c r="L60" s="97">
        <f t="shared" si="14"/>
        <v>-3.2404381521012882E-3</v>
      </c>
    </row>
    <row r="61" spans="1:12" x14ac:dyDescent="0.25">
      <c r="A61" s="204" t="s">
        <v>48</v>
      </c>
      <c r="B61" s="197" t="s">
        <v>62</v>
      </c>
      <c r="C61" s="87">
        <f t="shared" si="15"/>
        <v>7.4999999999999997E-3</v>
      </c>
      <c r="D61" s="81">
        <f>$C$45*$C$46</f>
        <v>834.4799999999999</v>
      </c>
      <c r="E61" s="89">
        <f t="shared" ref="E61:E62" si="26">C61*D61</f>
        <v>6.2585999999999986</v>
      </c>
      <c r="F61" s="77"/>
      <c r="G61" s="87">
        <f>G25</f>
        <v>7.4999999999999997E-3</v>
      </c>
      <c r="H61" s="81">
        <f>$C$45*$C$46</f>
        <v>834.4799999999999</v>
      </c>
      <c r="I61" s="89">
        <f t="shared" ref="I61:I62" si="27">G61*H61</f>
        <v>6.2585999999999986</v>
      </c>
      <c r="J61" s="65"/>
      <c r="K61" s="95">
        <f t="shared" si="18"/>
        <v>0</v>
      </c>
      <c r="L61" s="96" t="str">
        <f t="shared" si="14"/>
        <v xml:space="preserve"> 0.00%</v>
      </c>
    </row>
    <row r="62" spans="1:12" x14ac:dyDescent="0.25">
      <c r="A62" s="205" t="s">
        <v>49</v>
      </c>
      <c r="B62" s="197" t="s">
        <v>62</v>
      </c>
      <c r="C62" s="87">
        <f t="shared" si="15"/>
        <v>5.4000000000000003E-3</v>
      </c>
      <c r="D62" s="81">
        <f>$C$45*$C$46</f>
        <v>834.4799999999999</v>
      </c>
      <c r="E62" s="89">
        <f t="shared" si="26"/>
        <v>4.5061919999999995</v>
      </c>
      <c r="F62" s="77"/>
      <c r="G62" s="87">
        <f>G26</f>
        <v>5.4000000000000003E-3</v>
      </c>
      <c r="H62" s="81">
        <f>$C$45*$C$46</f>
        <v>834.4799999999999</v>
      </c>
      <c r="I62" s="89">
        <f t="shared" si="27"/>
        <v>4.5061919999999995</v>
      </c>
      <c r="J62" s="65"/>
      <c r="K62" s="95">
        <f t="shared" si="18"/>
        <v>0</v>
      </c>
      <c r="L62" s="96" t="str">
        <f t="shared" si="14"/>
        <v xml:space="preserve"> 0.00%</v>
      </c>
    </row>
    <row r="63" spans="1:12" x14ac:dyDescent="0.25">
      <c r="A63" s="202" t="s">
        <v>50</v>
      </c>
      <c r="B63" s="200"/>
      <c r="C63" s="80"/>
      <c r="D63" s="80"/>
      <c r="E63" s="90">
        <f>SUM(E60:E62)</f>
        <v>45.35887919999999</v>
      </c>
      <c r="F63" s="82"/>
      <c r="G63" s="80"/>
      <c r="H63" s="80"/>
      <c r="I63" s="90">
        <f>SUM(I60:I62)</f>
        <v>45.246779199999992</v>
      </c>
      <c r="J63" s="66"/>
      <c r="K63" s="141">
        <f t="shared" si="18"/>
        <v>-0.11209999999999809</v>
      </c>
      <c r="L63" s="97">
        <f t="shared" si="14"/>
        <v>-2.4714014538524953E-3</v>
      </c>
    </row>
    <row r="64" spans="1:12" x14ac:dyDescent="0.25">
      <c r="A64" s="206" t="s">
        <v>51</v>
      </c>
      <c r="B64" s="197" t="s">
        <v>62</v>
      </c>
      <c r="C64" s="88">
        <f t="shared" si="15"/>
        <v>4.4000000000000003E-3</v>
      </c>
      <c r="D64" s="81">
        <f t="shared" ref="D64:D65" si="28">$C$45*$C$46</f>
        <v>834.4799999999999</v>
      </c>
      <c r="E64" s="67">
        <f t="shared" ref="E64:E68" si="29">C64*D64</f>
        <v>3.6717119999999999</v>
      </c>
      <c r="F64" s="79"/>
      <c r="G64" s="88">
        <f t="shared" ref="G64:G69" si="30">G28</f>
        <v>4.4000000000000003E-3</v>
      </c>
      <c r="H64" s="81">
        <f t="shared" ref="H64:H65" si="31">$C$45*$C$46</f>
        <v>834.4799999999999</v>
      </c>
      <c r="I64" s="67">
        <f t="shared" ref="I64:I68" si="32">G64*H64</f>
        <v>3.6717119999999999</v>
      </c>
      <c r="J64" s="65"/>
      <c r="K64" s="95">
        <f t="shared" si="18"/>
        <v>0</v>
      </c>
      <c r="L64" s="96" t="str">
        <f t="shared" si="14"/>
        <v xml:space="preserve"> 0.00%</v>
      </c>
    </row>
    <row r="65" spans="1:12" x14ac:dyDescent="0.25">
      <c r="A65" s="206" t="s">
        <v>52</v>
      </c>
      <c r="B65" s="197" t="s">
        <v>62</v>
      </c>
      <c r="C65" s="88">
        <f t="shared" si="15"/>
        <v>1.2999999999999999E-3</v>
      </c>
      <c r="D65" s="81">
        <f t="shared" si="28"/>
        <v>834.4799999999999</v>
      </c>
      <c r="E65" s="67">
        <f t="shared" si="29"/>
        <v>1.0848239999999998</v>
      </c>
      <c r="F65" s="79"/>
      <c r="G65" s="88">
        <f t="shared" si="30"/>
        <v>1.2999999999999999E-3</v>
      </c>
      <c r="H65" s="81">
        <f t="shared" si="31"/>
        <v>834.4799999999999</v>
      </c>
      <c r="I65" s="67">
        <f t="shared" si="32"/>
        <v>1.0848239999999998</v>
      </c>
      <c r="J65" s="65"/>
      <c r="K65" s="95">
        <f t="shared" si="18"/>
        <v>0</v>
      </c>
      <c r="L65" s="96" t="str">
        <f t="shared" si="14"/>
        <v xml:space="preserve"> 0.00%</v>
      </c>
    </row>
    <row r="66" spans="1:12" x14ac:dyDescent="0.25">
      <c r="A66" s="196" t="s">
        <v>53</v>
      </c>
      <c r="B66" s="197" t="s">
        <v>61</v>
      </c>
      <c r="C66" s="69">
        <f t="shared" si="15"/>
        <v>0.25</v>
      </c>
      <c r="D66" s="81">
        <v>1</v>
      </c>
      <c r="E66" s="67">
        <f t="shared" si="29"/>
        <v>0.25</v>
      </c>
      <c r="F66" s="79"/>
      <c r="G66" s="69">
        <f t="shared" si="30"/>
        <v>0.25</v>
      </c>
      <c r="H66" s="81">
        <v>1</v>
      </c>
      <c r="I66" s="67">
        <f t="shared" si="32"/>
        <v>0.25</v>
      </c>
      <c r="J66" s="79"/>
      <c r="K66" s="95">
        <f t="shared" si="18"/>
        <v>0</v>
      </c>
      <c r="L66" s="96" t="str">
        <f t="shared" si="14"/>
        <v xml:space="preserve"> 0.00%</v>
      </c>
    </row>
    <row r="67" spans="1:12" x14ac:dyDescent="0.25">
      <c r="A67" s="196" t="s">
        <v>54</v>
      </c>
      <c r="B67" s="197" t="s">
        <v>62</v>
      </c>
      <c r="C67" s="83">
        <f t="shared" si="15"/>
        <v>0.08</v>
      </c>
      <c r="D67" s="81">
        <f>$C$45*0.64</f>
        <v>512</v>
      </c>
      <c r="E67" s="67">
        <f t="shared" si="29"/>
        <v>40.96</v>
      </c>
      <c r="F67" s="79"/>
      <c r="G67" s="83">
        <f t="shared" si="30"/>
        <v>0.08</v>
      </c>
      <c r="H67" s="81">
        <f>$C$45*0.64</f>
        <v>512</v>
      </c>
      <c r="I67" s="67">
        <f t="shared" si="32"/>
        <v>40.96</v>
      </c>
      <c r="J67" s="79"/>
      <c r="K67" s="95">
        <f t="shared" si="18"/>
        <v>0</v>
      </c>
      <c r="L67" s="96" t="str">
        <f t="shared" si="14"/>
        <v xml:space="preserve"> 0.00%</v>
      </c>
    </row>
    <row r="68" spans="1:12" x14ac:dyDescent="0.25">
      <c r="A68" s="196" t="s">
        <v>55</v>
      </c>
      <c r="B68" s="197" t="s">
        <v>62</v>
      </c>
      <c r="C68" s="83">
        <f t="shared" si="15"/>
        <v>0.122</v>
      </c>
      <c r="D68" s="81">
        <f>$C$45*0.18</f>
        <v>144</v>
      </c>
      <c r="E68" s="67">
        <f t="shared" si="29"/>
        <v>17.567999999999998</v>
      </c>
      <c r="F68" s="79"/>
      <c r="G68" s="83">
        <f t="shared" si="30"/>
        <v>0.122</v>
      </c>
      <c r="H68" s="81">
        <f>$C$45*0.18</f>
        <v>144</v>
      </c>
      <c r="I68" s="67">
        <f t="shared" si="32"/>
        <v>17.567999999999998</v>
      </c>
      <c r="J68" s="79"/>
      <c r="K68" s="95">
        <f t="shared" si="18"/>
        <v>0</v>
      </c>
      <c r="L68" s="96" t="str">
        <f t="shared" si="14"/>
        <v xml:space="preserve"> 0.00%</v>
      </c>
    </row>
    <row r="69" spans="1:12" ht="15.75" thickBot="1" x14ac:dyDescent="0.3">
      <c r="A69" s="207" t="s">
        <v>56</v>
      </c>
      <c r="B69" s="208" t="s">
        <v>62</v>
      </c>
      <c r="C69" s="83">
        <f t="shared" si="15"/>
        <v>0.161</v>
      </c>
      <c r="D69" s="81">
        <f>$C$45*0.18</f>
        <v>144</v>
      </c>
      <c r="E69" s="67">
        <f>C69*D69</f>
        <v>23.184000000000001</v>
      </c>
      <c r="F69" s="79"/>
      <c r="G69" s="83">
        <f t="shared" si="30"/>
        <v>0.161</v>
      </c>
      <c r="H69" s="81">
        <f>$C$45*0.18</f>
        <v>144</v>
      </c>
      <c r="I69" s="67">
        <f>G69*H69</f>
        <v>23.184000000000001</v>
      </c>
      <c r="J69" s="79"/>
      <c r="K69" s="95">
        <f t="shared" si="18"/>
        <v>0</v>
      </c>
      <c r="L69" s="96" t="str">
        <f t="shared" si="14"/>
        <v xml:space="preserve"> 0.00%</v>
      </c>
    </row>
    <row r="70" spans="1:12" ht="9" customHeight="1" thickBot="1" x14ac:dyDescent="0.3">
      <c r="A70" s="209"/>
      <c r="B70" s="210"/>
      <c r="C70" s="137"/>
      <c r="D70" s="84"/>
      <c r="E70" s="91"/>
      <c r="F70" s="84"/>
      <c r="G70" s="137"/>
      <c r="H70" s="84"/>
      <c r="I70" s="137"/>
      <c r="J70" s="84"/>
      <c r="K70" s="138"/>
      <c r="L70" s="98"/>
    </row>
    <row r="71" spans="1:12" x14ac:dyDescent="0.25">
      <c r="A71" s="211" t="s">
        <v>57</v>
      </c>
      <c r="B71" s="212"/>
      <c r="C71" s="102"/>
      <c r="D71" s="103"/>
      <c r="E71" s="92">
        <f>SUM(E63:E69)</f>
        <v>132.07741519999999</v>
      </c>
      <c r="F71" s="104"/>
      <c r="G71" s="105"/>
      <c r="H71" s="103"/>
      <c r="I71" s="139">
        <f>SUM(I63:I69)</f>
        <v>131.96531519999999</v>
      </c>
      <c r="J71" s="85"/>
      <c r="K71" s="140">
        <f t="shared" ref="K71:K75" si="33">I71-E71</f>
        <v>-0.11209999999999809</v>
      </c>
      <c r="L71" s="68">
        <f t="shared" si="14"/>
        <v>-8.487446535068166E-4</v>
      </c>
    </row>
    <row r="72" spans="1:12" x14ac:dyDescent="0.25">
      <c r="A72" s="213" t="s">
        <v>58</v>
      </c>
      <c r="B72" s="214"/>
      <c r="C72" s="102">
        <v>0.13</v>
      </c>
      <c r="D72" s="106"/>
      <c r="E72" s="93">
        <f>E71*C72</f>
        <v>17.170063975999998</v>
      </c>
      <c r="F72" s="74"/>
      <c r="G72" s="102">
        <v>0.13</v>
      </c>
      <c r="H72" s="106"/>
      <c r="I72" s="100">
        <f>I71*G72</f>
        <v>17.155490975999999</v>
      </c>
      <c r="J72" s="86"/>
      <c r="K72" s="67">
        <f t="shared" si="33"/>
        <v>-1.4572999999998615E-2</v>
      </c>
      <c r="L72" s="96">
        <f t="shared" si="14"/>
        <v>-8.4874465350670558E-4</v>
      </c>
    </row>
    <row r="73" spans="1:12" hidden="1" x14ac:dyDescent="0.25">
      <c r="A73" s="215" t="s">
        <v>117</v>
      </c>
      <c r="B73" s="214"/>
      <c r="C73" s="74"/>
      <c r="D73" s="106"/>
      <c r="E73" s="93">
        <f>E71+E72</f>
        <v>149.24747917599998</v>
      </c>
      <c r="F73" s="74"/>
      <c r="G73" s="74"/>
      <c r="H73" s="106"/>
      <c r="I73" s="100">
        <f>I71+I72</f>
        <v>149.120806176</v>
      </c>
      <c r="J73" s="86"/>
      <c r="K73" s="67">
        <f t="shared" si="33"/>
        <v>-0.12667299999998249</v>
      </c>
      <c r="L73" s="96">
        <f t="shared" ref="L73" si="34">I73/E73-1</f>
        <v>-8.4874465350670558E-4</v>
      </c>
    </row>
    <row r="74" spans="1:12" hidden="1" x14ac:dyDescent="0.25">
      <c r="A74" s="216"/>
      <c r="B74" s="214"/>
      <c r="C74" s="74"/>
      <c r="D74" s="106"/>
      <c r="E74" s="94">
        <v>0</v>
      </c>
      <c r="F74" s="74"/>
      <c r="G74" s="74"/>
      <c r="H74" s="106"/>
      <c r="I74" s="101">
        <v>0</v>
      </c>
      <c r="J74" s="86"/>
      <c r="K74" s="67">
        <f t="shared" si="33"/>
        <v>0</v>
      </c>
      <c r="L74" s="101">
        <v>0</v>
      </c>
    </row>
    <row r="75" spans="1:12" ht="15.75" thickBot="1" x14ac:dyDescent="0.3">
      <c r="A75" s="217" t="s">
        <v>96</v>
      </c>
      <c r="B75" s="218"/>
      <c r="C75" s="142"/>
      <c r="D75" s="143"/>
      <c r="E75" s="144">
        <f>E73+E74</f>
        <v>149.24747917599998</v>
      </c>
      <c r="F75" s="145"/>
      <c r="G75" s="145"/>
      <c r="H75" s="143"/>
      <c r="I75" s="149">
        <f>I73+I74</f>
        <v>149.120806176</v>
      </c>
      <c r="J75" s="146"/>
      <c r="K75" s="147">
        <f t="shared" si="33"/>
        <v>-0.12667299999998249</v>
      </c>
      <c r="L75" s="148">
        <f t="shared" ref="L75" si="35">IF(I75-E75=0, " 0.00%", I75/E75-1)</f>
        <v>-8.4874465350670558E-4</v>
      </c>
    </row>
    <row r="76" spans="1:12" ht="9" customHeight="1" thickBot="1" x14ac:dyDescent="0.3">
      <c r="A76" s="209"/>
      <c r="B76" s="210"/>
      <c r="C76" s="137"/>
      <c r="D76" s="84"/>
      <c r="E76" s="91"/>
      <c r="F76" s="84"/>
      <c r="G76" s="137"/>
      <c r="H76" s="84"/>
      <c r="I76" s="137"/>
      <c r="J76" s="84"/>
      <c r="K76" s="138"/>
      <c r="L76" s="98"/>
    </row>
    <row r="79" spans="1:12" x14ac:dyDescent="0.25">
      <c r="A79" s="229" t="s">
        <v>97</v>
      </c>
      <c r="B79" s="230"/>
      <c r="C79" s="231"/>
    </row>
    <row r="80" spans="1:12" hidden="1" x14ac:dyDescent="0.25">
      <c r="A80" s="233"/>
      <c r="B80" s="234"/>
      <c r="C80" s="235"/>
    </row>
    <row r="81" spans="1:12" x14ac:dyDescent="0.25">
      <c r="A81" s="233" t="s">
        <v>66</v>
      </c>
      <c r="B81" s="234"/>
      <c r="C81" s="240">
        <f>'2019 Bill Impact'!C81</f>
        <v>1500</v>
      </c>
    </row>
    <row r="82" spans="1:12" x14ac:dyDescent="0.25">
      <c r="A82" s="237" t="s">
        <v>65</v>
      </c>
      <c r="B82" s="238"/>
      <c r="C82" s="241">
        <f>'2019 Bill Impact'!C82</f>
        <v>1.0430999999999999</v>
      </c>
    </row>
    <row r="84" spans="1:12" x14ac:dyDescent="0.25">
      <c r="A84" s="187"/>
      <c r="B84" s="188"/>
      <c r="C84" s="258" t="s">
        <v>69</v>
      </c>
      <c r="D84" s="259"/>
      <c r="E84" s="260"/>
      <c r="F84" s="187"/>
      <c r="G84" s="258" t="s">
        <v>70</v>
      </c>
      <c r="H84" s="259"/>
      <c r="I84" s="260"/>
      <c r="J84" s="187"/>
      <c r="K84" s="258" t="s">
        <v>39</v>
      </c>
      <c r="L84" s="260"/>
    </row>
    <row r="85" spans="1:12" ht="15" customHeight="1" x14ac:dyDescent="0.25">
      <c r="A85" s="187"/>
      <c r="B85" s="189"/>
      <c r="C85" s="190" t="s">
        <v>108</v>
      </c>
      <c r="D85" s="190" t="s">
        <v>35</v>
      </c>
      <c r="E85" s="191" t="s">
        <v>109</v>
      </c>
      <c r="F85" s="187"/>
      <c r="G85" s="190" t="s">
        <v>108</v>
      </c>
      <c r="H85" s="190" t="s">
        <v>35</v>
      </c>
      <c r="I85" s="191" t="s">
        <v>109</v>
      </c>
      <c r="J85" s="187"/>
      <c r="K85" s="192" t="s">
        <v>40</v>
      </c>
      <c r="L85" s="193" t="s">
        <v>41</v>
      </c>
    </row>
    <row r="86" spans="1:12" x14ac:dyDescent="0.25">
      <c r="A86" s="194" t="s">
        <v>36</v>
      </c>
      <c r="B86" s="195" t="s">
        <v>61</v>
      </c>
      <c r="C86" s="67">
        <f>C50</f>
        <v>26.57</v>
      </c>
      <c r="D86" s="109">
        <v>1</v>
      </c>
      <c r="E86" s="67">
        <f>C86*D86</f>
        <v>26.57</v>
      </c>
      <c r="F86" s="75"/>
      <c r="G86" s="67">
        <f>G50</f>
        <v>29.98</v>
      </c>
      <c r="H86" s="109">
        <v>1</v>
      </c>
      <c r="I86" s="67">
        <f>G86*H86</f>
        <v>29.98</v>
      </c>
      <c r="J86" s="75"/>
      <c r="K86" s="67">
        <f>I86-E86</f>
        <v>3.41</v>
      </c>
      <c r="L86" s="96">
        <f t="shared" ref="L86:L108" si="36">IF(I86-E86=0, " 0.00%", I86/E86-1)</f>
        <v>0.12834023334587874</v>
      </c>
    </row>
    <row r="87" spans="1:12" x14ac:dyDescent="0.25">
      <c r="A87" s="196" t="s">
        <v>60</v>
      </c>
      <c r="B87" s="197" t="s">
        <v>61</v>
      </c>
      <c r="C87" s="67">
        <f t="shared" ref="C87:C105" si="37">C51</f>
        <v>-0.26569999999999999</v>
      </c>
      <c r="D87" s="109">
        <v>1</v>
      </c>
      <c r="E87" s="67">
        <f t="shared" ref="E87:E91" si="38">C87*D87</f>
        <v>-0.26569999999999999</v>
      </c>
      <c r="F87" s="75"/>
      <c r="G87" s="67">
        <f t="shared" ref="G87:G105" si="39">G51</f>
        <v>-0.29980000000000001</v>
      </c>
      <c r="H87" s="109">
        <v>1</v>
      </c>
      <c r="I87" s="67">
        <f t="shared" ref="I87:I91" si="40">G87*H87</f>
        <v>-0.29980000000000001</v>
      </c>
      <c r="J87" s="86"/>
      <c r="K87" s="67">
        <f t="shared" ref="K87:K105" si="41">I87-E87</f>
        <v>-3.4100000000000019E-2</v>
      </c>
      <c r="L87" s="96">
        <f t="shared" si="36"/>
        <v>0.12834023334587896</v>
      </c>
    </row>
    <row r="88" spans="1:12" x14ac:dyDescent="0.25">
      <c r="A88" s="196" t="s">
        <v>63</v>
      </c>
      <c r="B88" s="197" t="s">
        <v>61</v>
      </c>
      <c r="C88" s="67">
        <f t="shared" si="37"/>
        <v>0.64</v>
      </c>
      <c r="D88" s="109">
        <v>1</v>
      </c>
      <c r="E88" s="67">
        <f t="shared" si="38"/>
        <v>0.64</v>
      </c>
      <c r="F88" s="75"/>
      <c r="G88" s="67">
        <f t="shared" si="39"/>
        <v>0.64</v>
      </c>
      <c r="H88" s="109">
        <v>1</v>
      </c>
      <c r="I88" s="67">
        <f t="shared" si="40"/>
        <v>0.64</v>
      </c>
      <c r="J88" s="86"/>
      <c r="K88" s="67">
        <f t="shared" si="41"/>
        <v>0</v>
      </c>
      <c r="L88" s="96" t="str">
        <f t="shared" si="36"/>
        <v xml:space="preserve"> 0.00%</v>
      </c>
    </row>
    <row r="89" spans="1:12" x14ac:dyDescent="0.25">
      <c r="A89" s="196" t="s">
        <v>42</v>
      </c>
      <c r="B89" s="197" t="s">
        <v>62</v>
      </c>
      <c r="C89" s="70">
        <f t="shared" si="37"/>
        <v>4.4000000000000003E-3</v>
      </c>
      <c r="D89" s="76">
        <f>$C$81</f>
        <v>1500</v>
      </c>
      <c r="E89" s="67">
        <f t="shared" si="38"/>
        <v>6.6000000000000005</v>
      </c>
      <c r="F89" s="75"/>
      <c r="G89" s="70">
        <f t="shared" si="39"/>
        <v>0</v>
      </c>
      <c r="H89" s="76">
        <f>$C$81</f>
        <v>1500</v>
      </c>
      <c r="I89" s="67">
        <f t="shared" si="40"/>
        <v>0</v>
      </c>
      <c r="J89" s="86"/>
      <c r="K89" s="67">
        <f t="shared" si="41"/>
        <v>-6.6000000000000005</v>
      </c>
      <c r="L89" s="96">
        <f t="shared" si="36"/>
        <v>-1</v>
      </c>
    </row>
    <row r="90" spans="1:12" x14ac:dyDescent="0.25">
      <c r="A90" s="196" t="s">
        <v>60</v>
      </c>
      <c r="B90" s="197" t="s">
        <v>62</v>
      </c>
      <c r="C90" s="70">
        <f t="shared" si="37"/>
        <v>-4.0000000000000003E-5</v>
      </c>
      <c r="D90" s="76">
        <f>$C$81</f>
        <v>1500</v>
      </c>
      <c r="E90" s="67">
        <f t="shared" si="38"/>
        <v>-6.0000000000000005E-2</v>
      </c>
      <c r="F90" s="75"/>
      <c r="G90" s="70">
        <f t="shared" si="39"/>
        <v>0</v>
      </c>
      <c r="H90" s="76">
        <f>$C$81</f>
        <v>1500</v>
      </c>
      <c r="I90" s="67">
        <f t="shared" si="40"/>
        <v>0</v>
      </c>
      <c r="J90" s="86"/>
      <c r="K90" s="67">
        <f t="shared" si="41"/>
        <v>6.0000000000000005E-2</v>
      </c>
      <c r="L90" s="96">
        <f t="shared" si="36"/>
        <v>-1</v>
      </c>
    </row>
    <row r="91" spans="1:12" x14ac:dyDescent="0.25">
      <c r="A91" s="198" t="s">
        <v>64</v>
      </c>
      <c r="B91" s="197" t="s">
        <v>62</v>
      </c>
      <c r="C91" s="70">
        <f t="shared" si="37"/>
        <v>8.0000000000000004E-4</v>
      </c>
      <c r="D91" s="76">
        <f>$C$81</f>
        <v>1500</v>
      </c>
      <c r="E91" s="67">
        <f t="shared" si="38"/>
        <v>1.2</v>
      </c>
      <c r="F91" s="75"/>
      <c r="G91" s="70">
        <f t="shared" si="39"/>
        <v>8.0000000000000004E-4</v>
      </c>
      <c r="H91" s="76">
        <f>$C$81</f>
        <v>1500</v>
      </c>
      <c r="I91" s="67">
        <f t="shared" si="40"/>
        <v>1.2</v>
      </c>
      <c r="J91" s="86"/>
      <c r="K91" s="67">
        <f t="shared" si="41"/>
        <v>0</v>
      </c>
      <c r="L91" s="96" t="str">
        <f t="shared" si="36"/>
        <v xml:space="preserve"> 0.00%</v>
      </c>
    </row>
    <row r="92" spans="1:12" x14ac:dyDescent="0.25">
      <c r="A92" s="199" t="s">
        <v>43</v>
      </c>
      <c r="B92" s="200"/>
      <c r="C92" s="64"/>
      <c r="D92" s="80"/>
      <c r="E92" s="63">
        <f>SUM(E86:E91)</f>
        <v>34.6843</v>
      </c>
      <c r="F92" s="77"/>
      <c r="G92" s="64"/>
      <c r="H92" s="80"/>
      <c r="I92" s="63">
        <f>SUM(I86:I91)</f>
        <v>31.520199999999999</v>
      </c>
      <c r="J92" s="65"/>
      <c r="K92" s="141">
        <f t="shared" si="41"/>
        <v>-3.1641000000000012</v>
      </c>
      <c r="L92" s="97">
        <f t="shared" si="36"/>
        <v>-9.122571307479177E-2</v>
      </c>
    </row>
    <row r="93" spans="1:12" x14ac:dyDescent="0.25">
      <c r="A93" s="201" t="s">
        <v>44</v>
      </c>
      <c r="B93" s="197" t="s">
        <v>62</v>
      </c>
      <c r="C93" s="87">
        <f t="shared" si="37"/>
        <v>0.10214000000000001</v>
      </c>
      <c r="D93" s="78">
        <f>($C$81*$C$46)-$C$81</f>
        <v>64.649999999999864</v>
      </c>
      <c r="E93" s="89">
        <f t="shared" ref="E93" si="42">C93*D93</f>
        <v>6.6033509999999866</v>
      </c>
      <c r="F93" s="77"/>
      <c r="G93" s="87">
        <f t="shared" si="39"/>
        <v>0.10214000000000001</v>
      </c>
      <c r="H93" s="78">
        <f>($C$81*$C$46)-$C$81</f>
        <v>64.649999999999864</v>
      </c>
      <c r="I93" s="89">
        <f t="shared" ref="I93" si="43">G93*H93</f>
        <v>6.6033509999999866</v>
      </c>
      <c r="J93" s="65"/>
      <c r="K93" s="67">
        <f t="shared" si="41"/>
        <v>0</v>
      </c>
      <c r="L93" s="96" t="str">
        <f t="shared" si="36"/>
        <v xml:space="preserve"> 0.00%</v>
      </c>
    </row>
    <row r="94" spans="1:12" hidden="1" x14ac:dyDescent="0.25">
      <c r="A94" s="201" t="s">
        <v>45</v>
      </c>
      <c r="B94" s="197" t="s">
        <v>62</v>
      </c>
      <c r="C94" s="108">
        <f t="shared" si="37"/>
        <v>0</v>
      </c>
      <c r="D94" s="78">
        <v>0</v>
      </c>
      <c r="E94" s="89">
        <v>0</v>
      </c>
      <c r="F94" s="77"/>
      <c r="G94" s="108">
        <f t="shared" si="39"/>
        <v>0</v>
      </c>
      <c r="H94" s="78">
        <v>0</v>
      </c>
      <c r="I94" s="89">
        <v>0</v>
      </c>
      <c r="J94" s="65"/>
      <c r="K94" s="67">
        <f t="shared" si="41"/>
        <v>0</v>
      </c>
      <c r="L94" s="96" t="str">
        <f t="shared" si="36"/>
        <v xml:space="preserve"> 0.00%</v>
      </c>
    </row>
    <row r="95" spans="1:12" x14ac:dyDescent="0.25">
      <c r="A95" s="196" t="s">
        <v>46</v>
      </c>
      <c r="B95" s="197" t="s">
        <v>61</v>
      </c>
      <c r="C95" s="107">
        <f t="shared" si="37"/>
        <v>0</v>
      </c>
      <c r="D95" s="78">
        <v>1</v>
      </c>
      <c r="E95" s="89">
        <f t="shared" ref="E95" si="44">C95*D95</f>
        <v>0</v>
      </c>
      <c r="F95" s="77"/>
      <c r="G95" s="87">
        <f t="shared" si="39"/>
        <v>0</v>
      </c>
      <c r="H95" s="78">
        <v>1</v>
      </c>
      <c r="I95" s="89">
        <f t="shared" ref="I95" si="45">G95*H95</f>
        <v>0</v>
      </c>
      <c r="J95" s="65"/>
      <c r="K95" s="67">
        <f t="shared" si="41"/>
        <v>0</v>
      </c>
      <c r="L95" s="96" t="str">
        <f t="shared" si="36"/>
        <v xml:space="preserve"> 0.00%</v>
      </c>
    </row>
    <row r="96" spans="1:12" x14ac:dyDescent="0.25">
      <c r="A96" s="202" t="s">
        <v>47</v>
      </c>
      <c r="B96" s="203"/>
      <c r="C96" s="80"/>
      <c r="D96" s="80"/>
      <c r="E96" s="90">
        <f>SUM(E92:E95)</f>
        <v>41.28765099999999</v>
      </c>
      <c r="F96" s="77"/>
      <c r="G96" s="80"/>
      <c r="H96" s="80"/>
      <c r="I96" s="90">
        <f>SUM(I92:I95)</f>
        <v>38.123550999999985</v>
      </c>
      <c r="J96" s="65"/>
      <c r="K96" s="141">
        <f t="shared" si="41"/>
        <v>-3.1641000000000048</v>
      </c>
      <c r="L96" s="97">
        <f t="shared" si="36"/>
        <v>-7.6635505371812185E-2</v>
      </c>
    </row>
    <row r="97" spans="1:12" x14ac:dyDescent="0.25">
      <c r="A97" s="204" t="s">
        <v>48</v>
      </c>
      <c r="B97" s="197" t="s">
        <v>62</v>
      </c>
      <c r="C97" s="87">
        <f t="shared" si="37"/>
        <v>7.4999999999999997E-3</v>
      </c>
      <c r="D97" s="81">
        <f>$C$81*$C$46</f>
        <v>1564.6499999999999</v>
      </c>
      <c r="E97" s="89">
        <f t="shared" ref="E97:E98" si="46">C97*D97</f>
        <v>11.734874999999999</v>
      </c>
      <c r="F97" s="77"/>
      <c r="G97" s="87">
        <f t="shared" si="39"/>
        <v>7.4999999999999997E-3</v>
      </c>
      <c r="H97" s="81">
        <f>$C$81*$C$46</f>
        <v>1564.6499999999999</v>
      </c>
      <c r="I97" s="89">
        <f t="shared" ref="I97:I98" si="47">G97*H97</f>
        <v>11.734874999999999</v>
      </c>
      <c r="J97" s="65"/>
      <c r="K97" s="95">
        <f t="shared" si="41"/>
        <v>0</v>
      </c>
      <c r="L97" s="96" t="str">
        <f t="shared" si="36"/>
        <v xml:space="preserve"> 0.00%</v>
      </c>
    </row>
    <row r="98" spans="1:12" x14ac:dyDescent="0.25">
      <c r="A98" s="205" t="s">
        <v>49</v>
      </c>
      <c r="B98" s="197" t="s">
        <v>62</v>
      </c>
      <c r="C98" s="87">
        <f t="shared" si="37"/>
        <v>5.4000000000000003E-3</v>
      </c>
      <c r="D98" s="81">
        <f>$C$81*$C$46</f>
        <v>1564.6499999999999</v>
      </c>
      <c r="E98" s="89">
        <f t="shared" si="46"/>
        <v>8.4491099999999992</v>
      </c>
      <c r="F98" s="77"/>
      <c r="G98" s="87">
        <f t="shared" si="39"/>
        <v>5.4000000000000003E-3</v>
      </c>
      <c r="H98" s="81">
        <f>$C$81*$C$46</f>
        <v>1564.6499999999999</v>
      </c>
      <c r="I98" s="89">
        <f t="shared" si="47"/>
        <v>8.4491099999999992</v>
      </c>
      <c r="J98" s="65"/>
      <c r="K98" s="95">
        <f t="shared" si="41"/>
        <v>0</v>
      </c>
      <c r="L98" s="96" t="str">
        <f t="shared" si="36"/>
        <v xml:space="preserve"> 0.00%</v>
      </c>
    </row>
    <row r="99" spans="1:12" x14ac:dyDescent="0.25">
      <c r="A99" s="202" t="s">
        <v>50</v>
      </c>
      <c r="B99" s="200"/>
      <c r="C99" s="80"/>
      <c r="D99" s="80"/>
      <c r="E99" s="90">
        <f>SUM(E96:E98)</f>
        <v>61.471635999999982</v>
      </c>
      <c r="F99" s="82"/>
      <c r="G99" s="80"/>
      <c r="H99" s="80"/>
      <c r="I99" s="90">
        <f>SUM(I96:I98)</f>
        <v>58.307535999999978</v>
      </c>
      <c r="J99" s="66"/>
      <c r="K99" s="141">
        <f t="shared" si="41"/>
        <v>-3.1641000000000048</v>
      </c>
      <c r="L99" s="97">
        <f t="shared" si="36"/>
        <v>-5.1472519781318393E-2</v>
      </c>
    </row>
    <row r="100" spans="1:12" x14ac:dyDescent="0.25">
      <c r="A100" s="206" t="s">
        <v>51</v>
      </c>
      <c r="B100" s="197" t="s">
        <v>62</v>
      </c>
      <c r="C100" s="88">
        <f t="shared" si="37"/>
        <v>4.4000000000000003E-3</v>
      </c>
      <c r="D100" s="81">
        <f>$C$81*$C$46</f>
        <v>1564.6499999999999</v>
      </c>
      <c r="E100" s="67">
        <f t="shared" ref="E100:E104" si="48">C100*D100</f>
        <v>6.8844599999999998</v>
      </c>
      <c r="F100" s="79"/>
      <c r="G100" s="88">
        <f t="shared" si="39"/>
        <v>4.4000000000000003E-3</v>
      </c>
      <c r="H100" s="81">
        <f>$C$81*$C$46</f>
        <v>1564.6499999999999</v>
      </c>
      <c r="I100" s="67">
        <f t="shared" ref="I100:I104" si="49">G100*H100</f>
        <v>6.8844599999999998</v>
      </c>
      <c r="J100" s="65"/>
      <c r="K100" s="95">
        <f t="shared" si="41"/>
        <v>0</v>
      </c>
      <c r="L100" s="96" t="str">
        <f t="shared" si="36"/>
        <v xml:space="preserve"> 0.00%</v>
      </c>
    </row>
    <row r="101" spans="1:12" x14ac:dyDescent="0.25">
      <c r="A101" s="206" t="s">
        <v>52</v>
      </c>
      <c r="B101" s="197" t="s">
        <v>62</v>
      </c>
      <c r="C101" s="88">
        <f t="shared" si="37"/>
        <v>1.2999999999999999E-3</v>
      </c>
      <c r="D101" s="81">
        <f>$C$81*$C$46</f>
        <v>1564.6499999999999</v>
      </c>
      <c r="E101" s="67">
        <f t="shared" si="48"/>
        <v>2.0340449999999999</v>
      </c>
      <c r="F101" s="79"/>
      <c r="G101" s="88">
        <f t="shared" si="39"/>
        <v>1.2999999999999999E-3</v>
      </c>
      <c r="H101" s="81">
        <f>$C$81*$C$46</f>
        <v>1564.6499999999999</v>
      </c>
      <c r="I101" s="67">
        <f t="shared" si="49"/>
        <v>2.0340449999999999</v>
      </c>
      <c r="J101" s="65"/>
      <c r="K101" s="95">
        <f t="shared" si="41"/>
        <v>0</v>
      </c>
      <c r="L101" s="96" t="str">
        <f t="shared" si="36"/>
        <v xml:space="preserve"> 0.00%</v>
      </c>
    </row>
    <row r="102" spans="1:12" x14ac:dyDescent="0.25">
      <c r="A102" s="196" t="s">
        <v>53</v>
      </c>
      <c r="B102" s="197" t="s">
        <v>61</v>
      </c>
      <c r="C102" s="69">
        <f t="shared" si="37"/>
        <v>0.25</v>
      </c>
      <c r="D102" s="81">
        <v>1</v>
      </c>
      <c r="E102" s="67">
        <f t="shared" si="48"/>
        <v>0.25</v>
      </c>
      <c r="F102" s="79"/>
      <c r="G102" s="69">
        <f t="shared" si="39"/>
        <v>0.25</v>
      </c>
      <c r="H102" s="81">
        <v>1</v>
      </c>
      <c r="I102" s="67">
        <f t="shared" si="49"/>
        <v>0.25</v>
      </c>
      <c r="J102" s="79"/>
      <c r="K102" s="95">
        <f t="shared" si="41"/>
        <v>0</v>
      </c>
      <c r="L102" s="96" t="str">
        <f t="shared" si="36"/>
        <v xml:space="preserve"> 0.00%</v>
      </c>
    </row>
    <row r="103" spans="1:12" x14ac:dyDescent="0.25">
      <c r="A103" s="196" t="s">
        <v>54</v>
      </c>
      <c r="B103" s="197" t="s">
        <v>62</v>
      </c>
      <c r="C103" s="83">
        <f t="shared" si="37"/>
        <v>0.08</v>
      </c>
      <c r="D103" s="81">
        <f>$C$81*0.64</f>
        <v>960</v>
      </c>
      <c r="E103" s="67">
        <f t="shared" si="48"/>
        <v>76.8</v>
      </c>
      <c r="F103" s="79"/>
      <c r="G103" s="83">
        <f t="shared" si="39"/>
        <v>0.08</v>
      </c>
      <c r="H103" s="81">
        <f>$C$81*0.64</f>
        <v>960</v>
      </c>
      <c r="I103" s="67">
        <f t="shared" si="49"/>
        <v>76.8</v>
      </c>
      <c r="J103" s="79"/>
      <c r="K103" s="95">
        <f t="shared" si="41"/>
        <v>0</v>
      </c>
      <c r="L103" s="96" t="str">
        <f t="shared" si="36"/>
        <v xml:space="preserve"> 0.00%</v>
      </c>
    </row>
    <row r="104" spans="1:12" x14ac:dyDescent="0.25">
      <c r="A104" s="196" t="s">
        <v>55</v>
      </c>
      <c r="B104" s="197" t="s">
        <v>62</v>
      </c>
      <c r="C104" s="83">
        <f t="shared" si="37"/>
        <v>0.122</v>
      </c>
      <c r="D104" s="81">
        <f>$C$81*0.18</f>
        <v>270</v>
      </c>
      <c r="E104" s="67">
        <f t="shared" si="48"/>
        <v>32.94</v>
      </c>
      <c r="F104" s="79"/>
      <c r="G104" s="83">
        <f t="shared" si="39"/>
        <v>0.122</v>
      </c>
      <c r="H104" s="81">
        <f>$C$81*0.18</f>
        <v>270</v>
      </c>
      <c r="I104" s="67">
        <f t="shared" si="49"/>
        <v>32.94</v>
      </c>
      <c r="J104" s="79"/>
      <c r="K104" s="95">
        <f t="shared" si="41"/>
        <v>0</v>
      </c>
      <c r="L104" s="96" t="str">
        <f t="shared" si="36"/>
        <v xml:space="preserve"> 0.00%</v>
      </c>
    </row>
    <row r="105" spans="1:12" ht="15.75" thickBot="1" x14ac:dyDescent="0.3">
      <c r="A105" s="207" t="s">
        <v>56</v>
      </c>
      <c r="B105" s="208" t="s">
        <v>62</v>
      </c>
      <c r="C105" s="83">
        <f t="shared" si="37"/>
        <v>0.161</v>
      </c>
      <c r="D105" s="81">
        <f>$C$81*0.18</f>
        <v>270</v>
      </c>
      <c r="E105" s="67">
        <f>C105*D105</f>
        <v>43.47</v>
      </c>
      <c r="F105" s="79"/>
      <c r="G105" s="83">
        <f t="shared" si="39"/>
        <v>0.161</v>
      </c>
      <c r="H105" s="81">
        <f>$C$81*0.18</f>
        <v>270</v>
      </c>
      <c r="I105" s="67">
        <f>G105*H105</f>
        <v>43.47</v>
      </c>
      <c r="J105" s="79"/>
      <c r="K105" s="95">
        <f t="shared" si="41"/>
        <v>0</v>
      </c>
      <c r="L105" s="96" t="str">
        <f t="shared" si="36"/>
        <v xml:space="preserve"> 0.00%</v>
      </c>
    </row>
    <row r="106" spans="1:12" ht="9" customHeight="1" thickBot="1" x14ac:dyDescent="0.3">
      <c r="A106" s="209"/>
      <c r="B106" s="210"/>
      <c r="C106" s="137"/>
      <c r="D106" s="84"/>
      <c r="E106" s="91"/>
      <c r="F106" s="84"/>
      <c r="G106" s="137"/>
      <c r="H106" s="84"/>
      <c r="I106" s="137"/>
      <c r="J106" s="84"/>
      <c r="K106" s="138"/>
      <c r="L106" s="98"/>
    </row>
    <row r="107" spans="1:12" x14ac:dyDescent="0.25">
      <c r="A107" s="211" t="s">
        <v>57</v>
      </c>
      <c r="B107" s="212"/>
      <c r="C107" s="102"/>
      <c r="D107" s="103"/>
      <c r="E107" s="92">
        <f>SUM(E99:E105)</f>
        <v>223.85014099999998</v>
      </c>
      <c r="F107" s="104"/>
      <c r="G107" s="105"/>
      <c r="H107" s="103"/>
      <c r="I107" s="139">
        <f>SUM(I99:I105)</f>
        <v>220.68604099999996</v>
      </c>
      <c r="J107" s="85"/>
      <c r="K107" s="140">
        <f t="shared" ref="K107:K111" si="50">I107-E107</f>
        <v>-3.164100000000019</v>
      </c>
      <c r="L107" s="68">
        <f t="shared" si="36"/>
        <v>-1.413490286789687E-2</v>
      </c>
    </row>
    <row r="108" spans="1:12" x14ac:dyDescent="0.25">
      <c r="A108" s="213" t="s">
        <v>58</v>
      </c>
      <c r="B108" s="214"/>
      <c r="C108" s="102">
        <v>0.13</v>
      </c>
      <c r="D108" s="106"/>
      <c r="E108" s="93">
        <f>E107*C108</f>
        <v>29.10051833</v>
      </c>
      <c r="F108" s="74"/>
      <c r="G108" s="102">
        <v>0.13</v>
      </c>
      <c r="H108" s="106"/>
      <c r="I108" s="100">
        <f>I107*G108</f>
        <v>28.689185329999997</v>
      </c>
      <c r="J108" s="86"/>
      <c r="K108" s="67">
        <f t="shared" si="50"/>
        <v>-0.41133300000000261</v>
      </c>
      <c r="L108" s="96">
        <f t="shared" si="36"/>
        <v>-1.413490286789687E-2</v>
      </c>
    </row>
    <row r="109" spans="1:12" hidden="1" x14ac:dyDescent="0.25">
      <c r="A109" s="215" t="s">
        <v>117</v>
      </c>
      <c r="B109" s="214"/>
      <c r="C109" s="74"/>
      <c r="D109" s="106"/>
      <c r="E109" s="93">
        <f>E107+E108</f>
        <v>252.95065932999998</v>
      </c>
      <c r="F109" s="74"/>
      <c r="G109" s="74"/>
      <c r="H109" s="106"/>
      <c r="I109" s="100">
        <f>I107+I108</f>
        <v>249.37522632999995</v>
      </c>
      <c r="J109" s="86"/>
      <c r="K109" s="67">
        <f t="shared" si="50"/>
        <v>-3.5754330000000323</v>
      </c>
      <c r="L109" s="96">
        <f t="shared" ref="L109" si="51">I109/E109-1</f>
        <v>-1.413490286789687E-2</v>
      </c>
    </row>
    <row r="110" spans="1:12" hidden="1" x14ac:dyDescent="0.25">
      <c r="A110" s="216"/>
      <c r="B110" s="214"/>
      <c r="C110" s="74"/>
      <c r="D110" s="106"/>
      <c r="E110" s="94">
        <v>0</v>
      </c>
      <c r="F110" s="74"/>
      <c r="G110" s="74"/>
      <c r="H110" s="106"/>
      <c r="I110" s="101">
        <v>0</v>
      </c>
      <c r="J110" s="86"/>
      <c r="K110" s="67">
        <f t="shared" si="50"/>
        <v>0</v>
      </c>
      <c r="L110" s="101">
        <v>0</v>
      </c>
    </row>
    <row r="111" spans="1:12" ht="15.75" thickBot="1" x14ac:dyDescent="0.3">
      <c r="A111" s="217" t="s">
        <v>96</v>
      </c>
      <c r="B111" s="218"/>
      <c r="C111" s="142"/>
      <c r="D111" s="143"/>
      <c r="E111" s="144">
        <f>E109+E110</f>
        <v>252.95065932999998</v>
      </c>
      <c r="F111" s="145"/>
      <c r="G111" s="145"/>
      <c r="H111" s="143"/>
      <c r="I111" s="149">
        <f>I109+I110</f>
        <v>249.37522632999995</v>
      </c>
      <c r="J111" s="146"/>
      <c r="K111" s="147">
        <f t="shared" si="50"/>
        <v>-3.5754330000000323</v>
      </c>
      <c r="L111" s="148">
        <f t="shared" ref="L111" si="52">IF(I111-E111=0, " 0.00%", I111/E111-1)</f>
        <v>-1.413490286789687E-2</v>
      </c>
    </row>
    <row r="112" spans="1:12" ht="9" customHeight="1" thickBot="1" x14ac:dyDescent="0.3">
      <c r="A112" s="209"/>
      <c r="B112" s="210"/>
      <c r="C112" s="137"/>
      <c r="D112" s="84"/>
      <c r="E112" s="91"/>
      <c r="F112" s="84"/>
      <c r="G112" s="137"/>
      <c r="H112" s="84"/>
      <c r="I112" s="137"/>
      <c r="J112" s="84"/>
      <c r="K112" s="138"/>
      <c r="L112" s="98"/>
    </row>
  </sheetData>
  <mergeCells count="9">
    <mergeCell ref="C84:E84"/>
    <mergeCell ref="G84:I84"/>
    <mergeCell ref="K84:L84"/>
    <mergeCell ref="C12:E12"/>
    <mergeCell ref="G12:I12"/>
    <mergeCell ref="K12:L12"/>
    <mergeCell ref="C48:E48"/>
    <mergeCell ref="G48:I48"/>
    <mergeCell ref="K48:L48"/>
  </mergeCells>
  <pageMargins left="0.7" right="0.7" top="0.75" bottom="0.75" header="0.3" footer="0.3"/>
  <pageSetup scale="48" orientation="portrait" r:id="rId1"/>
  <headerFooter>
    <oddHeader>&amp;RFiled: 2016-10-18
EB-2016-0082
Draft Rate Order
Attachment 3
Page &amp;P of &amp;N</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Filing_x0020_Status xmlns="ea909525-6dd5-47d7-9eed-71e77e5cedc6">Draft</Filing_x0020_Status>
    <Case_x0020_Number_x002f_Docket_x0020_Number xmlns="f9175001-c430-4d57-adde-c1c10539e919">EB-2016-0082</Case_x0020_Number_x002f_Docket_x0020_Number>
    <Issue_x0020_Date xmlns="f9175001-c430-4d57-adde-c1c10539e919">2016-10-18T04:00:00+00:00</Issue_x0020_Date>
    <Authoring_x0020_Party xmlns="ea909525-6dd5-47d7-9eed-71e77e5cedc6">Hydro One Networks - HONI</Authoring_x0020_Party>
    <Applicant xmlns="f9175001-c430-4d57-adde-c1c10539e919">
      <Value>Hydro One Networks</Value>
    </Applicant>
    <Jurisdiction xmlns="f9175001-c430-4d57-adde-c1c10539e919">OEB</Jurisdiction>
    <Case_x0020_Type xmlns="f9175001-c430-4d57-adde-c1c10539e919">Electricity</Case_x0020_Type>
    <Document_x0020_Type xmlns="f9175001-c430-4d57-adde-c1c10539e919">Correspondence</Document_x0020_Type>
    <RA_x0020_Contact xmlns="31a38067-a042-4e0e-9037-517587b10700">FLANNERY Andrew</RA_x0020_Contact>
    <Hydro_x0020_One_x0020_Data_x0020_Classification xmlns="f0af1d65-dfd0-4b99-b523-def3a954563f">Internal Use (Only Internal information is not for release to the public)</Hydro_x0020_One_x0020_Data_x0020_Classification>
  </documentManagement>
</p:properties>
</file>

<file path=customXml/item2.xml><?xml version="1.0" encoding="utf-8"?>
<ct:contentTypeSchema xmlns:ct="http://schemas.microsoft.com/office/2006/metadata/contentType" xmlns:ma="http://schemas.microsoft.com/office/2006/metadata/properties/metaAttributes" ct:_="" ma:_="" ma:contentTypeName="Regulatory Affairs Proceeding" ma:contentTypeID="0x01010061EC7F66509FFD4DA0B1B261A86BE7730043B56CC244F57B469E4DF355E1317793" ma:contentTypeVersion="16" ma:contentTypeDescription="Meta data that will be applied to all documents added to the proceeding document folder" ma:contentTypeScope="" ma:versionID="f7222e2a460825bf4f63547a4f130054">
  <xsd:schema xmlns:xsd="http://www.w3.org/2001/XMLSchema" xmlns:xs="http://www.w3.org/2001/XMLSchema" xmlns:p="http://schemas.microsoft.com/office/2006/metadata/properties" xmlns:ns2="f9175001-c430-4d57-adde-c1c10539e919" xmlns:ns3="ea909525-6dd5-47d7-9eed-71e77e5cedc6" xmlns:ns4="f0af1d65-dfd0-4b99-b523-def3a954563f" xmlns:ns5="31a38067-a042-4e0e-9037-517587b10700" targetNamespace="http://schemas.microsoft.com/office/2006/metadata/properties" ma:root="true" ma:fieldsID="ed1632bf2f1b7284e5b7ae3075c802ff" ns2:_="" ns3:_="" ns4:_="" ns5:_="">
    <xsd:import namespace="f9175001-c430-4d57-adde-c1c10539e919"/>
    <xsd:import namespace="ea909525-6dd5-47d7-9eed-71e77e5cedc6"/>
    <xsd:import namespace="f0af1d65-dfd0-4b99-b523-def3a954563f"/>
    <xsd:import namespace="31a38067-a042-4e0e-9037-517587b10700"/>
    <xsd:element name="properties">
      <xsd:complexType>
        <xsd:sequence>
          <xsd:element name="documentManagement">
            <xsd:complexType>
              <xsd:all>
                <xsd:element ref="ns2:Applicant" minOccurs="0"/>
                <xsd:element ref="ns2:Case_x0020_Number_x002f_Docket_x0020_Number" minOccurs="0"/>
                <xsd:element ref="ns2:Case_x0020_Type"/>
                <xsd:element ref="ns2:Document_x0020_Type"/>
                <xsd:element ref="ns2:Issue_x0020_Date"/>
                <xsd:element ref="ns2:Jurisdiction"/>
                <xsd:element ref="ns3:Authoring_x0020_Party" minOccurs="0"/>
                <xsd:element ref="ns3:Filing_x0020_Status" minOccurs="0"/>
                <xsd:element ref="ns4:Hydro_x0020_One_x0020_Data_x0020_Classification"/>
                <xsd:element ref="ns5:RA_x0020_Contac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175001-c430-4d57-adde-c1c10539e919" elementFormDefault="qualified">
    <xsd:import namespace="http://schemas.microsoft.com/office/2006/documentManagement/types"/>
    <xsd:import namespace="http://schemas.microsoft.com/office/infopath/2007/PartnerControls"/>
    <xsd:element name="Applicant" ma:index="8" nillable="true" ma:displayName="Applicant" ma:default="Hydro One Networks" ma:description="Applicant(s) for the case" ma:internalName="Applicant" ma:requiredMultiChoice="true">
      <xsd:complexType>
        <xsd:complexContent>
          <xsd:extension base="dms:MultiChoiceFillIn">
            <xsd:sequence>
              <xsd:element name="Value" maxOccurs="unbounded" minOccurs="0" nillable="true">
                <xsd:simpleType>
                  <xsd:union memberTypes="dms:Text">
                    <xsd:simpleType>
                      <xsd:restriction base="dms:Choice">
                        <xsd:enumeration value="Hydro One Networks"/>
                        <xsd:enumeration value="Enbridge Gas Distribution"/>
                        <xsd:enumeration value="Union Gas Limited"/>
                        <xsd:enumeration value="Toronto Hydro Electric System"/>
                        <xsd:enumeration value="Enersource"/>
                        <xsd:enumeration value="Hydro Ottawa"/>
                        <xsd:enumeration value="Powerstream"/>
                        <xsd:enumeration value="Veridian Connections"/>
                        <xsd:enumeration value="Great Lakes Power"/>
                        <xsd:enumeration value="Ontario Power Generation"/>
                        <xsd:enumeration value="Independent Electricity System Operator"/>
                        <xsd:enumeration value="Ontario Power Authority"/>
                        <xsd:enumeration value="Ontario Energy Board"/>
                        <xsd:enumeration value="Hydro One Brampton"/>
                        <xsd:enumeration value="Hydro One Remote Communities"/>
                      </xsd:restriction>
                    </xsd:simpleType>
                  </xsd:union>
                </xsd:simpleType>
              </xsd:element>
            </xsd:sequence>
          </xsd:extension>
        </xsd:complexContent>
      </xsd:complexType>
    </xsd:element>
    <xsd:element name="Case_x0020_Number_x002f_Docket_x0020_Number" ma:index="9" nillable="true" ma:displayName="Case Number/Docket Number" ma:description="If there is an associated case number please enter it." ma:internalName="Case_x0020_Number_x002F_Docket_x0020_Number">
      <xsd:simpleType>
        <xsd:restriction base="dms:Text">
          <xsd:maxLength value="255"/>
        </xsd:restriction>
      </xsd:simpleType>
    </xsd:element>
    <xsd:element name="Case_x0020_Type" ma:index="10" ma:displayName="Case Type" ma:default="Electricity" ma:description="Select the type of proceeding this document pertains to." ma:format="RadioButtons" ma:internalName="Case_x0020_Type">
      <xsd:simpleType>
        <xsd:restriction base="dms:Choice">
          <xsd:enumeration value="Electricity"/>
          <xsd:enumeration value="Gas"/>
          <xsd:enumeration value="Electric &amp; Gas"/>
        </xsd:restriction>
      </xsd:simpleType>
    </xsd:element>
    <xsd:element name="Document_x0020_Type" ma:index="11" ma:displayName="Document Type" ma:default="Correspondence" ma:description="Please choose the type of document being submitted." ma:format="Dropdown" ma:internalName="Document_x0020_Type" ma:readOnly="false">
      <xsd:simpleType>
        <xsd:restriction base="dms:Choice">
          <xsd:enumeration value="Affidavit"/>
          <xsd:enumeration value="Codes and Guidelines"/>
          <xsd:enumeration value="Comment Letter or Email"/>
          <xsd:enumeration value="Correspondence"/>
          <xsd:enumeration value="Cost Award Claim"/>
          <xsd:enumeration value="Cross-Examination Material"/>
          <xsd:enumeration value="Decision"/>
          <xsd:enumeration value="Decision and Order"/>
          <xsd:enumeration value="Exhibit List"/>
          <xsd:enumeration value="Final Argument"/>
          <xsd:enumeration value="Interrogatory Question"/>
          <xsd:enumeration value="Interrogatory Response"/>
          <xsd:enumeration value="Intervenor Evidence"/>
          <xsd:enumeration value="Intervention"/>
          <xsd:enumeration value="Issues List"/>
          <xsd:enumeration value="Invoice"/>
          <xsd:enumeration value="Letter of Direction"/>
          <xsd:enumeration value="Licence"/>
          <xsd:enumeration value="Miscellaneous Exhibit"/>
          <xsd:enumeration value="Motion"/>
          <xsd:enumeration value="Notice"/>
          <xsd:enumeration value="OEB Report"/>
          <xsd:enumeration value="Old Licence"/>
          <xsd:enumeration value="Order"/>
          <xsd:enumeration value="Prefiled evidence"/>
          <xsd:enumeration value="Procedural Order"/>
          <xsd:enumeration value="Regulation"/>
          <xsd:enumeration value="Settlement Agreement"/>
          <xsd:enumeration value="Statute"/>
          <xsd:enumeration value="Submission"/>
          <xsd:enumeration value="Transcript"/>
          <xsd:enumeration value="Undertaking"/>
          <xsd:enumeration value="Working Document"/>
        </xsd:restriction>
      </xsd:simpleType>
    </xsd:element>
    <xsd:element name="Issue_x0020_Date" ma:index="12" ma:displayName="Issue Date" ma:description="Date the document was issued." ma:format="DateOnly" ma:internalName="Issue_x0020_Date">
      <xsd:simpleType>
        <xsd:restriction base="dms:DateTime"/>
      </xsd:simpleType>
    </xsd:element>
    <xsd:element name="Jurisdiction" ma:index="13" ma:displayName="Jurisdiction" ma:default="OEB" ma:description="Jurisdiction the proceeding is happening in." ma:format="RadioButtons" ma:internalName="Jurisdiction">
      <xsd:simpleType>
        <xsd:restriction base="dms:Choice">
          <xsd:enumeration value="OEB"/>
          <xsd:enumeration value="Canada"/>
          <xsd:enumeration value="United States"/>
          <xsd:enumeration value="Other"/>
        </xsd:restriction>
      </xsd:simpleType>
    </xsd:element>
  </xsd:schema>
  <xsd:schema xmlns:xsd="http://www.w3.org/2001/XMLSchema" xmlns:xs="http://www.w3.org/2001/XMLSchema" xmlns:dms="http://schemas.microsoft.com/office/2006/documentManagement/types" xmlns:pc="http://schemas.microsoft.com/office/infopath/2007/PartnerControls" targetNamespace="ea909525-6dd5-47d7-9eed-71e77e5cedc6" elementFormDefault="qualified">
    <xsd:import namespace="http://schemas.microsoft.com/office/2006/documentManagement/types"/>
    <xsd:import namespace="http://schemas.microsoft.com/office/infopath/2007/PartnerControls"/>
    <xsd:element name="Authoring_x0020_Party" ma:index="14" nillable="true" ma:displayName="Authoring Party" ma:default="Hydro One Networks - HONI" ma:format="Dropdown" ma:internalName="Authoring_x0020_Party" ma:readOnly="false">
      <xsd:simpleType>
        <xsd:union memberTypes="dms:Text">
          <xsd:simpleType>
            <xsd:restriction base="dms:Choice">
              <xsd:enumeration value="Hydro One Networks - HONI"/>
              <xsd:enumeration value="Ontario Energy Board - OEB"/>
              <xsd:enumeration value="Algoma Power Inc. - API"/>
              <xsd:enumeration value="Association of Major Power Consumers in Ontario - AMPCO"/>
              <xsd:enumeration value="Association of Power Producers of Ontario - APPrO"/>
              <xsd:enumeration value="Atikokan Hydro Inc. - AHI"/>
              <xsd:enumeration value="Attawapiskat First Nation - AFN"/>
              <xsd:enumeration value="Attawapiskat Power Corporation - APC"/>
              <xsd:enumeration value="Bluewater Power Distribution Corporation - BPDC"/>
              <xsd:enumeration value="Brant County Power Inc. - BCP"/>
              <xsd:enumeration value="Brantford Power Inc. - BPI"/>
              <xsd:enumeration value="Building Owners and Managers Association - BOMA"/>
              <xsd:enumeration value="Burlington Hydro Inc. - BHI"/>
              <xsd:enumeration value="Cambridge and North Dumfries Hydro Inc. - CND Hydro"/>
              <xsd:enumeration value="Canadian Energy Efficiency Alliance - CEEA"/>
              <xsd:enumeration value="Canadian Manufacturers and Exporters - CME"/>
              <xsd:enumeration value="Canadian Niagara Power Inc. - CNP"/>
              <xsd:enumeration value="Centre Wellington Hydro Ltd. - CWHL"/>
              <xsd:enumeration value="Chapleau Public Utilities Corporation - CPUC"/>
              <xsd:enumeration value="Chatham-Kent Hydro Inc. - CKH"/>
              <xsd:enumeration value="Clinton Power Corporation - CPC"/>
              <xsd:enumeration value="Coalition of Large Distributors - CLD"/>
              <xsd:enumeration value="COLLUS Power Corporation - COLLUS"/>
              <xsd:enumeration value="Consumers Council of Canada - CCC"/>
              <xsd:enumeration value="Cooperative Hydro Embrun Inc. - CHE"/>
              <xsd:enumeration value="Cornwall Street Railway Light and Power Company Limited - CRLP"/>
              <xsd:enumeration value="Corporation of the City of Kitchener - CCK"/>
              <xsd:enumeration value="Dubreuil Forest Products Ltd. - DFP"/>
              <xsd:enumeration value="E.L.K. Energy Inc. - ELK Energy"/>
              <xsd:enumeration value="Electrical Contractors Association of Ontario - ECAO"/>
              <xsd:enumeration value="Electricity Distributors Association - EDA"/>
              <xsd:enumeration value="Enbridge Gas Distribution - EGDI"/>
              <xsd:enumeration value="Energy Cost Management Inc. - ECMI"/>
              <xsd:enumeration value="Energy Probe"/>
              <xsd:enumeration value="Enersource Hydro Mississauga Inc."/>
              <xsd:enumeration value="ENWIN Utilities Ltd."/>
              <xsd:enumeration value="Erie Thames Powerlines Corporation - ETPC"/>
              <xsd:enumeration value="Espanola Regional Hydro Distribution Corporation - ER Hydro"/>
              <xsd:enumeration value="Essex Powerlines Corporation - EPC"/>
              <xsd:enumeration value="Federation of Ontario Cottagers’ Association - FOCA"/>
              <xsd:enumeration value="Federation of Rental-housing Providers of Ontario - FRPO"/>
              <xsd:enumeration value="Festival Hydro Inc. - FHI"/>
              <xsd:enumeration value="Fort Albany First Nation - FAFN"/>
              <xsd:enumeration value="Fort Albany Power Corporation - FAPC"/>
              <xsd:enumeration value="Fort Frances Power Corporation - FFPC"/>
              <xsd:enumeration value="Great Lakes Power - GLP"/>
              <xsd:enumeration value="Greater Sudbury Hydro Inc. - GSHI"/>
              <xsd:enumeration value="Green Energy Coalition - GEC"/>
              <xsd:enumeration value="Grimsby Power Inc. - GPI"/>
              <xsd:enumeration value="Guelph Hydro Electric Systems Inc. - GHESI"/>
              <xsd:enumeration value="Haldimand County Hydro Inc. - HCHI"/>
              <xsd:enumeration value="Halton Hills Hydro Inc. - HHH"/>
              <xsd:enumeration value="Hearst Power Distribution Company Limited - HPDC"/>
              <xsd:enumeration value="Horizon Utilities Corporation - HUC"/>
              <xsd:enumeration value="Hydro 2000 Inc."/>
              <xsd:enumeration value="Hydro Hawkesbury Inc. - HHI"/>
              <xsd:enumeration value="Hydro One Brampton - HOB"/>
              <xsd:enumeration value="Hydro One Remote Communities Inc. - HORC"/>
              <xsd:enumeration value="Hydro Ottawa Limited - HOL"/>
              <xsd:enumeration value="Independent Electricity System Operator - IESO"/>
              <xsd:enumeration value="Industrial Gas Users Association – IGUA"/>
              <xsd:enumeration value="Innisfil Hydro Distribution Systems Limited - IHDS"/>
              <xsd:enumeration value="Kashechewan First Nation - KFN"/>
              <xsd:enumeration value="Kashechewan Power Corporation - KPC"/>
              <xsd:enumeration value="Kenora Hydro Electric Corporation Ltd. - KHEC"/>
              <xsd:enumeration value="Kingston Hydro Corporation - KHC"/>
              <xsd:enumeration value="Kitchener-Wilmot Hydro Inc. - KWHI"/>
              <xsd:enumeration value="Lakefront Utilities Inc. - LUI"/>
              <xsd:enumeration value="Lakeland Power Distribution Ltd. - LPD"/>
              <xsd:enumeration value="London Hydro Inc. - LHI"/>
              <xsd:enumeration value="London Property Management Association - LPMA"/>
              <xsd:enumeration value="Low Income Energy Network – LIEN"/>
              <xsd:enumeration value="Métis Nation of Ontario – MNO"/>
              <xsd:enumeration value="Middlesex Power Distribution Corporation - MPDC"/>
              <xsd:enumeration value="Midland Power Utility Corporation - MPUC"/>
              <xsd:enumeration value="Milton Hydro Distribution Inc. - MHDI"/>
              <xsd:enumeration value="Ministry of Energy - MOE"/>
              <xsd:enumeration value="National Chiefs Office - NCO"/>
              <xsd:enumeration value="National Energy Board - NEB"/>
              <xsd:enumeration value="Newmarket - Tay Power Distribution Ltd. - NTPD"/>
              <xsd:enumeration value="Niagara Peninsula Energy Inc. - NPEI"/>
              <xsd:enumeration value="Niagara-on-the-Lake Hydro Inc. - NOTL Hydro"/>
              <xsd:enumeration value="Norfolk Power Distribution Inc. - NPD"/>
              <xsd:enumeration value="North Bay Hydro Distribution Limited - NBHD"/>
              <xsd:enumeration value="Northern Ontario Wires Inc. - NOWI"/>
              <xsd:enumeration value="Oakville Hydro Electricity Distribution Inc. - OHED"/>
              <xsd:enumeration value="Ontario Power Authority - OPA"/>
              <xsd:enumeration value="Ontario Power Generation - OPG"/>
              <xsd:enumeration value="Ontario Sustainable Energy Association - OSEA"/>
              <xsd:enumeration value="Orangeville Hydro Limited - OHL"/>
              <xsd:enumeration value="Orillia Power Distribution Corporation - OPDC"/>
              <xsd:enumeration value="Oshawa PUC Networks Inc. - OPUCN"/>
              <xsd:enumeration value="Ottawa River Power Corporation - ORPC"/>
              <xsd:enumeration value="Parry Sound Power Corporation - PSPC"/>
              <xsd:enumeration value="Peterborough Distribution Incorporated - PDI"/>
              <xsd:enumeration value="Pollution Probe"/>
              <xsd:enumeration value="Port Colborne Hydro Inc. - PCHI"/>
              <xsd:enumeration value="Power Workers Union - PWU"/>
              <xsd:enumeration value="PowerStream Inc."/>
              <xsd:enumeration value="PUC Distribution Inc. - PUC"/>
              <xsd:enumeration value="Renfrew Hydro Inc. - RHI"/>
              <xsd:enumeration value="RES Canada Transmission LP"/>
              <xsd:enumeration value="Rideau St. Lawrence Distribution Inc. - RSLD"/>
              <xsd:enumeration value="School Energy Coalition - SEC"/>
              <xsd:enumeration value="Sioux Lookout Hydro Inc. - SLH"/>
              <xsd:enumeration value="Society of Energy Professionals - SEP"/>
              <xsd:enumeration value="St. Thomas Energy Inc. - STE"/>
              <xsd:enumeration value="Thunder Bay Hydro Electricity Distribution Inc. - TBHED"/>
              <xsd:enumeration value="Tillsonburg Hydro Inc. - THI"/>
              <xsd:enumeration value="Toronto Hydro Electric System Limited - THESL"/>
              <xsd:enumeration value="Union Gas Limited - UGL"/>
              <xsd:enumeration value="Veridian Connections Inc. - VCI"/>
              <xsd:enumeration value="Vulnerable Energy Consumers Coalition - VECC"/>
              <xsd:enumeration value="Wasaga Distribution Inc. - WDI"/>
              <xsd:enumeration value="Waterloo North Hydro Inc. - WNH"/>
              <xsd:enumeration value="Welland Hydro-Electric System Corp. - WHESC"/>
              <xsd:enumeration value="Wellington North Power Inc. - WNP"/>
              <xsd:enumeration value="West Coast Huron Energy Inc. - WCHE"/>
              <xsd:enumeration value="West Perth Power Inc. - WPP"/>
              <xsd:enumeration value="Westario Power Inc. - WPI"/>
              <xsd:enumeration value="Whitby Hydro Electric Corporation - WHEC"/>
              <xsd:enumeration value="Woodstock Hydro Services Inc. - WHS"/>
            </xsd:restriction>
          </xsd:simpleType>
        </xsd:union>
      </xsd:simpleType>
    </xsd:element>
    <xsd:element name="Filing_x0020_Status" ma:index="15" nillable="true" ma:displayName="Filing Status" ma:default="Draft" ma:description="Filed means that the document has been sent to the OEB." ma:format="RadioButtons" ma:internalName="Filing_x0020_Status">
      <xsd:simpleType>
        <xsd:restriction base="dms:Choice">
          <xsd:enumeration value="Draft"/>
          <xsd:enumeration value="Filed"/>
        </xsd:restriction>
      </xsd:simpleType>
    </xsd:element>
  </xsd:schema>
  <xsd:schema xmlns:xsd="http://www.w3.org/2001/XMLSchema" xmlns:xs="http://www.w3.org/2001/XMLSchema" xmlns:dms="http://schemas.microsoft.com/office/2006/documentManagement/types" xmlns:pc="http://schemas.microsoft.com/office/infopath/2007/PartnerControls" targetNamespace="f0af1d65-dfd0-4b99-b523-def3a954563f" elementFormDefault="qualified">
    <xsd:import namespace="http://schemas.microsoft.com/office/2006/documentManagement/types"/>
    <xsd:import namespace="http://schemas.microsoft.com/office/infopath/2007/PartnerControls"/>
    <xsd:element name="Hydro_x0020_One_x0020_Data_x0020_Classification" ma:index="16" ma:displayName="Hydro One Data Classification" ma:default="Internal Use (Only Internal information is not for release to the public)" ma:description="Use these options to classify the data you are uploading onto the site. Any questions please contact BIT security team" ma:format="RadioButtons" ma:internalName="Hydro_x0020_One_x0020_Data_x0020_Classification">
      <xsd:simpleType>
        <xsd:restriction base="dms:Choice">
          <xsd:enumeration value="Internal Use (Only Internal information is not for release to the public)"/>
        </xsd:restriction>
      </xsd:simpleType>
    </xsd:element>
  </xsd:schema>
  <xsd:schema xmlns:xsd="http://www.w3.org/2001/XMLSchema" xmlns:xs="http://www.w3.org/2001/XMLSchema" xmlns:dms="http://schemas.microsoft.com/office/2006/documentManagement/types" xmlns:pc="http://schemas.microsoft.com/office/infopath/2007/PartnerControls" targetNamespace="31a38067-a042-4e0e-9037-517587b10700" elementFormDefault="qualified">
    <xsd:import namespace="http://schemas.microsoft.com/office/2006/documentManagement/types"/>
    <xsd:import namespace="http://schemas.microsoft.com/office/infopath/2007/PartnerControls"/>
    <xsd:element name="RA_x0020_Contact" ma:index="17" nillable="true" ma:displayName="RA Contact" ma:default="182932 - AC" ma:format="Dropdown" ma:internalName="RA_x0020_Contact" ma:readOnly="false">
      <xsd:simpleType>
        <xsd:union memberTypes="dms:Text">
          <xsd:simpleType>
            <xsd:restriction base="dms:Choice">
              <xsd:enumeration value="182932 - AC"/>
              <xsd:enumeration value="176200 - AS"/>
              <xsd:enumeration value="584633 - OH"/>
              <xsd:enumeration value="183940 - IM"/>
              <xsd:enumeration value="509460 - SF"/>
              <xsd:enumeration value="178011 - AMR"/>
            </xsd:restriction>
          </xsd:simpleType>
        </xsd:un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82E3AFA-6C28-42AD-9907-F3199CB1E7EC}">
  <ds:schemaRefs>
    <ds:schemaRef ds:uri="http://www.w3.org/XML/1998/namespace"/>
    <ds:schemaRef ds:uri="http://purl.org/dc/terms/"/>
    <ds:schemaRef ds:uri="http://purl.org/dc/dcmitype/"/>
    <ds:schemaRef ds:uri="http://schemas.microsoft.com/office/2006/documentManagement/types"/>
    <ds:schemaRef ds:uri="http://purl.org/dc/elements/1.1/"/>
    <ds:schemaRef ds:uri="http://schemas.microsoft.com/office/infopath/2007/PartnerControls"/>
    <ds:schemaRef ds:uri="f9175001-c430-4d57-adde-c1c10539e919"/>
    <ds:schemaRef ds:uri="http://schemas.openxmlformats.org/package/2006/metadata/core-properties"/>
    <ds:schemaRef ds:uri="31a38067-a042-4e0e-9037-517587b10700"/>
    <ds:schemaRef ds:uri="f0af1d65-dfd0-4b99-b523-def3a954563f"/>
    <ds:schemaRef ds:uri="ea909525-6dd5-47d7-9eed-71e77e5cedc6"/>
    <ds:schemaRef ds:uri="http://schemas.microsoft.com/office/2006/metadata/properties"/>
  </ds:schemaRefs>
</ds:datastoreItem>
</file>

<file path=customXml/itemProps2.xml><?xml version="1.0" encoding="utf-8"?>
<ds:datastoreItem xmlns:ds="http://schemas.openxmlformats.org/officeDocument/2006/customXml" ds:itemID="{9B9454B9-9C84-4FE8-83EC-A017C381AC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175001-c430-4d57-adde-c1c10539e919"/>
    <ds:schemaRef ds:uri="ea909525-6dd5-47d7-9eed-71e77e5cedc6"/>
    <ds:schemaRef ds:uri="f0af1d65-dfd0-4b99-b523-def3a954563f"/>
    <ds:schemaRef ds:uri="31a38067-a042-4e0e-9037-517587b1070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CFC2647-64A9-493B-A9EB-C4C5ED92FFC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Tables</vt:lpstr>
      <vt:lpstr>APPENDIX B</vt:lpstr>
      <vt:lpstr>App.2-PA_Res_Rate_Design_16</vt:lpstr>
      <vt:lpstr>App.2-PA_Res_Rate_Design_17</vt:lpstr>
      <vt:lpstr>App.2-PA_Res_Rate_Design_18</vt:lpstr>
      <vt:lpstr>App.2-PA_Res_Rate_Design_19</vt:lpstr>
      <vt:lpstr>App.2PA_Res_Rate_Design_20</vt:lpstr>
      <vt:lpstr>2016 Bill Impact</vt:lpstr>
      <vt:lpstr>2017 Bill Impact</vt:lpstr>
      <vt:lpstr>2018 Bill Impact</vt:lpstr>
      <vt:lpstr>2019 Bill Impact</vt:lpstr>
      <vt:lpstr>2020 Bill Impact</vt:lpstr>
      <vt:lpstr>Sheet1</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Attachment3_WHSI_2016_Filing_Requirements_Appendix 2PA 5 Years_20151019</dc:title>
  <dc:creator>Patricia Eitel</dc:creator>
  <cp:lastModifiedBy>DENNENY Kelly</cp:lastModifiedBy>
  <cp:lastPrinted>2016-10-18T19:46:35Z</cp:lastPrinted>
  <dcterms:created xsi:type="dcterms:W3CDTF">2015-09-17T18:17:06Z</dcterms:created>
  <dcterms:modified xsi:type="dcterms:W3CDTF">2016-10-18T19:46:44Z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0x01010061EC7F66509FFD4DA0B1B261A86BE7730043B56CC244F57B469E4DF355E1317793</vt:lpwstr>
  </property>
  <property fmtid="{D5CDD505-2E9C-101B-9397-08002B2CF9AE}" pid="3" name="Order">
    <vt:r8>143200</vt:r8>
  </property>
</Properties>
</file>