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P:\COS 2017\0000-Benchmarking\"/>
    </mc:Choice>
  </mc:AlternateContent>
  <bookViews>
    <workbookView xWindow="0" yWindow="0" windowWidth="28800" windowHeight="1191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4" l="1"/>
  <c r="H35" i="4"/>
  <c r="G121" i="4"/>
  <c r="R15" i="4"/>
  <c r="Q15" i="4"/>
  <c r="P15" i="4"/>
  <c r="G22" i="4" l="1"/>
  <c r="H27" i="4" l="1"/>
  <c r="I27" i="4" l="1"/>
  <c r="J27" i="4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1" i="4"/>
  <c r="H21" i="4" s="1"/>
  <c r="I21" i="4" s="1"/>
  <c r="G20" i="4"/>
  <c r="H20" i="4" s="1"/>
  <c r="I20" i="4" s="1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31" i="4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H121" i="1" l="1"/>
  <c r="H256" i="1" s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G10" i="5" l="1"/>
  <c r="K31" i="4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<sst xmlns="http://schemas.openxmlformats.org/spreadsheetml/2006/main" count="528" uniqueCount="286">
  <si>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</si>
  <si>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</si>
  <si>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</si>
  <si>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</si>
  <si>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</si>
  <si>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</si>
  <si>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</si>
  <si>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</si>
  <si>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</si>
  <si>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</si>
  <si>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</si>
  <si>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</si>
  <si>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</si>
  <si>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</si>
  <si>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</si>
  <si>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</si>
  <si>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</si>
  <si>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</si>
  <si>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</si>
  <si>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</si>
  <si>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</si>
  <si>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</si>
  <si>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</si>
  <si>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</si>
  <si>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</si>
  <si>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</si>
  <si>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</si>
  <si>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</si>
  <si>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</si>
  <si>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</si>
  <si>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</si>
  <si>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</si>
  <si>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</si>
  <si>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</si>
  <si>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</si>
  <si>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</si>
  <si>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</si>
  <si>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</si>
  <si>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</si>
  <si>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</si>
  <si>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</si>
  <si>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</si>
  <si>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</si>
  <si>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</si>
  <si>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</si>
  <si>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</si>
  <si>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</si>
  <si>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</si>
  <si>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</si>
  <si>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</si>
  <si>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</si>
  <si>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</si>
  <si>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</si>
  <si>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</si>
  <si>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</si>
  <si>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</si>
  <si>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</si>
  <si>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</si>
  <si>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</si>
  <si>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</si>
  <si>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</si>
  <si>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</si>
  <si>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</si>
  <si>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</si>
  <si>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</si>
  <si>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</si>
  <si>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</si>
  <si>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</si>
  <si>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</si>
  <si>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</si>
  <si>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</si>
  <si>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</si>
  <si>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</si>
  <si>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</si>
  <si>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</si>
  <si>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</si>
  <si>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</si>
  <si>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</si>
  <si>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</si>
  <si>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</si>
  <si>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</si>
  <si>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</si>
  <si>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</si>
  <si>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</si>
  <si>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</si>
  <si>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</si>
  <si>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</si>
  <si>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</si>
  <si>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</si>
  <si>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</si>
  <si>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</si>
  <si>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</si>
  <si>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</si>
  <si>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</si>
  <si>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</si>
  <si>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</si>
  <si>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</si>
  <si>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</si>
  <si>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</si>
  <si>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</si>
  <si>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</si>
  <si>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</si>
  <si>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</si>
  <si>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</si>
  <si>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</si>
  <si>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</si>
  <si>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</si>
  <si>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</si>
  <si>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</si>
  <si>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</si>
  <si>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</si>
  <si>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</si>
  <si>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</si>
  <si>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</si>
  <si>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</si>
  <si>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</si>
  <si>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</si>
  <si>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</si>
  <si>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</si>
  <si>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</si>
  <si>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</si>
  <si>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</si>
  <si>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</si>
  <si>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</si>
  <si>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</si>
  <si>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</si>
  <si>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</si>
  <si>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</si>
  <si>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</si>
  <si>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</si>
  <si>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</si>
  <si>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</si>
  <si>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</si>
  <si>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</si>
  <si>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</si>
  <si>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</si>
  <si>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</si>
  <si>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</si>
  <si>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</si>
  <si>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</si>
  <si>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</si>
  <si>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</si>
  <si>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</si>
  <si>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</si>
  <si>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</si>
  <si>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</si>
  <si>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</si>
  <si>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</si>
  <si>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</si>
  <si>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</si>
  <si>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</si>
  <si>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</si>
  <si>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</si>
  <si>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</si>
  <si>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</si>
  <si>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</si>
  <si>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</si>
  <si>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</si>
  <si>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</si>
  <si>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</si>
  <si>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</si>
  <si>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</si>
  <si>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</si>
  <si>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</si>
  <si>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</si>
  <si>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</si>
  <si>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</si>
  <si>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</si>
  <si>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</si>
  <si>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</si>
  <si>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</si>
  <si>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</si>
  <si>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</si>
  <si>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</si>
  <si>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</si>
  <si>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</si>
  <si>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</si>
  <si>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</si>
  <si>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</si>
  <si>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</si>
  <si>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</si>
  <si>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</si>
  <si>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</si>
  <si>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</si>
  <si>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</si>
  <si>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</si>
  <si>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</si>
  <si>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</si>
  <si>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</si>
  <si>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</si>
  <si>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</si>
  <si>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</si>
  <si>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</si>
  <si>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</si>
  <si>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</si>
  <si>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</si>
  <si>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</si>
  <si>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</si>
  <si>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</si>
  <si>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</si>
  <si>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</si>
  <si>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</si>
  <si>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</si>
  <si>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</si>
  <si>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</si>
  <si>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</si>
  <si>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</si>
  <si>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</si>
  <si>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</si>
  <si>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</si>
  <si>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</si>
  <si>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</si>
  <si>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</si>
  <si>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</si>
  <si>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</si>
  <si>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</si>
  <si>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</si>
  <si>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</si>
  <si>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</si>
  <si>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</si>
  <si>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</si>
  <si>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</si>
  <si>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</si>
  <si>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</si>
  <si>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</si>
  <si>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</si>
  <si>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</si>
  <si>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</si>
  <si>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</si>
  <si>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</si>
  <si>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</si>
  <si>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</si>
  <si>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</si>
  <si>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</si>
  <si>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</si>
  <si>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</si>
  <si>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</si>
  <si>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</si>
  <si>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</si>
  <si>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</si>
  <si>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</si>
  <si>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</si>
  <si>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</si>
  <si>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</si>
  <si>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</si>
  <si>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</si>
  <si>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</si>
  <si>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</si>
  <si>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</si>
  <si>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</si>
  <si>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</si>
  <si>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</si>
  <si>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</si>
  <si>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</si>
  <si>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</si>
  <si>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</si>
  <si>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</si>
  <si>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</si>
  <si>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</si>
  <si>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</si>
  <si>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</si>
  <si>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</si>
  <si>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</si>
  <si>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</si>
  <si>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</si>
  <si>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</si>
  <si>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</si>
  <si>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</si>
  <si>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</si>
  <si>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</si>
  <si>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</si>
  <si>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</si>
  <si>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</si>
  <si>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</si>
  <si>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</si>
  <si>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</si>
  <si>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</si>
  <si>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</si>
  <si>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Gross Additions from F/A model</t>
  </si>
  <si>
    <t>From Exhibit 3</t>
  </si>
  <si>
    <t>From Load Forecast - CDM Adjusted</t>
  </si>
  <si>
    <t>Ratio used/Delivery Volume</t>
  </si>
  <si>
    <t>Used Same</t>
  </si>
  <si>
    <t>Calculated using OEB Yearbook</t>
  </si>
  <si>
    <t>2016 - used same as 2015, 2017 used CoS Ex 5</t>
  </si>
  <si>
    <t>Total line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</si>
</sst>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_-* #,##0.000000000_-;\-* #,##0.000000000_-;_-* &quot;-&quot;??_-;_-@_-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7" fontId="0" fillId="6" borderId="6" xfId="1" applyNumberFormat="1" applyFont="1" applyFill="1" applyBorder="1"/>
    <xf numFmtId="10" fontId="0" fillId="6" borderId="6" xfId="2" applyNumberFormat="1" applyFont="1" applyFill="1" applyBorder="1"/>
    <xf numFmtId="175" fontId="0" fillId="0" borderId="0" xfId="0" applyNumberForma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124"/>
  <sheetViews>
    <sheetView tabSelected="1" topLeftCell="B1" zoomScaleNormal="100" workbookViewId="0">
      <selection activeCell="J25" sqref="J2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  <col min="16" max="18" width="12.5703125" bestFit="1" customWidth="1"/>
  </cols>
  <sheetData>
    <row r="2" spans="2:18" ht="23.25" x14ac:dyDescent="0.35">
      <c r="C2" s="225" t="s">
        <v>191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2:18" ht="19.5" customHeight="1" x14ac:dyDescent="0.25">
      <c r="C3" s="226" t="str">
        <f>IF(F5="Click to Choose an LDC","",F5)</f>
        <v>Renfrew Hydro Inc.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2:18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8" ht="25.5" customHeight="1" thickBot="1" x14ac:dyDescent="0.25">
      <c r="B5" s="145" t="s">
        <v>189</v>
      </c>
      <c r="E5" s="78"/>
      <c r="F5" s="146" t="s">
        <v>259</v>
      </c>
      <c r="G5" s="14" t="s">
        <v>175</v>
      </c>
      <c r="H5" s="14" t="s">
        <v>176</v>
      </c>
      <c r="I5" s="14" t="s">
        <v>174</v>
      </c>
      <c r="J5" s="227" t="s">
        <v>177</v>
      </c>
      <c r="K5" s="227"/>
      <c r="L5" s="227"/>
      <c r="M5" s="227"/>
      <c r="N5" s="78"/>
      <c r="O5" s="94"/>
    </row>
    <row r="6" spans="2:18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8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8" x14ac:dyDescent="0.2">
      <c r="C8" s="76" t="s">
        <v>85</v>
      </c>
      <c r="D8" s="76"/>
      <c r="E8" s="14"/>
      <c r="F8" s="26"/>
      <c r="H8" s="228"/>
      <c r="I8" s="228"/>
      <c r="J8" s="228"/>
      <c r="K8" s="228"/>
      <c r="L8" s="228"/>
      <c r="M8" s="228"/>
      <c r="N8" s="78"/>
    </row>
    <row r="9" spans="2:18" x14ac:dyDescent="0.2">
      <c r="B9" s="2">
        <v>1</v>
      </c>
      <c r="C9" s="77"/>
      <c r="D9" s="78" t="s">
        <v>86</v>
      </c>
      <c r="F9" s="26"/>
      <c r="G9" s="86">
        <f>'Benchmarking Calculations'!G92</f>
        <v>510990.37</v>
      </c>
      <c r="H9" s="125">
        <v>567500</v>
      </c>
      <c r="I9" s="125">
        <v>760500</v>
      </c>
      <c r="J9" s="125"/>
      <c r="K9" s="125"/>
      <c r="L9" s="125"/>
      <c r="M9" s="125"/>
      <c r="N9" s="78" t="s">
        <v>172</v>
      </c>
      <c r="O9" s="88" t="s">
        <v>278</v>
      </c>
    </row>
    <row r="10" spans="2:18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8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8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8" x14ac:dyDescent="0.2">
      <c r="B13" s="2">
        <v>3</v>
      </c>
      <c r="C13" s="77"/>
      <c r="D13" s="37" t="s">
        <v>89</v>
      </c>
      <c r="F13" s="26"/>
      <c r="G13" s="86">
        <f>'Benchmarking Calculations'!G96</f>
        <v>4270</v>
      </c>
      <c r="H13" s="125">
        <v>4290</v>
      </c>
      <c r="I13" s="125">
        <v>4310</v>
      </c>
      <c r="J13" s="125"/>
      <c r="K13" s="125"/>
      <c r="L13" s="125"/>
      <c r="M13" s="125"/>
      <c r="N13" s="78" t="s">
        <v>172</v>
      </c>
      <c r="O13" s="88" t="s">
        <v>279</v>
      </c>
    </row>
    <row r="14" spans="2:18" x14ac:dyDescent="0.2">
      <c r="B14" s="2">
        <v>4</v>
      </c>
      <c r="C14" s="77"/>
      <c r="D14" s="37" t="s">
        <v>90</v>
      </c>
      <c r="F14" s="26"/>
      <c r="G14" s="86">
        <f>'Benchmarking Calculations'!G97</f>
        <v>85528039</v>
      </c>
      <c r="H14" s="125">
        <v>87305147</v>
      </c>
      <c r="I14" s="125">
        <v>85344276</v>
      </c>
      <c r="J14" s="125"/>
      <c r="K14" s="125"/>
      <c r="L14" s="125"/>
      <c r="M14" s="125"/>
      <c r="N14" s="78" t="s">
        <v>172</v>
      </c>
      <c r="O14" s="88" t="s">
        <v>280</v>
      </c>
    </row>
    <row r="15" spans="2:18" x14ac:dyDescent="0.2">
      <c r="B15" s="2">
        <v>5</v>
      </c>
      <c r="C15" s="26"/>
      <c r="D15" s="37" t="s">
        <v>91</v>
      </c>
      <c r="F15" s="26"/>
      <c r="G15" s="86">
        <f>'Benchmarking Calculations'!G98</f>
        <v>16080</v>
      </c>
      <c r="H15" s="221">
        <v>16414</v>
      </c>
      <c r="I15" s="221">
        <v>16045</v>
      </c>
      <c r="J15" s="125"/>
      <c r="K15" s="125"/>
      <c r="L15" s="125"/>
      <c r="M15" s="125"/>
      <c r="N15" s="78" t="s">
        <v>172</v>
      </c>
      <c r="O15" s="88" t="s">
        <v>281</v>
      </c>
      <c r="P15" s="223">
        <f>+G15/G14</f>
        <v>1.8800851963880524E-4</v>
      </c>
      <c r="Q15" s="223">
        <f t="shared" ref="Q15:R15" si="0">+H15/H14</f>
        <v>1.8800724314684447E-4</v>
      </c>
      <c r="R15" s="223">
        <f t="shared" si="0"/>
        <v>1.8800323527262683E-4</v>
      </c>
    </row>
    <row r="16" spans="2:18" x14ac:dyDescent="0.2">
      <c r="B16" s="2">
        <v>6</v>
      </c>
      <c r="C16" s="26"/>
      <c r="D16" s="78" t="s">
        <v>192</v>
      </c>
      <c r="F16" s="26"/>
      <c r="G16" s="86">
        <f>'Benchmarking Calculations'!G99</f>
        <v>79</v>
      </c>
      <c r="H16" s="221">
        <v>79</v>
      </c>
      <c r="I16" s="221">
        <v>79</v>
      </c>
      <c r="J16" s="125"/>
      <c r="K16" s="125"/>
      <c r="L16" s="125"/>
      <c r="M16" s="125"/>
      <c r="N16" s="78" t="s">
        <v>172</v>
      </c>
      <c r="O16" s="88" t="s">
        <v>282</v>
      </c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3.7414965986394558E-2</v>
      </c>
      <c r="H17" s="222">
        <v>3.7900000000000003E-2</v>
      </c>
      <c r="I17" s="222">
        <v>3.8800000000000001E-2</v>
      </c>
      <c r="J17" s="119"/>
      <c r="K17" s="119"/>
      <c r="L17" s="119"/>
      <c r="M17" s="119"/>
      <c r="N17" s="78" t="s">
        <v>172</v>
      </c>
      <c r="O17" s="88" t="s">
        <v>283</v>
      </c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8"/>
      <c r="I19" s="228"/>
      <c r="J19" s="228"/>
      <c r="K19" s="228"/>
      <c r="L19" s="228"/>
      <c r="M19" s="228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6.5100000000000005E-2</v>
      </c>
      <c r="I22" s="124">
        <v>6.2799999999999995E-2</v>
      </c>
      <c r="J22" s="124"/>
      <c r="K22" s="124"/>
      <c r="L22" s="124"/>
      <c r="M22" s="124"/>
      <c r="N22" s="78" t="s">
        <v>172</v>
      </c>
      <c r="O22" s="92" t="s">
        <v>284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198</v>
      </c>
      <c r="G27" s="51">
        <f>G35-G36+G37</f>
        <v>1313914.1299999999</v>
      </c>
      <c r="H27" s="51">
        <f>H35-H36+H37</f>
        <v>1410054</v>
      </c>
      <c r="I27" s="51">
        <f t="shared" ref="I27:M27" si="1">I35-I36+I37</f>
        <v>1530740</v>
      </c>
      <c r="J27" s="51">
        <f t="shared" si="1"/>
        <v>0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202</v>
      </c>
      <c r="G29" s="51">
        <f t="shared" ref="G29:M29" si="2">G115-G121+G122</f>
        <v>1313914.1299999999</v>
      </c>
      <c r="H29" s="51">
        <f t="shared" si="2"/>
        <v>1410054</v>
      </c>
      <c r="I29" s="51">
        <f t="shared" si="2"/>
        <v>1530740</v>
      </c>
      <c r="J29" s="51">
        <f t="shared" si="2"/>
        <v>0</v>
      </c>
      <c r="K29" s="51">
        <f t="shared" si="2"/>
        <v>0</v>
      </c>
      <c r="L29" s="51">
        <f t="shared" si="2"/>
        <v>0</v>
      </c>
      <c r="M29" s="51">
        <f t="shared" si="2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3">IF($E$27="Y",G27,IF($E$29="Y",G29,"Error: Please enter Y for one method"))</f>
        <v>1313914.1299999999</v>
      </c>
      <c r="H31" s="51">
        <f>IF($E$27="Y",H27,IF($E$29="Y",H29,"Error: Please enter Y for one method"))</f>
        <v>1410054</v>
      </c>
      <c r="I31" s="51">
        <f t="shared" si="3"/>
        <v>1530740</v>
      </c>
      <c r="J31" s="51">
        <f t="shared" si="3"/>
        <v>0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5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5" x14ac:dyDescent="0.2">
      <c r="C34" s="154"/>
      <c r="D34" s="79" t="s">
        <v>179</v>
      </c>
      <c r="E34" s="26"/>
      <c r="F34" s="26"/>
      <c r="G34" s="86"/>
      <c r="H34" s="224" t="s">
        <v>183</v>
      </c>
      <c r="I34" s="224"/>
      <c r="J34" s="224"/>
      <c r="K34" s="224"/>
      <c r="L34" s="224"/>
      <c r="M34" s="224"/>
      <c r="N34" s="155"/>
    </row>
    <row r="35" spans="2:15" x14ac:dyDescent="0.2">
      <c r="C35" s="154"/>
      <c r="D35" s="171" t="s">
        <v>195</v>
      </c>
      <c r="E35" s="26" t="s">
        <v>203</v>
      </c>
      <c r="F35" s="26"/>
      <c r="G35" s="85">
        <f>G115</f>
        <v>1290781.9099999999</v>
      </c>
      <c r="H35" s="125">
        <f>H115</f>
        <v>1386922</v>
      </c>
      <c r="I35" s="125">
        <f>I115</f>
        <v>1507608</v>
      </c>
      <c r="J35" s="120"/>
      <c r="K35" s="120"/>
      <c r="L35" s="120"/>
      <c r="M35" s="120"/>
      <c r="N35" s="155" t="s">
        <v>172</v>
      </c>
      <c r="O35" s="92" t="s">
        <v>285</v>
      </c>
    </row>
    <row r="36" spans="2:15" x14ac:dyDescent="0.2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5" x14ac:dyDescent="0.2">
      <c r="C37" s="154"/>
      <c r="D37" s="172" t="s">
        <v>197</v>
      </c>
      <c r="E37" s="26" t="s">
        <v>83</v>
      </c>
      <c r="F37" s="26"/>
      <c r="G37" s="51">
        <f>G122</f>
        <v>23132.219999999987</v>
      </c>
      <c r="H37" s="221">
        <v>23132</v>
      </c>
      <c r="I37" s="221">
        <v>23132</v>
      </c>
      <c r="J37" s="120"/>
      <c r="K37" s="120"/>
      <c r="L37" s="120"/>
      <c r="M37" s="120"/>
      <c r="N37" s="155" t="s">
        <v>172</v>
      </c>
    </row>
    <row r="38" spans="2:15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5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5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5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5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5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5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/>
      <c r="I44" s="142"/>
      <c r="J44" s="143"/>
      <c r="K44" s="143"/>
      <c r="L44" s="143"/>
      <c r="M44" s="143"/>
      <c r="N44" s="155" t="s">
        <v>172</v>
      </c>
    </row>
    <row r="45" spans="2:15" x14ac:dyDescent="0.2">
      <c r="C45" s="159"/>
      <c r="D45" s="26"/>
      <c r="E45" s="78">
        <v>5010</v>
      </c>
      <c r="F45" s="151" t="s">
        <v>9</v>
      </c>
      <c r="G45" s="58">
        <f>'Benchmarking Calculations'!G11</f>
        <v>0</v>
      </c>
      <c r="H45" s="142"/>
      <c r="I45" s="142"/>
      <c r="J45" s="143"/>
      <c r="K45" s="143"/>
      <c r="L45" s="143"/>
      <c r="M45" s="143"/>
      <c r="N45" s="155" t="s">
        <v>172</v>
      </c>
    </row>
    <row r="46" spans="2:15" x14ac:dyDescent="0.2">
      <c r="C46" s="159"/>
      <c r="D46" s="26"/>
      <c r="E46" s="78">
        <v>5012</v>
      </c>
      <c r="F46" s="151" t="s">
        <v>10</v>
      </c>
      <c r="G46" s="58">
        <f>'Benchmarking Calculations'!G12</f>
        <v>0</v>
      </c>
      <c r="H46" s="142"/>
      <c r="I46" s="142"/>
      <c r="J46" s="143"/>
      <c r="K46" s="143"/>
      <c r="L46" s="143"/>
      <c r="M46" s="143"/>
      <c r="N46" s="155" t="s">
        <v>172</v>
      </c>
    </row>
    <row r="47" spans="2:15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/>
      <c r="I47" s="142"/>
      <c r="J47" s="143"/>
      <c r="K47" s="143"/>
      <c r="L47" s="143"/>
      <c r="M47" s="143"/>
      <c r="N47" s="155" t="s">
        <v>172</v>
      </c>
    </row>
    <row r="48" spans="2:15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1802.98</v>
      </c>
      <c r="H49" s="142">
        <v>10300</v>
      </c>
      <c r="I49" s="142">
        <v>4572</v>
      </c>
      <c r="J49" s="143"/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31510.93</v>
      </c>
      <c r="H50" s="142">
        <v>31546</v>
      </c>
      <c r="I50" s="142">
        <v>32187</v>
      </c>
      <c r="J50" s="143"/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19150.39</v>
      </c>
      <c r="H51" s="142">
        <v>20667</v>
      </c>
      <c r="I51" s="142">
        <v>21167</v>
      </c>
      <c r="J51" s="143"/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32308.74</v>
      </c>
      <c r="H52" s="142">
        <v>25570</v>
      </c>
      <c r="I52" s="142">
        <v>40785</v>
      </c>
      <c r="J52" s="143"/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40399.980000000003</v>
      </c>
      <c r="H53" s="142">
        <v>12360</v>
      </c>
      <c r="I53" s="142">
        <v>10740</v>
      </c>
      <c r="J53" s="143"/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344.87</v>
      </c>
      <c r="H54" s="142">
        <v>372</v>
      </c>
      <c r="I54" s="142">
        <v>384</v>
      </c>
      <c r="J54" s="143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57</v>
      </c>
      <c r="H55" s="142">
        <v>120</v>
      </c>
      <c r="I55" s="142">
        <v>132</v>
      </c>
      <c r="J55" s="143"/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0</v>
      </c>
      <c r="H56" s="142">
        <v>0</v>
      </c>
      <c r="I56" s="142">
        <v>0</v>
      </c>
      <c r="J56" s="143"/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26358.09</v>
      </c>
      <c r="H57" s="142">
        <v>17500</v>
      </c>
      <c r="I57" s="142">
        <v>19858</v>
      </c>
      <c r="J57" s="143"/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23167.85</v>
      </c>
      <c r="H58" s="142">
        <v>24994</v>
      </c>
      <c r="I58" s="142">
        <v>25599</v>
      </c>
      <c r="J58" s="143"/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4401.3500000000004</v>
      </c>
      <c r="H59" s="142">
        <v>4405</v>
      </c>
      <c r="I59" s="142">
        <v>4497</v>
      </c>
      <c r="J59" s="143"/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96641.17</v>
      </c>
      <c r="H60" s="142">
        <v>91352</v>
      </c>
      <c r="I60" s="142">
        <v>93436</v>
      </c>
      <c r="J60" s="143"/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v>0</v>
      </c>
      <c r="I61" s="142">
        <v>0</v>
      </c>
      <c r="J61" s="143"/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9187.85</v>
      </c>
      <c r="H62" s="142">
        <v>9192</v>
      </c>
      <c r="I62" s="142">
        <v>9377</v>
      </c>
      <c r="J62" s="143"/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26096.799999999999</v>
      </c>
      <c r="H63" s="142">
        <v>34164</v>
      </c>
      <c r="I63" s="142">
        <v>34212</v>
      </c>
      <c r="J63" s="143"/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311428</v>
      </c>
      <c r="H64" s="81">
        <f>SUM(H44:H63)</f>
        <v>282542</v>
      </c>
      <c r="I64" s="81">
        <f t="shared" ref="I64:M64" si="4">SUM(I44:I63)</f>
        <v>296946</v>
      </c>
      <c r="J64" s="81">
        <f t="shared" si="4"/>
        <v>0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0</v>
      </c>
      <c r="H65" s="142"/>
      <c r="I65" s="142"/>
      <c r="J65" s="143"/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1846.53</v>
      </c>
      <c r="H66" s="142">
        <v>1920</v>
      </c>
      <c r="I66" s="142">
        <v>1980</v>
      </c>
      <c r="J66" s="143"/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3"/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565.99</v>
      </c>
      <c r="H68" s="142">
        <v>1800</v>
      </c>
      <c r="I68" s="142">
        <v>1848</v>
      </c>
      <c r="J68" s="143"/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10927.77</v>
      </c>
      <c r="H69" s="142">
        <v>11627</v>
      </c>
      <c r="I69" s="142">
        <v>11904</v>
      </c>
      <c r="J69" s="143"/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9327.84</v>
      </c>
      <c r="H70" s="142">
        <v>10078</v>
      </c>
      <c r="I70" s="142">
        <v>10320</v>
      </c>
      <c r="J70" s="143"/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17875.62</v>
      </c>
      <c r="H71" s="142">
        <v>19056</v>
      </c>
      <c r="I71" s="142">
        <v>19505</v>
      </c>
      <c r="J71" s="143"/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106991.16</v>
      </c>
      <c r="H72" s="142">
        <v>104699</v>
      </c>
      <c r="I72" s="142">
        <v>109556</v>
      </c>
      <c r="J72" s="143"/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4259.4799999999996</v>
      </c>
      <c r="H73" s="142">
        <v>4471</v>
      </c>
      <c r="I73" s="142">
        <v>4567</v>
      </c>
      <c r="J73" s="143"/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821.05</v>
      </c>
      <c r="H74" s="142">
        <v>864</v>
      </c>
      <c r="I74" s="142">
        <v>883</v>
      </c>
      <c r="J74" s="143"/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4115.3599999999997</v>
      </c>
      <c r="H75" s="142">
        <v>4263</v>
      </c>
      <c r="I75" s="142">
        <v>4355</v>
      </c>
      <c r="J75" s="143"/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10680.47</v>
      </c>
      <c r="H76" s="142">
        <v>27235</v>
      </c>
      <c r="I76" s="142">
        <v>27825</v>
      </c>
      <c r="J76" s="143"/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3698.21</v>
      </c>
      <c r="H77" s="142">
        <v>3921</v>
      </c>
      <c r="I77" s="142">
        <v>4016</v>
      </c>
      <c r="J77" s="143"/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171109.47999999998</v>
      </c>
      <c r="H78" s="81">
        <f>SUM(H65:H77)</f>
        <v>189934</v>
      </c>
      <c r="I78" s="81">
        <f t="shared" ref="I78:M78" si="5">SUM(I65:I77)</f>
        <v>196759</v>
      </c>
      <c r="J78" s="81">
        <f t="shared" si="5"/>
        <v>0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0</v>
      </c>
      <c r="H79" s="142"/>
      <c r="I79" s="142"/>
      <c r="J79" s="143"/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27950.240000000002</v>
      </c>
      <c r="H80" s="142">
        <v>28800</v>
      </c>
      <c r="I80" s="142">
        <v>29640</v>
      </c>
      <c r="J80" s="143"/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277980.48</v>
      </c>
      <c r="H81" s="142">
        <v>286044</v>
      </c>
      <c r="I81" s="142">
        <v>314324</v>
      </c>
      <c r="J81" s="143"/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81538.06</v>
      </c>
      <c r="H82" s="142">
        <v>85511</v>
      </c>
      <c r="I82" s="142">
        <v>90024</v>
      </c>
      <c r="J82" s="143"/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100.13</v>
      </c>
      <c r="H83" s="142">
        <v>0</v>
      </c>
      <c r="I83" s="142"/>
      <c r="J83" s="143"/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/>
      <c r="I84" s="142"/>
      <c r="J84" s="143"/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/>
      <c r="I85" s="142"/>
      <c r="J85" s="143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387568.91</v>
      </c>
      <c r="H86" s="81">
        <f>SUM(H79:H85)</f>
        <v>400355</v>
      </c>
      <c r="I86" s="81">
        <f t="shared" ref="I86:M86" si="6">SUM(I79:I85)</f>
        <v>433988</v>
      </c>
      <c r="J86" s="81">
        <f t="shared" si="6"/>
        <v>0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1688.17</v>
      </c>
      <c r="H88" s="142">
        <v>3000</v>
      </c>
      <c r="I88" s="142">
        <v>6000</v>
      </c>
      <c r="J88" s="143"/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1688.17</v>
      </c>
      <c r="H91" s="81">
        <f>SUM(H87:H90)</f>
        <v>3000</v>
      </c>
      <c r="I91" s="81">
        <f t="shared" ref="I91:M91" si="7">SUM(I87:I90)</f>
        <v>6000</v>
      </c>
      <c r="J91" s="81">
        <f t="shared" si="7"/>
        <v>0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120550.34</v>
      </c>
      <c r="H92" s="142">
        <v>171853</v>
      </c>
      <c r="I92" s="142">
        <v>175909</v>
      </c>
      <c r="J92" s="143"/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94084.93</v>
      </c>
      <c r="H93" s="142">
        <v>101486</v>
      </c>
      <c r="I93" s="142">
        <v>103927</v>
      </c>
      <c r="J93" s="143"/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11051.87</v>
      </c>
      <c r="H94" s="142">
        <v>11926</v>
      </c>
      <c r="I94" s="142">
        <v>12217</v>
      </c>
      <c r="J94" s="143"/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41379.24</v>
      </c>
      <c r="H95" s="142">
        <v>39471</v>
      </c>
      <c r="I95" s="142">
        <v>38969</v>
      </c>
      <c r="J95" s="143"/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/>
      <c r="I96" s="142"/>
      <c r="J96" s="143"/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35286.75</v>
      </c>
      <c r="H97" s="142">
        <v>28600</v>
      </c>
      <c r="I97" s="142">
        <v>35200</v>
      </c>
      <c r="J97" s="143"/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7160.61</v>
      </c>
      <c r="H98" s="142">
        <v>9684</v>
      </c>
      <c r="I98" s="142">
        <v>9888</v>
      </c>
      <c r="J98" s="143"/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2468.56</v>
      </c>
      <c r="H99" s="142">
        <v>24604</v>
      </c>
      <c r="I99" s="142">
        <v>29460</v>
      </c>
      <c r="J99" s="143"/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/>
      <c r="I100" s="142"/>
      <c r="J100" s="143"/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12201.76</v>
      </c>
      <c r="H103" s="142">
        <v>32040</v>
      </c>
      <c r="I103" s="142">
        <v>85200</v>
      </c>
      <c r="J103" s="143"/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35112.6</v>
      </c>
      <c r="H104" s="142">
        <v>35248</v>
      </c>
      <c r="I104" s="142">
        <v>35964</v>
      </c>
      <c r="J104" s="143"/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7885.74</v>
      </c>
      <c r="H105" s="142">
        <v>15771</v>
      </c>
      <c r="I105" s="142">
        <v>15780</v>
      </c>
      <c r="J105" s="143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47465.49</v>
      </c>
      <c r="H107" s="142">
        <v>36018</v>
      </c>
      <c r="I107" s="142">
        <v>26918</v>
      </c>
      <c r="J107" s="143"/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2859.23</v>
      </c>
      <c r="H108" s="142">
        <v>2859</v>
      </c>
      <c r="I108" s="142">
        <v>2916</v>
      </c>
      <c r="J108" s="143"/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417507.11999999994</v>
      </c>
      <c r="H109" s="81">
        <f>SUM(H92:H108)</f>
        <v>509560</v>
      </c>
      <c r="I109" s="81">
        <f t="shared" ref="I109:M109" si="8">SUM(I92:I108)</f>
        <v>572348</v>
      </c>
      <c r="J109" s="81">
        <f t="shared" si="8"/>
        <v>0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1480.23</v>
      </c>
      <c r="H110" s="142">
        <v>1531</v>
      </c>
      <c r="I110" s="142">
        <v>1567</v>
      </c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1480.23</v>
      </c>
      <c r="H112" s="81">
        <f>H110+H111</f>
        <v>1531</v>
      </c>
      <c r="I112" s="81">
        <f t="shared" ref="I112:M112" si="9">I110+I111</f>
        <v>1567</v>
      </c>
      <c r="J112" s="81">
        <f t="shared" si="9"/>
        <v>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1290781.9099999999</v>
      </c>
      <c r="H115" s="81">
        <f>H114+H112+H109+H91+H86+H78+H64</f>
        <v>1386922</v>
      </c>
      <c r="I115" s="81">
        <f t="shared" ref="I115:M115" si="11">I114+I112+I109+I91+I86+I78+I64</f>
        <v>1507608</v>
      </c>
      <c r="J115" s="81">
        <f t="shared" si="11"/>
        <v>0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2">H47</f>
        <v>0</v>
      </c>
      <c r="I118" s="58">
        <f t="shared" si="12"/>
        <v>0</v>
      </c>
      <c r="J118" s="58">
        <f t="shared" si="12"/>
        <v>0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4">H48</f>
        <v>0</v>
      </c>
      <c r="I119" s="58">
        <f t="shared" si="14"/>
        <v>0</v>
      </c>
      <c r="J119" s="58">
        <f t="shared" si="14"/>
        <v>0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8">I47+I48+I67</f>
        <v>0</v>
      </c>
      <c r="J121" s="110">
        <f t="shared" si="18"/>
        <v>0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23132.219999999987</v>
      </c>
      <c r="H122" s="176">
        <v>23132</v>
      </c>
      <c r="I122" s="176">
        <v>23132</v>
      </c>
      <c r="J122" s="176"/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0866141732283472" right="0.70866141732283472" top="0.74803149606299213" bottom="0.74803149606299213" header="0.31496062992125984" footer="0.31496062992125984"/>
  <pageSetup paperSize="5" scale="31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topLeftCell="BN1" zoomScaleNormal="100" workbookViewId="0">
      <pane ySplit="5" topLeftCell="A57" activePane="bottomLeft" state="frozen"/>
      <selection activeCell="G33" sqref="G33"/>
      <selection pane="bottomLeft" activeCell="BT88" sqref="BT8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8.42578125" style="10" customWidth="1"/>
    <col min="15" max="15" width="9.140625" style="114" customWidth="1"/>
    <col min="16" max="16" width="16.140625" style="114" customWidth="1"/>
    <col min="17" max="17" width="17.85546875" style="114" customWidth="1"/>
    <col min="18" max="18" width="14.42578125" style="114" customWidth="1"/>
    <col min="19" max="19" width="18.140625" style="114" customWidth="1"/>
    <col min="20" max="39" width="14.28515625" style="114" customWidth="1"/>
    <col min="40" max="47" width="13.42578125" style="114" customWidth="1"/>
    <col min="48" max="48" width="15.85546875" style="114" customWidth="1"/>
    <col min="49" max="75" width="13.42578125" style="114" customWidth="1"/>
    <col min="76" max="76" width="12.5703125" style="114" customWidth="1"/>
    <col min="77" max="77" width="10.42578125" style="114" customWidth="1"/>
    <col min="78" max="78" width="13" style="114" customWidth="1"/>
    <col min="79" max="79" width="9.140625" style="114" customWidth="1"/>
    <col min="80" max="80" width="10.42578125" style="114" customWidth="1"/>
    <col min="81" max="81" width="14.85546875" style="114" customWidth="1"/>
    <col min="82" max="82" width="13.140625" style="114" customWidth="1"/>
    <col min="83" max="83" width="12.28515625" style="114" customWidth="1"/>
    <col min="84" max="84" width="10.28515625" style="114" customWidth="1"/>
    <col min="85" max="85" width="6" style="114" customWidth="1"/>
    <col min="86" max="86" width="6.7109375" style="114" customWidth="1"/>
    <col min="87" max="87" width="4.5703125" style="114" customWidth="1"/>
    <col min="88" max="93" width="9.140625" customWidth="1"/>
  </cols>
  <sheetData>
    <row r="1" spans="1:94" ht="24" thickBot="1" x14ac:dyDescent="0.4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30" t="s">
        <v>1</v>
      </c>
      <c r="C3" s="230"/>
      <c r="D3" s="101"/>
      <c r="E3" s="102" t="str">
        <f>'Model Inputs'!F5</f>
        <v>Renfrew Hydro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31"/>
      <c r="G4" s="232"/>
      <c r="H4" s="233" t="s">
        <v>2</v>
      </c>
      <c r="I4" s="234"/>
      <c r="J4" s="234"/>
      <c r="K4" s="234"/>
      <c r="L4" s="234"/>
      <c r="M4" s="234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9" t="s">
        <v>6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1802.98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31510.93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19150.39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32308.74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40399.980000000003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344.87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57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26358.09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23167.85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4401.3500000000004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96641.17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9187.85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26096.799999999999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311428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1846.53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565.99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10927.77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9327.84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17875.62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106991.16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4259.4799999999996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821.05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4115.3599999999997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10680.47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3698.21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171109.47999999998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27950.240000000002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277980.48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81538.06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100.13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387568.91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1688.17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1688.17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120550.34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94084.93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11051.87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41379.24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35286.75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7160.61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2468.56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12201.76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35112.6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7885.74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47465.49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2859.23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417507.11999999994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1480.23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1480.23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1290781.9099999999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23132.219999999987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1313914.1299999999</v>
      </c>
      <c r="H89" s="186">
        <f>'Model Inputs'!H31</f>
        <v>1410054</v>
      </c>
      <c r="I89" s="187">
        <f>'Model Inputs'!I31</f>
        <v>1530740</v>
      </c>
      <c r="J89" s="187">
        <f>'Model Inputs'!J31</f>
        <v>0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510990.37</v>
      </c>
      <c r="H92" s="186">
        <f>'Model Inputs'!H9</f>
        <v>567500</v>
      </c>
      <c r="I92" s="187">
        <f>'Model Inputs'!I9</f>
        <v>760500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4270</v>
      </c>
      <c r="H96" s="186">
        <f>'Model Inputs'!H13</f>
        <v>4290</v>
      </c>
      <c r="I96" s="187">
        <f>'Model Inputs'!I13</f>
        <v>4310</v>
      </c>
      <c r="J96" s="187">
        <f>'Model Inputs'!J13</f>
        <v>0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85528039</v>
      </c>
      <c r="H97" s="186">
        <f>'Model Inputs'!H14</f>
        <v>87305147</v>
      </c>
      <c r="I97" s="187">
        <f>'Model Inputs'!I14</f>
        <v>85344276</v>
      </c>
      <c r="J97" s="187">
        <f>'Model Inputs'!J14</f>
        <v>0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16080</v>
      </c>
      <c r="H98" s="186">
        <f>'Model Inputs'!H15</f>
        <v>16414</v>
      </c>
      <c r="I98" s="187">
        <f>'Model Inputs'!I15</f>
        <v>16045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79</v>
      </c>
      <c r="H99" s="186">
        <f>'Model Inputs'!H16</f>
        <v>79</v>
      </c>
      <c r="I99" s="187">
        <f>'Model Inputs'!I16</f>
        <v>79</v>
      </c>
      <c r="J99" s="187">
        <f>'Model Inputs'!J16</f>
        <v>0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9" t="s">
        <v>93</v>
      </c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1313914.1299999999</v>
      </c>
      <c r="H107" s="29">
        <f t="shared" ref="H107:K107" si="4">H89</f>
        <v>1410054</v>
      </c>
      <c r="I107" s="29">
        <f t="shared" si="4"/>
        <v>1530740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6.5100000000000005E-2</v>
      </c>
      <c r="I110" s="202">
        <f>'Model Inputs'!I22</f>
        <v>6.2799999999999995E-2</v>
      </c>
      <c r="J110" s="202">
        <f>'Model Inputs'!J22</f>
        <v>0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168.33656781093197</v>
      </c>
      <c r="K112" s="205">
        <f>J112*EXP('Model Inputs'!K21)</f>
        <v>168.33656781093197</v>
      </c>
      <c r="L112" s="205">
        <f>K112*EXP('Model Inputs'!L21)</f>
        <v>168.33656781093197</v>
      </c>
      <c r="M112" s="206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18.224945241791218</v>
      </c>
      <c r="I113" s="29">
        <f t="shared" si="7"/>
        <v>18.133040502516323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510990.37</v>
      </c>
      <c r="H114" s="207">
        <f>H92</f>
        <v>567500</v>
      </c>
      <c r="I114" s="208">
        <f t="shared" ref="I114:L114" si="8">I92</f>
        <v>760500</v>
      </c>
      <c r="J114" s="208">
        <f t="shared" si="8"/>
        <v>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3132.6372309672452</v>
      </c>
      <c r="H116" s="8">
        <f t="shared" ref="H116:K116" si="12">(H114-H115)/H112</f>
        <v>3424.7220230633056</v>
      </c>
      <c r="I116" s="8">
        <f t="shared" si="12"/>
        <v>4517.7349751728289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3016.81081146016</v>
      </c>
      <c r="H117" s="25">
        <f t="shared" ref="H117:M117" si="14">H111*G118</f>
        <v>3022.1272441155352</v>
      </c>
      <c r="I117" s="25">
        <f t="shared" si="14"/>
        <v>3040.6063444692381</v>
      </c>
      <c r="J117" s="25">
        <f t="shared" si="14"/>
        <v>3108.4065486185332</v>
      </c>
      <c r="K117" s="25">
        <f t="shared" si="14"/>
        <v>2965.7306880369424</v>
      </c>
      <c r="L117" s="25">
        <f t="shared" si="14"/>
        <v>2829.6036494560467</v>
      </c>
      <c r="M117" s="25">
        <f t="shared" si="14"/>
        <v>2699.7248419460143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65841.552159379848</v>
      </c>
      <c r="H118" s="25">
        <f t="shared" ref="H118:M118" si="15">G118+H116-H117</f>
        <v>66244.146938327627</v>
      </c>
      <c r="I118" s="25">
        <f t="shared" si="15"/>
        <v>67721.275569031219</v>
      </c>
      <c r="J118" s="25">
        <f t="shared" si="15"/>
        <v>64612.869020412683</v>
      </c>
      <c r="K118" s="25">
        <f t="shared" si="15"/>
        <v>61647.13833237574</v>
      </c>
      <c r="L118" s="25">
        <f t="shared" si="15"/>
        <v>58817.534682919693</v>
      </c>
      <c r="M118" s="25">
        <f t="shared" si="15"/>
        <v>56117.809840973678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1180430.9412369404</v>
      </c>
      <c r="H119" s="25">
        <f t="shared" ref="H119:K119" si="16">H113*H118</f>
        <v>1207295.9505401924</v>
      </c>
      <c r="I119" s="25">
        <f t="shared" si="16"/>
        <v>1227992.6327753123</v>
      </c>
      <c r="J119" s="25">
        <f t="shared" si="16"/>
        <v>499240.92507569271</v>
      </c>
      <c r="K119" s="25">
        <f t="shared" si="16"/>
        <v>476325.76661471836</v>
      </c>
      <c r="L119" s="25">
        <f t="shared" ref="L119:M119" si="17">L113*L118</f>
        <v>454462.41392710281</v>
      </c>
      <c r="M119" s="25">
        <f t="shared" si="17"/>
        <v>433602.5891278488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2494345.0712369401</v>
      </c>
      <c r="H121" s="25">
        <f>H107+H119</f>
        <v>2617349.9505401924</v>
      </c>
      <c r="I121" s="25">
        <f t="shared" ref="I121:K121" si="18">I107+I119</f>
        <v>2758732.6327753123</v>
      </c>
      <c r="J121" s="25">
        <f t="shared" si="18"/>
        <v>499240.92507569271</v>
      </c>
      <c r="K121" s="25">
        <f t="shared" si="18"/>
        <v>476325.76661471836</v>
      </c>
      <c r="L121" s="25">
        <f t="shared" ref="L121:M121" si="19">L107+L119</f>
        <v>454462.41392710281</v>
      </c>
      <c r="M121" s="25">
        <f t="shared" si="19"/>
        <v>433602.5891278488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9" t="s">
        <v>108</v>
      </c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4270</v>
      </c>
      <c r="H128" s="8">
        <f t="shared" ref="H128:K130" si="20">H96</f>
        <v>4290</v>
      </c>
      <c r="I128" s="8">
        <f t="shared" si="20"/>
        <v>4310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85528039</v>
      </c>
      <c r="H129" s="39">
        <f t="shared" si="20"/>
        <v>87305147</v>
      </c>
      <c r="I129" s="39">
        <f t="shared" si="20"/>
        <v>85344276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16080</v>
      </c>
      <c r="H130" s="8">
        <f t="shared" si="20"/>
        <v>16414</v>
      </c>
      <c r="I130" s="8">
        <f t="shared" si="20"/>
        <v>16045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19991</v>
      </c>
      <c r="H131" s="8">
        <f t="shared" ref="H131:M131" si="24">MAX(G131,H130)</f>
        <v>19991</v>
      </c>
      <c r="I131" s="8">
        <f t="shared" si="24"/>
        <v>19991</v>
      </c>
      <c r="J131" s="8">
        <f t="shared" si="24"/>
        <v>19991</v>
      </c>
      <c r="K131" s="8">
        <f t="shared" si="24"/>
        <v>19991</v>
      </c>
      <c r="L131" s="8">
        <f t="shared" si="24"/>
        <v>19991</v>
      </c>
      <c r="M131" s="8">
        <f t="shared" si="24"/>
        <v>19991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118.91114870827467</v>
      </c>
      <c r="K134" s="214">
        <f>J134*EXP('Model Inputs'!K21)</f>
        <v>118.91114870827467</v>
      </c>
      <c r="L134" s="214">
        <f>K134*EXP('Model Inputs'!L21)</f>
        <v>118.91114870827467</v>
      </c>
      <c r="M134" s="215">
        <f>L134*EXP('Model Inputs'!M21)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1013.3851655047079</v>
      </c>
      <c r="K135" s="217">
        <f>J135*EXP('Model Inputs'!K20)</f>
        <v>1013.3851655047079</v>
      </c>
      <c r="L135" s="217">
        <f>K135*EXP('Model Inputs'!L20)</f>
        <v>1013.3851655047079</v>
      </c>
      <c r="M135" s="218">
        <f>L135*EXP('Model Inputs'!M20)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103.06133561381708</v>
      </c>
      <c r="H137" s="29">
        <f t="shared" ref="H137:M137" si="26">G137*EXP(H136)</f>
        <v>105.42452624791629</v>
      </c>
      <c r="I137" s="29">
        <f t="shared" si="26"/>
        <v>107.84190471045605</v>
      </c>
      <c r="J137" s="29">
        <f t="shared" si="26"/>
        <v>107.84190471045605</v>
      </c>
      <c r="K137" s="29">
        <f t="shared" si="26"/>
        <v>107.84190471045605</v>
      </c>
      <c r="L137" s="29">
        <f t="shared" si="26"/>
        <v>107.84190471045605</v>
      </c>
      <c r="M137" s="29">
        <f t="shared" si="26"/>
        <v>107.84190471045605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18.224945241791218</v>
      </c>
      <c r="I139" s="29">
        <f t="shared" si="27"/>
        <v>18.133040502516323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79</v>
      </c>
      <c r="H142" s="42">
        <f>'Model Inputs'!H16</f>
        <v>79</v>
      </c>
      <c r="I142" s="42">
        <f>'Model Inputs'!I16</f>
        <v>79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63.071428571428569</v>
      </c>
      <c r="H143" s="41">
        <f>(G143*14+H142)/15</f>
        <v>64.13333333333334</v>
      </c>
      <c r="I143" s="41">
        <f>(H143*15+I142)/16</f>
        <v>65.0625</v>
      </c>
      <c r="J143" s="41">
        <f>(I143*16+J142)/17</f>
        <v>61.235294117647058</v>
      </c>
      <c r="K143" s="41">
        <f>(J143*17+K142)/18</f>
        <v>57.833333333333336</v>
      </c>
      <c r="L143" s="41">
        <f>(K143*17+L142)/18</f>
        <v>54.620370370370374</v>
      </c>
      <c r="M143" s="41">
        <f>(L143*17+M142)/18</f>
        <v>51.585905349794238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4116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3.7414965986394558E-2</v>
      </c>
      <c r="H145" s="30">
        <f>'Model Inputs'!H17</f>
        <v>3.7900000000000003E-2</v>
      </c>
      <c r="I145" s="30">
        <f>'Model Inputs'!I17</f>
        <v>3.8800000000000001E-2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0.17395814094815473</v>
      </c>
      <c r="H152" s="44">
        <f t="shared" ref="H152:K152" si="31">H113/H137</f>
        <v>0.17287196718279238</v>
      </c>
      <c r="I152" s="44">
        <f t="shared" si="31"/>
        <v>0.16814466093863598</v>
      </c>
      <c r="J152" s="44">
        <f t="shared" si="31"/>
        <v>7.1647922792786353E-2</v>
      </c>
      <c r="K152" s="44">
        <f t="shared" si="31"/>
        <v>7.1647922792786353E-2</v>
      </c>
      <c r="L152" s="44">
        <f t="shared" ref="L152:M152" si="32">L113/L137</f>
        <v>7.1647922792786353E-2</v>
      </c>
      <c r="M152" s="44">
        <f t="shared" si="32"/>
        <v>7.1647922792786353E-2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4270</v>
      </c>
      <c r="H153" s="25">
        <f t="shared" ref="H153:K153" si="33">H96</f>
        <v>4290</v>
      </c>
      <c r="I153" s="25">
        <f t="shared" si="33"/>
        <v>4310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19991</v>
      </c>
      <c r="H154" s="25">
        <f t="shared" ref="H154:K154" si="35">H131</f>
        <v>19991</v>
      </c>
      <c r="I154" s="25">
        <f t="shared" si="35"/>
        <v>19991</v>
      </c>
      <c r="J154" s="25">
        <f t="shared" si="35"/>
        <v>19991</v>
      </c>
      <c r="K154" s="25">
        <f t="shared" si="35"/>
        <v>19991</v>
      </c>
      <c r="L154" s="25">
        <f t="shared" ref="L154:M154" si="36">L131</f>
        <v>19991</v>
      </c>
      <c r="M154" s="25">
        <f t="shared" si="36"/>
        <v>19991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85528039</v>
      </c>
      <c r="H155" s="39">
        <f t="shared" ref="H155:K155" si="37">H97</f>
        <v>87305147</v>
      </c>
      <c r="I155" s="39">
        <f t="shared" si="37"/>
        <v>85344276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63.071428571428569</v>
      </c>
      <c r="H156" s="45">
        <f t="shared" ref="H156:K156" si="39">H143</f>
        <v>64.13333333333334</v>
      </c>
      <c r="I156" s="45">
        <f t="shared" si="39"/>
        <v>65.0625</v>
      </c>
      <c r="J156" s="45">
        <f t="shared" si="39"/>
        <v>61.235294117647058</v>
      </c>
      <c r="K156" s="45">
        <f t="shared" si="39"/>
        <v>57.833333333333336</v>
      </c>
      <c r="L156" s="45">
        <f t="shared" ref="L156:M156" si="40">L143</f>
        <v>54.620370370370374</v>
      </c>
      <c r="M156" s="45">
        <f t="shared" si="40"/>
        <v>51.585905349794238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3.7414965986394558E-2</v>
      </c>
      <c r="H157" s="31">
        <f t="shared" ref="H157:L157" si="41">H145</f>
        <v>3.7900000000000003E-2</v>
      </c>
      <c r="I157" s="31">
        <f t="shared" si="41"/>
        <v>3.8800000000000001E-2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12.822060011014516</v>
      </c>
      <c r="H162" s="49">
        <f t="shared" ref="H162:M179" si="45">G162</f>
        <v>12.822060011014516</v>
      </c>
      <c r="I162" s="49">
        <f t="shared" si="45"/>
        <v>12.822060011014516</v>
      </c>
      <c r="J162" s="49">
        <f t="shared" si="45"/>
        <v>12.822060011014516</v>
      </c>
      <c r="K162" s="49">
        <f t="shared" si="45"/>
        <v>12.822060011014516</v>
      </c>
      <c r="L162" s="49">
        <f t="shared" si="45"/>
        <v>12.822060011014516</v>
      </c>
      <c r="M162" s="49">
        <f t="shared" si="45"/>
        <v>12.822060011014516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0.62426122025757624</v>
      </c>
      <c r="H163" s="49">
        <f t="shared" si="45"/>
        <v>0.62426122025757624</v>
      </c>
      <c r="I163" s="49">
        <f t="shared" si="45"/>
        <v>0.62426122025757624</v>
      </c>
      <c r="J163" s="49">
        <f t="shared" si="45"/>
        <v>0.62426122025757624</v>
      </c>
      <c r="K163" s="49">
        <f t="shared" si="45"/>
        <v>0.62426122025757624</v>
      </c>
      <c r="L163" s="49">
        <f t="shared" si="45"/>
        <v>0.62426122025757624</v>
      </c>
      <c r="M163" s="49">
        <f t="shared" si="45"/>
        <v>0.62426122025757624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0.43709079094380021</v>
      </c>
      <c r="H164" s="49">
        <f t="shared" si="45"/>
        <v>0.43709079094380021</v>
      </c>
      <c r="I164" s="49">
        <f t="shared" si="45"/>
        <v>0.43709079094380021</v>
      </c>
      <c r="J164" s="49">
        <f t="shared" si="45"/>
        <v>0.43709079094380021</v>
      </c>
      <c r="K164" s="49">
        <f t="shared" si="45"/>
        <v>0.43709079094380021</v>
      </c>
      <c r="L164" s="49">
        <f t="shared" si="45"/>
        <v>0.43709079094380021</v>
      </c>
      <c r="M164" s="49">
        <f t="shared" si="45"/>
        <v>0.43709079094380021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0.1556297157235631</v>
      </c>
      <c r="H165" s="49">
        <f t="shared" si="45"/>
        <v>0.1556297157235631</v>
      </c>
      <c r="I165" s="49">
        <f t="shared" si="45"/>
        <v>0.1556297157235631</v>
      </c>
      <c r="J165" s="49">
        <f t="shared" si="45"/>
        <v>0.1556297157235631</v>
      </c>
      <c r="K165" s="49">
        <f t="shared" si="45"/>
        <v>0.1556297157235631</v>
      </c>
      <c r="L165" s="49">
        <f t="shared" si="45"/>
        <v>0.1556297157235631</v>
      </c>
      <c r="M165" s="49">
        <f t="shared" si="45"/>
        <v>0.1556297157235631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0.10923611475842263</v>
      </c>
      <c r="H166" s="49">
        <f t="shared" si="45"/>
        <v>0.10923611475842263</v>
      </c>
      <c r="I166" s="49">
        <f t="shared" si="45"/>
        <v>0.10923611475842263</v>
      </c>
      <c r="J166" s="49">
        <f t="shared" si="45"/>
        <v>0.10923611475842263</v>
      </c>
      <c r="K166" s="49">
        <f t="shared" si="45"/>
        <v>0.10923611475842263</v>
      </c>
      <c r="L166" s="49">
        <f t="shared" si="45"/>
        <v>0.10923611475842263</v>
      </c>
      <c r="M166" s="49">
        <f t="shared" si="45"/>
        <v>0.10923611475842263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0.11139862192050343</v>
      </c>
      <c r="H167" s="49">
        <f t="shared" si="45"/>
        <v>0.11139862192050343</v>
      </c>
      <c r="I167" s="49">
        <f t="shared" si="45"/>
        <v>0.11139862192050343</v>
      </c>
      <c r="J167" s="49">
        <f t="shared" si="45"/>
        <v>0.11139862192050343</v>
      </c>
      <c r="K167" s="49">
        <f t="shared" si="45"/>
        <v>0.11139862192050343</v>
      </c>
      <c r="L167" s="49">
        <f t="shared" si="45"/>
        <v>0.11139862192050343</v>
      </c>
      <c r="M167" s="49">
        <f t="shared" si="45"/>
        <v>0.11139862192050343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-0.25488962993383857</v>
      </c>
      <c r="H168" s="49">
        <f t="shared" si="45"/>
        <v>-0.25488962993383857</v>
      </c>
      <c r="I168" s="49">
        <f t="shared" si="45"/>
        <v>-0.25488962993383857</v>
      </c>
      <c r="J168" s="49">
        <f t="shared" si="45"/>
        <v>-0.25488962993383857</v>
      </c>
      <c r="K168" s="49">
        <f t="shared" si="45"/>
        <v>-0.25488962993383857</v>
      </c>
      <c r="L168" s="49">
        <f t="shared" si="45"/>
        <v>-0.25488962993383857</v>
      </c>
      <c r="M168" s="49">
        <f t="shared" si="45"/>
        <v>-0.25488962993383857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0.23846949280649632</v>
      </c>
      <c r="H169" s="49">
        <f t="shared" si="45"/>
        <v>0.23846949280649632</v>
      </c>
      <c r="I169" s="49">
        <f t="shared" si="45"/>
        <v>0.23846949280649632</v>
      </c>
      <c r="J169" s="49">
        <f t="shared" si="45"/>
        <v>0.23846949280649632</v>
      </c>
      <c r="K169" s="49">
        <f t="shared" si="45"/>
        <v>0.23846949280649632</v>
      </c>
      <c r="L169" s="49">
        <f t="shared" si="45"/>
        <v>0.23846949280649632</v>
      </c>
      <c r="M169" s="49">
        <f t="shared" si="45"/>
        <v>0.23846949280649632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0.17968558232475068</v>
      </c>
      <c r="H170" s="49">
        <f t="shared" si="45"/>
        <v>0.17968558232475068</v>
      </c>
      <c r="I170" s="49">
        <f t="shared" si="45"/>
        <v>0.17968558232475068</v>
      </c>
      <c r="J170" s="49">
        <f t="shared" si="45"/>
        <v>0.17968558232475068</v>
      </c>
      <c r="K170" s="49">
        <f t="shared" si="45"/>
        <v>0.17968558232475068</v>
      </c>
      <c r="L170" s="49">
        <f t="shared" si="45"/>
        <v>0.17968558232475068</v>
      </c>
      <c r="M170" s="49">
        <f t="shared" si="45"/>
        <v>0.17968558232475068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5.5167258833257127E-2</v>
      </c>
      <c r="H171" s="49">
        <f t="shared" si="45"/>
        <v>5.5167258833257127E-2</v>
      </c>
      <c r="I171" s="49">
        <f t="shared" si="45"/>
        <v>5.5167258833257127E-2</v>
      </c>
      <c r="J171" s="49">
        <f t="shared" si="45"/>
        <v>5.5167258833257127E-2</v>
      </c>
      <c r="K171" s="49">
        <f t="shared" si="45"/>
        <v>5.5167258833257127E-2</v>
      </c>
      <c r="L171" s="49">
        <f t="shared" si="45"/>
        <v>5.5167258833257127E-2</v>
      </c>
      <c r="M171" s="49">
        <f t="shared" si="45"/>
        <v>5.5167258833257127E-2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8.9178394128427985E-3</v>
      </c>
      <c r="H172" s="49">
        <f t="shared" si="45"/>
        <v>8.9178394128427985E-3</v>
      </c>
      <c r="I172" s="49">
        <f t="shared" si="45"/>
        <v>8.9178394128427985E-3</v>
      </c>
      <c r="J172" s="49">
        <f t="shared" si="45"/>
        <v>8.9178394128427985E-3</v>
      </c>
      <c r="K172" s="49">
        <f t="shared" si="45"/>
        <v>8.9178394128427985E-3</v>
      </c>
      <c r="L172" s="49">
        <f t="shared" si="45"/>
        <v>8.9178394128427985E-3</v>
      </c>
      <c r="M172" s="49">
        <f t="shared" si="45"/>
        <v>8.9178394128427985E-3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-3.2773297847610294E-4</v>
      </c>
      <c r="H173" s="49">
        <f t="shared" si="45"/>
        <v>-3.2773297847610294E-4</v>
      </c>
      <c r="I173" s="49">
        <f t="shared" si="45"/>
        <v>-3.2773297847610294E-4</v>
      </c>
      <c r="J173" s="49">
        <f t="shared" si="45"/>
        <v>-3.2773297847610294E-4</v>
      </c>
      <c r="K173" s="49">
        <f t="shared" si="45"/>
        <v>-3.2773297847610294E-4</v>
      </c>
      <c r="L173" s="49">
        <f t="shared" si="45"/>
        <v>-3.2773297847610294E-4</v>
      </c>
      <c r="M173" s="49">
        <f t="shared" si="45"/>
        <v>-3.2773297847610294E-4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6.0242307161694902E-2</v>
      </c>
      <c r="H174" s="49">
        <f t="shared" si="45"/>
        <v>6.0242307161694902E-2</v>
      </c>
      <c r="I174" s="49">
        <f t="shared" si="45"/>
        <v>6.0242307161694902E-2</v>
      </c>
      <c r="J174" s="49">
        <f t="shared" si="45"/>
        <v>6.0242307161694902E-2</v>
      </c>
      <c r="K174" s="49">
        <f t="shared" si="45"/>
        <v>6.0242307161694902E-2</v>
      </c>
      <c r="L174" s="49">
        <f t="shared" si="45"/>
        <v>6.0242307161694902E-2</v>
      </c>
      <c r="M174" s="49">
        <f t="shared" si="45"/>
        <v>6.0242307161694902E-2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3.3864956833131898E-2</v>
      </c>
      <c r="H175" s="49">
        <f t="shared" si="45"/>
        <v>3.3864956833131898E-2</v>
      </c>
      <c r="I175" s="49">
        <f t="shared" si="45"/>
        <v>3.3864956833131898E-2</v>
      </c>
      <c r="J175" s="49">
        <f t="shared" si="45"/>
        <v>3.3864956833131898E-2</v>
      </c>
      <c r="K175" s="49">
        <f t="shared" si="45"/>
        <v>3.3864956833131898E-2</v>
      </c>
      <c r="L175" s="49">
        <f t="shared" si="45"/>
        <v>3.3864956833131898E-2</v>
      </c>
      <c r="M175" s="49">
        <f t="shared" si="45"/>
        <v>3.3864956833131898E-2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-0.18136915734086642</v>
      </c>
      <c r="H176" s="49">
        <f t="shared" si="45"/>
        <v>-0.18136915734086642</v>
      </c>
      <c r="I176" s="49">
        <f t="shared" si="45"/>
        <v>-0.18136915734086642</v>
      </c>
      <c r="J176" s="49">
        <f t="shared" si="45"/>
        <v>-0.18136915734086642</v>
      </c>
      <c r="K176" s="49">
        <f t="shared" si="45"/>
        <v>-0.18136915734086642</v>
      </c>
      <c r="L176" s="49">
        <f t="shared" si="45"/>
        <v>-0.18136915734086642</v>
      </c>
      <c r="M176" s="49">
        <f t="shared" si="45"/>
        <v>-0.18136915734086642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0.29288374730803418</v>
      </c>
      <c r="H177" s="49">
        <f t="shared" si="45"/>
        <v>0.29288374730803418</v>
      </c>
      <c r="I177" s="49">
        <f t="shared" si="45"/>
        <v>0.29288374730803418</v>
      </c>
      <c r="J177" s="49">
        <f t="shared" si="45"/>
        <v>0.29288374730803418</v>
      </c>
      <c r="K177" s="49">
        <f t="shared" si="45"/>
        <v>0.29288374730803418</v>
      </c>
      <c r="L177" s="49">
        <f t="shared" si="45"/>
        <v>0.29288374730803418</v>
      </c>
      <c r="M177" s="49">
        <f t="shared" si="45"/>
        <v>0.29288374730803418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1.6741877542982252E-2</v>
      </c>
      <c r="H178" s="49">
        <f t="shared" si="45"/>
        <v>1.6741877542982252E-2</v>
      </c>
      <c r="I178" s="49">
        <f t="shared" si="45"/>
        <v>1.6741877542982252E-2</v>
      </c>
      <c r="J178" s="49">
        <f t="shared" si="45"/>
        <v>1.6741877542982252E-2</v>
      </c>
      <c r="K178" s="49">
        <f t="shared" si="45"/>
        <v>1.6741877542982252E-2</v>
      </c>
      <c r="L178" s="49">
        <f t="shared" si="45"/>
        <v>1.6741877542982252E-2</v>
      </c>
      <c r="M178" s="49">
        <f t="shared" si="45"/>
        <v>1.6741877542982252E-2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1.7054156160156039E-2</v>
      </c>
      <c r="H179" s="49">
        <f t="shared" si="45"/>
        <v>1.7054156160156039E-2</v>
      </c>
      <c r="I179" s="49">
        <f t="shared" si="45"/>
        <v>1.7054156160156039E-2</v>
      </c>
      <c r="J179" s="49">
        <f t="shared" si="45"/>
        <v>1.7054156160156039E-2</v>
      </c>
      <c r="K179" s="49">
        <f t="shared" si="45"/>
        <v>1.7054156160156039E-2</v>
      </c>
      <c r="L179" s="49">
        <f t="shared" si="45"/>
        <v>1.7054156160156039E-2</v>
      </c>
      <c r="M179" s="49">
        <f t="shared" si="45"/>
        <v>1.7054156160156039E-2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5.6512218387544097E-2</v>
      </c>
      <c r="H206" s="48">
        <f t="shared" ref="H206:K209" si="49">LN(H152/H184)</f>
        <v>5.0248763797775993E-2</v>
      </c>
      <c r="I206" s="48">
        <f t="shared" si="49"/>
        <v>2.252220328273526E-2</v>
      </c>
      <c r="J206" s="48">
        <f t="shared" si="49"/>
        <v>-0.83053831979694837</v>
      </c>
      <c r="K206" s="48">
        <f t="shared" si="49"/>
        <v>-0.83053831979694837</v>
      </c>
      <c r="L206" s="48">
        <f t="shared" ref="L206:M206" si="50">LN(L152/L184)</f>
        <v>-0.83053831979694837</v>
      </c>
      <c r="M206" s="48">
        <f t="shared" si="50"/>
        <v>-0.83053831979694837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-2.6982018934285752</v>
      </c>
      <c r="H207" s="48">
        <f t="shared" si="49"/>
        <v>-2.693528987729183</v>
      </c>
      <c r="I207" s="48">
        <f t="shared" si="49"/>
        <v>-2.6888778165534521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-2.8486361302161929</v>
      </c>
      <c r="H208" s="48">
        <f t="shared" si="49"/>
        <v>-2.8486361302161929</v>
      </c>
      <c r="I208" s="48">
        <f t="shared" si="49"/>
        <v>-2.8486361302161929</v>
      </c>
      <c r="J208" s="48">
        <f t="shared" si="49"/>
        <v>-2.8486361302161929</v>
      </c>
      <c r="K208" s="48">
        <f t="shared" si="49"/>
        <v>-2.8486361302161929</v>
      </c>
      <c r="L208" s="48">
        <f t="shared" ref="L208:M208" si="52">LN(L154/L186)</f>
        <v>-2.8486361302161929</v>
      </c>
      <c r="M208" s="48">
        <f t="shared" si="52"/>
        <v>-2.8486361302161929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-2.9476922332077073</v>
      </c>
      <c r="H209" s="48">
        <f t="shared" si="49"/>
        <v>-2.9271270781847867</v>
      </c>
      <c r="I209" s="48">
        <f t="shared" si="49"/>
        <v>-2.9498431149446946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1.5968154135407387E-3</v>
      </c>
      <c r="H210" s="48">
        <f t="shared" ref="H210:K213" si="54">H206*H206/2</f>
        <v>1.2624691316023417E-3</v>
      </c>
      <c r="I210" s="48">
        <f t="shared" si="54"/>
        <v>2.5362482035442543E-4</v>
      </c>
      <c r="J210" s="48">
        <f t="shared" si="54"/>
        <v>0.34489695032556905</v>
      </c>
      <c r="K210" s="48">
        <f t="shared" si="54"/>
        <v>0.34489695032556905</v>
      </c>
      <c r="L210" s="48">
        <f t="shared" ref="L210:M210" si="55">L206*L206/2</f>
        <v>0.34489695032556905</v>
      </c>
      <c r="M210" s="48">
        <f t="shared" si="55"/>
        <v>0.34489695032556905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3.6401467288507741</v>
      </c>
      <c r="H211" s="48">
        <f t="shared" si="54"/>
        <v>3.6275492038686985</v>
      </c>
      <c r="I211" s="48">
        <f t="shared" si="54"/>
        <v>3.61503195617663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4.0573639011865437</v>
      </c>
      <c r="H212" s="48">
        <f t="shared" si="54"/>
        <v>4.0573639011865437</v>
      </c>
      <c r="I212" s="48">
        <f t="shared" si="54"/>
        <v>4.0573639011865437</v>
      </c>
      <c r="J212" s="48">
        <f t="shared" si="54"/>
        <v>4.0573639011865437</v>
      </c>
      <c r="K212" s="48">
        <f t="shared" si="54"/>
        <v>4.0573639011865437</v>
      </c>
      <c r="L212" s="48">
        <f t="shared" ref="L212:M212" si="57">L208*L208/2</f>
        <v>4.0573639011865437</v>
      </c>
      <c r="M212" s="48">
        <f t="shared" si="57"/>
        <v>4.0573639011865437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4.3444447508565203</v>
      </c>
      <c r="H213" s="48">
        <f t="shared" si="54"/>
        <v>4.2840364659213028</v>
      </c>
      <c r="I213" s="48">
        <f t="shared" si="54"/>
        <v>4.3507872013933095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-0.15248137465512063</v>
      </c>
      <c r="H214" s="48">
        <f t="shared" ref="H214:K214" si="59">H206*H207</f>
        <v>-0.13534650188686639</v>
      </c>
      <c r="I214" s="48">
        <f t="shared" si="59"/>
        <v>-6.0559452786854179E-2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-0.16098274709742599</v>
      </c>
      <c r="H215" s="48">
        <f t="shared" ref="H215:K215" si="61">H206*H208</f>
        <v>-0.14314044405304413</v>
      </c>
      <c r="I215" s="48">
        <f t="shared" si="61"/>
        <v>-6.4157562003273411E-2</v>
      </c>
      <c r="J215" s="48">
        <f t="shared" si="61"/>
        <v>2.3659014653026378</v>
      </c>
      <c r="K215" s="48">
        <f t="shared" si="61"/>
        <v>2.3659014653026378</v>
      </c>
      <c r="L215" s="48">
        <f t="shared" ref="L215:M215" si="62">L206*L208</f>
        <v>2.3659014653026378</v>
      </c>
      <c r="M215" s="48">
        <f t="shared" si="62"/>
        <v>2.3659014653026378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-0.16658062722230152</v>
      </c>
      <c r="H216" s="48">
        <f t="shared" ref="H216:K216" si="63">H206*H209</f>
        <v>-0.14708451715778154</v>
      </c>
      <c r="I216" s="48">
        <f t="shared" si="63"/>
        <v>-6.6436966286961413E-2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7.6861954002383808</v>
      </c>
      <c r="H217" s="48">
        <f t="shared" ref="H217:K217" si="65">H207*H208</f>
        <v>7.6728839922299992</v>
      </c>
      <c r="I217" s="48">
        <f t="shared" si="65"/>
        <v>7.6596344979709921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7.9534687648857414</v>
      </c>
      <c r="H218" s="48">
        <f t="shared" ref="H218:K218" si="67">H207*H209</f>
        <v>7.8843016358577493</v>
      </c>
      <c r="I218" s="48">
        <f t="shared" si="67"/>
        <v>7.9317677140877247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8.3969025962731312</v>
      </c>
      <c r="H219" s="48">
        <f t="shared" ref="H219:K219" si="69">H208*H209</f>
        <v>8.338319952651343</v>
      </c>
      <c r="I219" s="48">
        <f t="shared" si="69"/>
        <v>8.4030296757009353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-3.7651474360468495</v>
      </c>
      <c r="H220" s="48">
        <f t="shared" ref="H220:K220" si="71">LN(H156/H198)</f>
        <v>-3.7484510574720544</v>
      </c>
      <c r="I220" s="48">
        <f t="shared" si="71"/>
        <v>-3.7340669606603631</v>
      </c>
      <c r="J220" s="48">
        <f t="shared" si="71"/>
        <v>-3.7946915824767982</v>
      </c>
      <c r="K220" s="48">
        <f t="shared" si="71"/>
        <v>-3.8518499963167465</v>
      </c>
      <c r="L220" s="48">
        <f t="shared" ref="L220:M220" si="72">LN(L156/L198)</f>
        <v>-3.9090084101566953</v>
      </c>
      <c r="M220" s="48">
        <f t="shared" si="72"/>
        <v>-3.9661668239966437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0.29094063753028432</v>
      </c>
      <c r="H221" s="31">
        <f t="shared" ref="H221:K221" si="73">H157/H199</f>
        <v>0.29471228615863143</v>
      </c>
      <c r="I221" s="31">
        <f t="shared" si="73"/>
        <v>0.30171073094867812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12.822060011014516</v>
      </c>
      <c r="H226" s="50">
        <f t="shared" ref="H226:K241" si="78">H162*H205</f>
        <v>12.822060011014516</v>
      </c>
      <c r="I226" s="50">
        <f t="shared" si="78"/>
        <v>12.822060011014516</v>
      </c>
      <c r="J226" s="50">
        <f t="shared" si="78"/>
        <v>12.822060011014516</v>
      </c>
      <c r="K226" s="50">
        <f t="shared" si="78"/>
        <v>12.822060011014516</v>
      </c>
      <c r="L226" s="50">
        <f t="shared" ref="L226:M226" si="79">L162*L205</f>
        <v>12.822060011014516</v>
      </c>
      <c r="M226" s="50">
        <f t="shared" si="79"/>
        <v>12.822060011014516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3.5278386410070917E-2</v>
      </c>
      <c r="H227" s="50">
        <f t="shared" si="78"/>
        <v>3.1368354604834364E-2</v>
      </c>
      <c r="I227" s="50">
        <f t="shared" si="78"/>
        <v>1.4059738104169503E-2</v>
      </c>
      <c r="J227" s="50">
        <f t="shared" si="78"/>
        <v>-0.51847286498712009</v>
      </c>
      <c r="K227" s="50">
        <f t="shared" si="78"/>
        <v>-0.51847286498712009</v>
      </c>
      <c r="L227" s="50">
        <f t="shared" ref="L227:M227" si="80">L163*L206</f>
        <v>-0.51847286498712009</v>
      </c>
      <c r="M227" s="50">
        <f t="shared" si="80"/>
        <v>-0.51847286498712009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-1.1793591997247552</v>
      </c>
      <c r="H228" s="50">
        <f t="shared" si="78"/>
        <v>-1.1773167156766022</v>
      </c>
      <c r="I228" s="50">
        <f t="shared" si="78"/>
        <v>-1.1752837315885869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-0.44333243114541698</v>
      </c>
      <c r="H229" s="50">
        <f t="shared" si="78"/>
        <v>-0.44333243114541698</v>
      </c>
      <c r="I229" s="50">
        <f t="shared" si="78"/>
        <v>-0.44333243114541698</v>
      </c>
      <c r="J229" s="50">
        <f t="shared" si="78"/>
        <v>-0.44333243114541698</v>
      </c>
      <c r="K229" s="50">
        <f t="shared" si="78"/>
        <v>-0.44333243114541698</v>
      </c>
      <c r="L229" s="50">
        <f t="shared" ref="L229:M229" si="82">L165*L208</f>
        <v>-0.44333243114541698</v>
      </c>
      <c r="M229" s="50">
        <f t="shared" si="82"/>
        <v>-0.44333243114541698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-0.32199444705918817</v>
      </c>
      <c r="H230" s="50">
        <f t="shared" si="78"/>
        <v>-0.31974798942507965</v>
      </c>
      <c r="I230" s="50">
        <f t="shared" si="78"/>
        <v>-0.32222940102344155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1.7788303652985707E-4</v>
      </c>
      <c r="H231" s="50">
        <f t="shared" si="78"/>
        <v>1.4063732147767555E-4</v>
      </c>
      <c r="I231" s="50">
        <f t="shared" si="78"/>
        <v>2.825345547231824E-5</v>
      </c>
      <c r="J231" s="50">
        <f t="shared" si="78"/>
        <v>3.8421044970852719E-2</v>
      </c>
      <c r="K231" s="50">
        <f t="shared" si="78"/>
        <v>3.8421044970852719E-2</v>
      </c>
      <c r="L231" s="50">
        <f t="shared" ref="L231:M231" si="84">L167*L210</f>
        <v>3.8421044970852719E-2</v>
      </c>
      <c r="M231" s="50">
        <f t="shared" si="84"/>
        <v>3.8421044970852719E-2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-0.9278356526216468</v>
      </c>
      <c r="H232" s="50">
        <f t="shared" si="78"/>
        <v>-0.92462467414088323</v>
      </c>
      <c r="I232" s="50">
        <f t="shared" si="78"/>
        <v>-0.92143415750886171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0.96755751164734227</v>
      </c>
      <c r="H233" s="50">
        <f t="shared" si="78"/>
        <v>0.96755751164734227</v>
      </c>
      <c r="I233" s="50">
        <f t="shared" si="78"/>
        <v>0.96755751164734227</v>
      </c>
      <c r="J233" s="50">
        <f t="shared" si="78"/>
        <v>0.96755751164734227</v>
      </c>
      <c r="K233" s="50">
        <f t="shared" si="78"/>
        <v>0.96755751164734227</v>
      </c>
      <c r="L233" s="50">
        <f t="shared" ref="L233:M233" si="86">L169*L212</f>
        <v>0.96755751164734227</v>
      </c>
      <c r="M233" s="50">
        <f t="shared" si="86"/>
        <v>0.96755751164734227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0.78063408493536024</v>
      </c>
      <c r="H234" s="50">
        <f t="shared" si="78"/>
        <v>0.7697795870795362</v>
      </c>
      <c r="I234" s="50">
        <f t="shared" si="78"/>
        <v>0.78177373185342913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-8.4119794628498921E-3</v>
      </c>
      <c r="H235" s="50">
        <f t="shared" si="78"/>
        <v>-7.4666955017686828E-3</v>
      </c>
      <c r="I235" s="50">
        <f t="shared" si="78"/>
        <v>-3.3408990066927991E-3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-1.4356182868531301E-3</v>
      </c>
      <c r="H236" s="50">
        <f t="shared" si="78"/>
        <v>-1.2765034935480566E-3</v>
      </c>
      <c r="I236" s="50">
        <f t="shared" si="78"/>
        <v>-5.7214683506469723E-4</v>
      </c>
      <c r="J236" s="50">
        <f t="shared" si="78"/>
        <v>2.1098729334178393E-2</v>
      </c>
      <c r="K236" s="50">
        <f t="shared" si="78"/>
        <v>2.1098729334178393E-2</v>
      </c>
      <c r="L236" s="50">
        <f t="shared" ref="L236:M236" si="89">L172*L215</f>
        <v>2.1098729334178393E-2</v>
      </c>
      <c r="M236" s="50">
        <f t="shared" si="89"/>
        <v>2.1098729334178393E-2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5.4593965115982274E-5</v>
      </c>
      <c r="H237" s="50">
        <f t="shared" si="78"/>
        <v>4.8204446895839211E-5</v>
      </c>
      <c r="I237" s="50">
        <f t="shared" si="78"/>
        <v>2.1773584842142302E-5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0.463034144205967</v>
      </c>
      <c r="H238" s="50">
        <f t="shared" si="78"/>
        <v>0.46223223427597143</v>
      </c>
      <c r="I238" s="50">
        <f t="shared" si="78"/>
        <v>0.46143405417308325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0.26934387639651852</v>
      </c>
      <c r="H239" s="50">
        <f t="shared" si="78"/>
        <v>0.26700153455771392</v>
      </c>
      <c r="I239" s="50">
        <f t="shared" si="78"/>
        <v>0.26860897124801009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-1.5229391481593912</v>
      </c>
      <c r="H240" s="50">
        <f t="shared" si="78"/>
        <v>-1.5123140634509074</v>
      </c>
      <c r="I240" s="50">
        <f t="shared" si="78"/>
        <v>-1.5240504113921727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-1.1027504902366383</v>
      </c>
      <c r="H241" s="50">
        <f t="shared" si="78"/>
        <v>-1.0978603923131787</v>
      </c>
      <c r="I241" s="50">
        <f t="shared" si="78"/>
        <v>-1.0936475241373289</v>
      </c>
      <c r="J241" s="50">
        <f t="shared" si="78"/>
        <v>-1.1114034905540588</v>
      </c>
      <c r="K241" s="50">
        <f t="shared" si="78"/>
        <v>-1.1281442609896863</v>
      </c>
      <c r="L241" s="50">
        <f t="shared" ref="L241:M241" si="94">L177*L220</f>
        <v>-1.1448850314253141</v>
      </c>
      <c r="M241" s="50">
        <f t="shared" si="94"/>
        <v>-1.1616258018609416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4.870892525809206E-3</v>
      </c>
      <c r="H242" s="50">
        <f t="shared" ref="H242:K243" si="95">H178*H221</f>
        <v>4.9340370052801509E-3</v>
      </c>
      <c r="I242" s="50">
        <f t="shared" si="95"/>
        <v>5.0512041109464344E-3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0.15348740544140435</v>
      </c>
      <c r="H243" s="50">
        <f t="shared" si="95"/>
        <v>0.17054156160156039</v>
      </c>
      <c r="I243" s="50">
        <f t="shared" si="95"/>
        <v>0.18759571776171644</v>
      </c>
      <c r="J243" s="50">
        <f t="shared" si="95"/>
        <v>0.20464987392187245</v>
      </c>
      <c r="K243" s="50">
        <f t="shared" si="95"/>
        <v>0.22170403008202849</v>
      </c>
      <c r="L243" s="50">
        <f t="shared" ref="L243:M243" si="97">L179*L222</f>
        <v>0.23875818624218453</v>
      </c>
      <c r="M243" s="50">
        <f t="shared" si="97"/>
        <v>0.25581234240234058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9.9884398228818938</v>
      </c>
      <c r="H245" s="44">
        <f t="shared" ref="H245:K245" si="98">SUM(H226:H243)</f>
        <v>10.011724208407745</v>
      </c>
      <c r="I245" s="44">
        <f t="shared" si="98"/>
        <v>10.02430026431596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21773.302076986809</v>
      </c>
      <c r="H246" s="8">
        <f t="shared" ref="H246:K246" si="100">EXP(H245)</f>
        <v>22286.228450516326</v>
      </c>
      <c r="I246" s="8">
        <f t="shared" si="100"/>
        <v>22568.271080187042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103.06133561381708</v>
      </c>
      <c r="H247" s="21">
        <f t="shared" ref="H247:K247" si="102">H137</f>
        <v>105.42452624791629</v>
      </c>
      <c r="I247" s="21">
        <f t="shared" si="102"/>
        <v>107.84190471045605</v>
      </c>
      <c r="J247" s="21">
        <f t="shared" si="102"/>
        <v>107.84190471045605</v>
      </c>
      <c r="K247" s="21">
        <f t="shared" si="102"/>
        <v>107.84190471045605</v>
      </c>
      <c r="L247" s="21">
        <f t="shared" ref="L247:M247" si="103">L137</f>
        <v>107.84190471045605</v>
      </c>
      <c r="M247" s="21">
        <f t="shared" si="103"/>
        <v>107.84190471045605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2243985.5927773579</v>
      </c>
      <c r="H248" s="8">
        <f t="shared" ref="H248:K248" si="104">H246*H247</f>
        <v>2349515.0762485173</v>
      </c>
      <c r="I248" s="8">
        <f t="shared" si="104"/>
        <v>2433805.3393092719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9" t="s">
        <v>151</v>
      </c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2494345.0712369401</v>
      </c>
      <c r="H256" s="60">
        <f t="shared" ref="H256:K256" si="107">H121</f>
        <v>2617349.9505401924</v>
      </c>
      <c r="I256" s="60">
        <f t="shared" si="107"/>
        <v>2758732.6327753123</v>
      </c>
      <c r="J256" s="60">
        <f t="shared" si="107"/>
        <v>499240.92507569271</v>
      </c>
      <c r="K256" s="60">
        <f t="shared" si="107"/>
        <v>476325.76661471836</v>
      </c>
      <c r="L256" s="60">
        <f t="shared" ref="L256:M256" si="108">L121</f>
        <v>454462.41392710281</v>
      </c>
      <c r="M256" s="60">
        <f t="shared" si="108"/>
        <v>433602.5891278488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2243985.5927773579</v>
      </c>
      <c r="H257" s="60">
        <f t="shared" ref="H257:K257" si="110">H248</f>
        <v>2349515.0762485173</v>
      </c>
      <c r="I257" s="60">
        <f t="shared" si="110"/>
        <v>2433805.3393092719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250359.4784595822</v>
      </c>
      <c r="H258" s="25">
        <f t="shared" ref="H258:K258" si="113">H256-H257</f>
        <v>267834.87429167517</v>
      </c>
      <c r="I258" s="25">
        <f t="shared" si="113"/>
        <v>324927.2934660404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0.11156911134608259</v>
      </c>
      <c r="H259" s="61">
        <f t="shared" ref="H259:K259" si="116">H258/H257</f>
        <v>0.11399581002873516</v>
      </c>
      <c r="I259" s="61">
        <f t="shared" si="116"/>
        <v>0.13350586762960123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0.10577263093813177</v>
      </c>
      <c r="H261" s="64">
        <f t="shared" ref="H261:K261" si="118">LN(H256/H257)</f>
        <v>0.10795338030298759</v>
      </c>
      <c r="I261" s="64">
        <f t="shared" si="118"/>
        <v>0.12531536751102604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I10" sqref="I1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5" t="s">
        <v>168</v>
      </c>
      <c r="D2" s="225"/>
      <c r="E2" s="225"/>
      <c r="F2" s="225"/>
      <c r="G2" s="225"/>
      <c r="H2" s="225"/>
      <c r="I2" s="225"/>
      <c r="J2" s="225"/>
      <c r="K2" s="225"/>
    </row>
    <row r="3" spans="3:17" s="92" customFormat="1" ht="23.25" customHeight="1" x14ac:dyDescent="0.25">
      <c r="C3" s="235" t="str">
        <f>'Model Inputs'!F5</f>
        <v>Renfrew Hydro Inc.</v>
      </c>
      <c r="D3" s="235"/>
      <c r="E3" s="235"/>
      <c r="F3" s="235"/>
      <c r="G3" s="235"/>
      <c r="H3" s="235"/>
      <c r="I3" s="235"/>
      <c r="J3" s="235"/>
      <c r="K3" s="235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2494345.0712369401</v>
      </c>
      <c r="G10" s="86">
        <f>'Benchmarking Calculations'!H121</f>
        <v>2617349.9505401924</v>
      </c>
      <c r="H10" s="86">
        <f>'Benchmarking Calculations'!I121</f>
        <v>2758732.6327753123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2243985.5927773579</v>
      </c>
      <c r="G12" s="86">
        <f>'Benchmarking Calculations'!H257</f>
        <v>2349515.0762485173</v>
      </c>
      <c r="H12" s="86">
        <f>'Benchmarking Calculations'!I257</f>
        <v>2433805.3393092719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250359.4784595822</v>
      </c>
      <c r="G14" s="86">
        <f t="shared" si="0"/>
        <v>267834.87429167517</v>
      </c>
      <c r="H14" s="86">
        <f t="shared" si="0"/>
        <v>324927.2934660404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0.10577263093813177</v>
      </c>
      <c r="G16" s="167">
        <f t="shared" ref="G16:H16" si="2">LN(G10/G12)</f>
        <v>0.10795338030298759</v>
      </c>
      <c r="H16" s="167">
        <f t="shared" si="2"/>
        <v>0.12531536751102604</v>
      </c>
      <c r="I16" s="148" t="str">
        <f>IF(ISNUMBER(I14),LN(I10/I12),"na")</f>
        <v>na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0.1130137929173818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4</v>
      </c>
      <c r="G22" s="149">
        <f t="shared" ref="G22" si="5">IF(G16&lt;-0.25,1,IF(G16&lt;-0.1,2,IF(G16&lt;0.1,3,IF(G16&lt;0.25,4,5))))</f>
        <v>4</v>
      </c>
      <c r="H22" s="149">
        <f>IF($H$16&lt;-0.25,1,IF($H$16&lt;-0.1,2,IF($H$16&lt;0.1,3,IF($H$16&lt;0.25,4,5))))</f>
        <v>4</v>
      </c>
      <c r="I22" s="149" t="str">
        <f>IF(ISNUMBER(I16),IF(I16&lt;-0.25,1,IF(I16&lt;-0.1,2,IF(I16&lt;0.1,3,IF(I16&lt;0.25,4,5)))),"na")</f>
        <v>na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4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Cindy Marshall</cp:lastModifiedBy>
  <cp:lastPrinted>2016-10-06T15:29:07Z</cp:lastPrinted>
  <dcterms:created xsi:type="dcterms:W3CDTF">2016-07-20T15:58:10Z</dcterms:created>
  <dcterms:modified xsi:type="dcterms:W3CDTF">2016-10-06T20:20:38Z</dcterms:modified>
</cp:coreProperties>
</file>