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ommon\CNPI_2017_CoS\Interrogatories\Drafts\Model Updates\"/>
    </mc:Choice>
  </mc:AlternateContent>
  <bookViews>
    <workbookView xWindow="0" yWindow="0" windowWidth="28800" windowHeight="12030" tabRatio="838" firstSheet="8" activeTab="11"/>
  </bookViews>
  <sheets>
    <sheet name="Combined Monthly Data" sheetId="9" r:id="rId1"/>
    <sheet name="Weather Data" sheetId="14" r:id="rId2"/>
    <sheet name="Employment Data" sheetId="15" r:id="rId3"/>
    <sheet name="Wholesale OLS model" sheetId="20" r:id="rId4"/>
    <sheet name="Wholesale Predicted Monthly" sheetId="21" r:id="rId5"/>
    <sheet name="Model Annual Summary" sheetId="18" r:id="rId6"/>
    <sheet name="Wholesale Normalized Monthly" sheetId="22" r:id="rId7"/>
    <sheet name="Connection count " sheetId="25" r:id="rId8"/>
    <sheet name="Normalized Annual Summary" sheetId="26" r:id="rId9"/>
    <sheet name="kW Forecast" sheetId="27" r:id="rId10"/>
    <sheet name="2015-2020 Target" sheetId="28" r:id="rId11"/>
    <sheet name="Load Forecast Adj" sheetId="30" r:id="rId12"/>
    <sheet name="Summary Tables" sheetId="31" r:id="rId13"/>
    <sheet name="Monthly Data-EOP" sheetId="1" state="hidden" r:id="rId14"/>
    <sheet name="Monthly Data-FE" sheetId="2" state="hidden" r:id="rId15"/>
    <sheet name="Monthly Data-PC" sheetId="3" state="hidden" r:id="rId16"/>
    <sheet name="EOP Class Annual" sheetId="4" state="hidden" r:id="rId17"/>
    <sheet name="FE Class Annual" sheetId="5" state="hidden" r:id="rId18"/>
    <sheet name="PC Class Annual" sheetId="6" state="hidden" r:id="rId19"/>
    <sheet name="Tables" sheetId="7" state="hidden" r:id="rId20"/>
    <sheet name="JBL and OLG Slots" sheetId="8" state="hidden" r:id="rId21"/>
  </sheets>
  <calcPr calcId="152511"/>
</workbook>
</file>

<file path=xl/calcChain.xml><?xml version="1.0" encoding="utf-8"?>
<calcChain xmlns="http://schemas.openxmlformats.org/spreadsheetml/2006/main">
  <c r="Y19" i="30" l="1"/>
  <c r="R97" i="22"/>
  <c r="R96" i="22"/>
  <c r="R95" i="22"/>
  <c r="R94" i="22"/>
  <c r="R93" i="22"/>
  <c r="R92" i="22"/>
  <c r="R91" i="22"/>
  <c r="R90" i="22"/>
  <c r="R89" i="22"/>
  <c r="R88" i="22"/>
  <c r="R87" i="22"/>
  <c r="R86" i="22"/>
  <c r="R109" i="22"/>
  <c r="R108" i="22"/>
  <c r="R107" i="22"/>
  <c r="R106" i="22"/>
  <c r="R105" i="22"/>
  <c r="R104" i="22"/>
  <c r="R103" i="22"/>
  <c r="R102" i="22"/>
  <c r="R101" i="22"/>
  <c r="R100" i="22"/>
  <c r="R99" i="22"/>
  <c r="R98" i="22"/>
  <c r="R85" i="22"/>
  <c r="R84" i="22"/>
  <c r="R83" i="22"/>
  <c r="R82" i="22"/>
  <c r="R81" i="22"/>
  <c r="R80" i="22"/>
  <c r="R79" i="22"/>
  <c r="R78" i="22"/>
  <c r="R77" i="22"/>
  <c r="R76" i="22"/>
  <c r="R75" i="22"/>
  <c r="R74" i="22"/>
  <c r="R73" i="22"/>
  <c r="R72" i="22"/>
  <c r="R71" i="22"/>
  <c r="R70" i="22"/>
  <c r="R69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3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R6" i="22"/>
  <c r="R5" i="22"/>
  <c r="R4" i="22"/>
  <c r="R3" i="22"/>
  <c r="R85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2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9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AE85" i="21"/>
  <c r="AE84" i="21"/>
  <c r="AE83" i="21"/>
  <c r="AE82" i="21"/>
  <c r="AE81" i="21"/>
  <c r="AE80" i="21"/>
  <c r="AE79" i="21"/>
  <c r="AE78" i="21"/>
  <c r="AE77" i="21"/>
  <c r="AE76" i="21"/>
  <c r="AE75" i="21"/>
  <c r="AE74" i="21"/>
  <c r="AE73" i="21"/>
  <c r="AE72" i="21"/>
  <c r="AE71" i="21"/>
  <c r="AE70" i="21"/>
  <c r="AE69" i="21"/>
  <c r="AE68" i="21"/>
  <c r="AE67" i="21"/>
  <c r="AE66" i="21"/>
  <c r="AE65" i="21"/>
  <c r="AE64" i="21"/>
  <c r="AE63" i="21"/>
  <c r="AE62" i="21"/>
  <c r="AE61" i="21"/>
  <c r="AE60" i="21"/>
  <c r="AE59" i="21"/>
  <c r="AE58" i="21"/>
  <c r="AE57" i="21"/>
  <c r="AE56" i="21"/>
  <c r="AE55" i="21"/>
  <c r="AE54" i="21"/>
  <c r="AE53" i="21"/>
  <c r="AE52" i="21"/>
  <c r="AE51" i="21"/>
  <c r="AE50" i="21"/>
  <c r="AE49" i="21"/>
  <c r="AE48" i="21"/>
  <c r="AE47" i="21"/>
  <c r="AE46" i="21"/>
  <c r="AE45" i="21"/>
  <c r="AE44" i="21"/>
  <c r="AE43" i="21"/>
  <c r="AE42" i="21"/>
  <c r="AE41" i="21"/>
  <c r="AE40" i="21"/>
  <c r="AE39" i="21"/>
  <c r="AE38" i="21"/>
  <c r="AE37" i="21"/>
  <c r="AE36" i="21"/>
  <c r="AE35" i="21"/>
  <c r="AE34" i="21"/>
  <c r="AE33" i="21"/>
  <c r="AE32" i="21"/>
  <c r="AE31" i="21"/>
  <c r="AE30" i="21"/>
  <c r="AE29" i="21"/>
  <c r="AE28" i="21"/>
  <c r="AE27" i="21"/>
  <c r="AE26" i="21"/>
  <c r="AE25" i="21"/>
  <c r="AE24" i="21"/>
  <c r="AE23" i="21"/>
  <c r="AE22" i="21"/>
  <c r="AE21" i="21"/>
  <c r="AE20" i="21"/>
  <c r="AE19" i="21"/>
  <c r="AE18" i="21"/>
  <c r="AE17" i="21"/>
  <c r="AE16" i="21"/>
  <c r="AE15" i="21"/>
  <c r="AE14" i="21"/>
  <c r="AE13" i="21"/>
  <c r="AE12" i="21"/>
  <c r="AE11" i="21"/>
  <c r="AE10" i="21"/>
  <c r="AE9" i="21"/>
  <c r="AE8" i="21"/>
  <c r="AE7" i="21"/>
  <c r="AE6" i="21"/>
  <c r="AE5" i="21"/>
  <c r="AE4" i="21"/>
  <c r="AE3" i="21"/>
  <c r="AE2" i="21"/>
  <c r="R2" i="21"/>
  <c r="R2" i="22"/>
  <c r="R1" i="22"/>
  <c r="G85" i="9" l="1"/>
  <c r="G84" i="9"/>
  <c r="G83" i="9"/>
  <c r="G82" i="9"/>
  <c r="G81" i="9"/>
  <c r="G80" i="9"/>
  <c r="G79" i="9"/>
  <c r="G78" i="9"/>
  <c r="H78" i="9" s="1"/>
  <c r="G77" i="9"/>
  <c r="G76" i="9"/>
  <c r="G75" i="9"/>
  <c r="G74" i="9"/>
  <c r="H74" i="9" s="1"/>
  <c r="G73" i="9"/>
  <c r="G72" i="9"/>
  <c r="G71" i="9"/>
  <c r="G70" i="9"/>
  <c r="H70" i="9" s="1"/>
  <c r="G69" i="9"/>
  <c r="G68" i="9"/>
  <c r="G67" i="9"/>
  <c r="G66" i="9"/>
  <c r="H66" i="9" s="1"/>
  <c r="G65" i="9"/>
  <c r="G64" i="9"/>
  <c r="G63" i="9"/>
  <c r="G62" i="9"/>
  <c r="H62" i="9" s="1"/>
  <c r="G61" i="9"/>
  <c r="G60" i="9"/>
  <c r="G59" i="9"/>
  <c r="G58" i="9"/>
  <c r="H58" i="9" s="1"/>
  <c r="G57" i="9"/>
  <c r="G56" i="9"/>
  <c r="G55" i="9"/>
  <c r="G54" i="9"/>
  <c r="H54" i="9" s="1"/>
  <c r="G53" i="9"/>
  <c r="G52" i="9"/>
  <c r="G51" i="9"/>
  <c r="G50" i="9"/>
  <c r="H50" i="9" s="1"/>
  <c r="G49" i="9"/>
  <c r="G48" i="9"/>
  <c r="G47" i="9"/>
  <c r="G46" i="9"/>
  <c r="G45" i="9"/>
  <c r="G44" i="9"/>
  <c r="G43" i="9"/>
  <c r="G42" i="9"/>
  <c r="H42" i="9" s="1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F85" i="9"/>
  <c r="H85" i="9" s="1"/>
  <c r="F84" i="9"/>
  <c r="H84" i="9" s="1"/>
  <c r="F83" i="9"/>
  <c r="H83" i="9" s="1"/>
  <c r="H82" i="9"/>
  <c r="F82" i="9"/>
  <c r="F81" i="9"/>
  <c r="H81" i="9" s="1"/>
  <c r="F80" i="9"/>
  <c r="H80" i="9" s="1"/>
  <c r="F79" i="9"/>
  <c r="H79" i="9" s="1"/>
  <c r="F78" i="9"/>
  <c r="F77" i="9"/>
  <c r="H77" i="9" s="1"/>
  <c r="F76" i="9"/>
  <c r="H76" i="9" s="1"/>
  <c r="F75" i="9"/>
  <c r="H75" i="9" s="1"/>
  <c r="F74" i="9"/>
  <c r="F73" i="9"/>
  <c r="H73" i="9" s="1"/>
  <c r="F72" i="9"/>
  <c r="H72" i="9" s="1"/>
  <c r="F71" i="9"/>
  <c r="H71" i="9" s="1"/>
  <c r="F70" i="9"/>
  <c r="F69" i="9"/>
  <c r="H69" i="9" s="1"/>
  <c r="F68" i="9"/>
  <c r="H68" i="9" s="1"/>
  <c r="F67" i="9"/>
  <c r="H67" i="9" s="1"/>
  <c r="F66" i="9"/>
  <c r="F65" i="9"/>
  <c r="H65" i="9" s="1"/>
  <c r="F64" i="9"/>
  <c r="H64" i="9" s="1"/>
  <c r="F63" i="9"/>
  <c r="F62" i="9"/>
  <c r="F61" i="9"/>
  <c r="H61" i="9" s="1"/>
  <c r="F60" i="9"/>
  <c r="H60" i="9" s="1"/>
  <c r="F59" i="9"/>
  <c r="H59" i="9" s="1"/>
  <c r="F58" i="9"/>
  <c r="F57" i="9"/>
  <c r="H57" i="9" s="1"/>
  <c r="F56" i="9"/>
  <c r="H56" i="9" s="1"/>
  <c r="F55" i="9"/>
  <c r="H55" i="9" s="1"/>
  <c r="F54" i="9"/>
  <c r="F53" i="9"/>
  <c r="H53" i="9" s="1"/>
  <c r="F52" i="9"/>
  <c r="H52" i="9" s="1"/>
  <c r="F51" i="9"/>
  <c r="H51" i="9" s="1"/>
  <c r="F50" i="9"/>
  <c r="F49" i="9"/>
  <c r="H49" i="9" s="1"/>
  <c r="F48" i="9"/>
  <c r="H48" i="9" s="1"/>
  <c r="F47" i="9"/>
  <c r="H47" i="9" s="1"/>
  <c r="F46" i="9"/>
  <c r="F45" i="9"/>
  <c r="H45" i="9" s="1"/>
  <c r="F44" i="9"/>
  <c r="H44" i="9" s="1"/>
  <c r="F43" i="9"/>
  <c r="H43" i="9" s="1"/>
  <c r="F42" i="9"/>
  <c r="F41" i="9"/>
  <c r="H41" i="9" s="1"/>
  <c r="F40" i="9"/>
  <c r="H40" i="9" s="1"/>
  <c r="F39" i="9"/>
  <c r="H39" i="9" s="1"/>
  <c r="F38" i="9"/>
  <c r="F37" i="9"/>
  <c r="H37" i="9" s="1"/>
  <c r="F36" i="9"/>
  <c r="H36" i="9" s="1"/>
  <c r="F35" i="9"/>
  <c r="H35" i="9" s="1"/>
  <c r="F34" i="9"/>
  <c r="F33" i="9"/>
  <c r="H33" i="9" s="1"/>
  <c r="F32" i="9"/>
  <c r="H32" i="9" s="1"/>
  <c r="F31" i="9"/>
  <c r="H31" i="9" s="1"/>
  <c r="F30" i="9"/>
  <c r="F29" i="9"/>
  <c r="H29" i="9" s="1"/>
  <c r="F28" i="9"/>
  <c r="H28" i="9" s="1"/>
  <c r="F27" i="9"/>
  <c r="H27" i="9" s="1"/>
  <c r="F26" i="9"/>
  <c r="F25" i="9"/>
  <c r="H25" i="9" s="1"/>
  <c r="F24" i="9"/>
  <c r="F23" i="9"/>
  <c r="F22" i="9"/>
  <c r="F21" i="9"/>
  <c r="H21" i="9" s="1"/>
  <c r="F20" i="9"/>
  <c r="F19" i="9"/>
  <c r="F18" i="9"/>
  <c r="F17" i="9"/>
  <c r="H17" i="9" s="1"/>
  <c r="F16" i="9"/>
  <c r="F15" i="9"/>
  <c r="F14" i="9"/>
  <c r="H13" i="9"/>
  <c r="F13" i="9"/>
  <c r="F12" i="9"/>
  <c r="H12" i="9" s="1"/>
  <c r="F11" i="9"/>
  <c r="H11" i="9" s="1"/>
  <c r="F10" i="9"/>
  <c r="H9" i="9"/>
  <c r="F9" i="9"/>
  <c r="F8" i="9"/>
  <c r="H8" i="9" s="1"/>
  <c r="F7" i="9"/>
  <c r="H7" i="9" s="1"/>
  <c r="H6" i="9"/>
  <c r="F6" i="9"/>
  <c r="F5" i="9"/>
  <c r="H5" i="9" s="1"/>
  <c r="F4" i="9"/>
  <c r="H4" i="9" s="1"/>
  <c r="F3" i="9"/>
  <c r="H3" i="9" s="1"/>
  <c r="F2" i="9"/>
  <c r="H63" i="9" l="1"/>
  <c r="H15" i="9"/>
  <c r="H19" i="9"/>
  <c r="H23" i="9"/>
  <c r="H16" i="9"/>
  <c r="H20" i="9"/>
  <c r="H24" i="9"/>
  <c r="H10" i="9"/>
  <c r="H14" i="9"/>
  <c r="H18" i="9"/>
  <c r="H22" i="9"/>
  <c r="H26" i="9"/>
  <c r="H30" i="9"/>
  <c r="H34" i="9"/>
  <c r="H38" i="9"/>
  <c r="H46" i="9"/>
  <c r="H2" i="9"/>
  <c r="F44" i="31" l="1"/>
  <c r="E44" i="31"/>
  <c r="D44" i="31"/>
  <c r="C44" i="31"/>
  <c r="Z12" i="26"/>
  <c r="Z11" i="26"/>
  <c r="Z10" i="26"/>
  <c r="Z9" i="26"/>
  <c r="Z8" i="26"/>
  <c r="Z7" i="26"/>
  <c r="Z6" i="26"/>
  <c r="Z5" i="26"/>
  <c r="Z4" i="26"/>
  <c r="R7" i="30"/>
  <c r="T7" i="30" s="1"/>
  <c r="R8" i="30"/>
  <c r="T8" i="30" s="1"/>
  <c r="M8" i="30"/>
  <c r="O8" i="30" s="1"/>
  <c r="M7" i="30"/>
  <c r="O7" i="30" s="1"/>
  <c r="H8" i="30"/>
  <c r="J8" i="30" s="1"/>
  <c r="H7" i="30"/>
  <c r="J7" i="30" s="1"/>
  <c r="C8" i="30"/>
  <c r="C7" i="30"/>
  <c r="R9" i="30" l="1"/>
  <c r="M9" i="30"/>
  <c r="R16" i="30"/>
  <c r="T16" i="30" s="1"/>
  <c r="T9" i="30"/>
  <c r="Y9" i="30" s="1"/>
  <c r="D18" i="31" s="1"/>
  <c r="R15" i="30"/>
  <c r="T15" i="30" s="1"/>
  <c r="H9" i="30"/>
  <c r="M16" i="30"/>
  <c r="O16" i="30" s="1"/>
  <c r="O9" i="30"/>
  <c r="Y8" i="30" s="1"/>
  <c r="M15" i="30"/>
  <c r="O15" i="30" s="1"/>
  <c r="H16" i="30"/>
  <c r="J16" i="30" s="1"/>
  <c r="J9" i="30"/>
  <c r="Y7" i="30" s="1"/>
  <c r="H15" i="30"/>
  <c r="J15" i="30" s="1"/>
  <c r="J85" i="21"/>
  <c r="I85" i="21"/>
  <c r="H85" i="21"/>
  <c r="F85" i="21"/>
  <c r="J84" i="21"/>
  <c r="I84" i="21"/>
  <c r="H84" i="21"/>
  <c r="F84" i="21"/>
  <c r="J83" i="21"/>
  <c r="I83" i="21"/>
  <c r="H83" i="21"/>
  <c r="F83" i="21"/>
  <c r="J82" i="21"/>
  <c r="I82" i="21"/>
  <c r="H82" i="21"/>
  <c r="F82" i="21"/>
  <c r="J81" i="21"/>
  <c r="I81" i="21"/>
  <c r="H81" i="21"/>
  <c r="F81" i="21"/>
  <c r="J80" i="21"/>
  <c r="I80" i="21"/>
  <c r="H80" i="21"/>
  <c r="F80" i="21"/>
  <c r="J79" i="21"/>
  <c r="I79" i="21"/>
  <c r="H79" i="21"/>
  <c r="F79" i="21"/>
  <c r="J78" i="21"/>
  <c r="I78" i="21"/>
  <c r="H78" i="21"/>
  <c r="F78" i="21"/>
  <c r="J77" i="21"/>
  <c r="I77" i="21"/>
  <c r="H77" i="21"/>
  <c r="F77" i="21"/>
  <c r="J76" i="21"/>
  <c r="I76" i="21"/>
  <c r="H76" i="21"/>
  <c r="F76" i="21"/>
  <c r="J75" i="21"/>
  <c r="I75" i="21"/>
  <c r="H75" i="21"/>
  <c r="F75" i="21"/>
  <c r="J74" i="21"/>
  <c r="I74" i="21"/>
  <c r="H74" i="21"/>
  <c r="F74" i="21"/>
  <c r="J73" i="21"/>
  <c r="I73" i="21"/>
  <c r="H73" i="21"/>
  <c r="F73" i="21"/>
  <c r="J72" i="21"/>
  <c r="I72" i="21"/>
  <c r="H72" i="21"/>
  <c r="F72" i="21"/>
  <c r="J71" i="21"/>
  <c r="I71" i="21"/>
  <c r="H71" i="21"/>
  <c r="F71" i="21"/>
  <c r="J70" i="21"/>
  <c r="I70" i="21"/>
  <c r="H70" i="21"/>
  <c r="F70" i="21"/>
  <c r="J69" i="21"/>
  <c r="I69" i="21"/>
  <c r="H69" i="21"/>
  <c r="F69" i="21"/>
  <c r="J68" i="21"/>
  <c r="I68" i="21"/>
  <c r="H68" i="21"/>
  <c r="F68" i="21"/>
  <c r="J67" i="21"/>
  <c r="I67" i="21"/>
  <c r="H67" i="21"/>
  <c r="F67" i="21"/>
  <c r="J66" i="21"/>
  <c r="I66" i="21"/>
  <c r="H66" i="21"/>
  <c r="F66" i="21"/>
  <c r="J65" i="21"/>
  <c r="I65" i="21"/>
  <c r="H65" i="21"/>
  <c r="F65" i="21"/>
  <c r="J64" i="21"/>
  <c r="I64" i="21"/>
  <c r="H64" i="21"/>
  <c r="F64" i="21"/>
  <c r="J63" i="21"/>
  <c r="I63" i="21"/>
  <c r="H63" i="21"/>
  <c r="F63" i="21"/>
  <c r="J62" i="21"/>
  <c r="I62" i="21"/>
  <c r="H62" i="21"/>
  <c r="F62" i="21"/>
  <c r="J61" i="21"/>
  <c r="I61" i="21"/>
  <c r="H61" i="21"/>
  <c r="F61" i="21"/>
  <c r="J60" i="21"/>
  <c r="I60" i="21"/>
  <c r="H60" i="21"/>
  <c r="F60" i="21"/>
  <c r="J59" i="21"/>
  <c r="I59" i="21"/>
  <c r="H59" i="21"/>
  <c r="F59" i="21"/>
  <c r="J58" i="21"/>
  <c r="I58" i="21"/>
  <c r="H58" i="21"/>
  <c r="F58" i="21"/>
  <c r="J57" i="21"/>
  <c r="I57" i="21"/>
  <c r="H57" i="21"/>
  <c r="F57" i="21"/>
  <c r="J56" i="21"/>
  <c r="I56" i="21"/>
  <c r="H56" i="21"/>
  <c r="F56" i="21"/>
  <c r="J55" i="21"/>
  <c r="I55" i="21"/>
  <c r="H55" i="21"/>
  <c r="F55" i="21"/>
  <c r="J54" i="21"/>
  <c r="I54" i="21"/>
  <c r="H54" i="21"/>
  <c r="F54" i="21"/>
  <c r="J53" i="21"/>
  <c r="I53" i="21"/>
  <c r="H53" i="21"/>
  <c r="F53" i="21"/>
  <c r="J52" i="21"/>
  <c r="I52" i="21"/>
  <c r="H52" i="21"/>
  <c r="F52" i="21"/>
  <c r="J51" i="21"/>
  <c r="I51" i="21"/>
  <c r="H51" i="21"/>
  <c r="F51" i="21"/>
  <c r="J50" i="21"/>
  <c r="I50" i="21"/>
  <c r="H50" i="21"/>
  <c r="F50" i="21"/>
  <c r="J49" i="21"/>
  <c r="I49" i="21"/>
  <c r="H49" i="21"/>
  <c r="F49" i="21"/>
  <c r="J48" i="21"/>
  <c r="I48" i="21"/>
  <c r="H48" i="21"/>
  <c r="F48" i="21"/>
  <c r="J47" i="21"/>
  <c r="I47" i="21"/>
  <c r="H47" i="21"/>
  <c r="F47" i="21"/>
  <c r="J46" i="21"/>
  <c r="I46" i="21"/>
  <c r="H46" i="21"/>
  <c r="F46" i="21"/>
  <c r="J45" i="21"/>
  <c r="I45" i="21"/>
  <c r="H45" i="21"/>
  <c r="F45" i="21"/>
  <c r="J44" i="21"/>
  <c r="I44" i="21"/>
  <c r="H44" i="21"/>
  <c r="F44" i="21"/>
  <c r="J43" i="21"/>
  <c r="I43" i="21"/>
  <c r="H43" i="21"/>
  <c r="F43" i="21"/>
  <c r="J42" i="21"/>
  <c r="I42" i="21"/>
  <c r="H42" i="21"/>
  <c r="F42" i="21"/>
  <c r="J41" i="21"/>
  <c r="I41" i="21"/>
  <c r="H41" i="21"/>
  <c r="F41" i="21"/>
  <c r="J40" i="21"/>
  <c r="I40" i="21"/>
  <c r="H40" i="21"/>
  <c r="F40" i="21"/>
  <c r="J39" i="21"/>
  <c r="I39" i="21"/>
  <c r="H39" i="21"/>
  <c r="F39" i="21"/>
  <c r="J38" i="21"/>
  <c r="I38" i="21"/>
  <c r="H38" i="21"/>
  <c r="F38" i="21"/>
  <c r="J37" i="21"/>
  <c r="I37" i="21"/>
  <c r="H37" i="21"/>
  <c r="F37" i="21"/>
  <c r="J36" i="21"/>
  <c r="I36" i="21"/>
  <c r="H36" i="21"/>
  <c r="F36" i="21"/>
  <c r="J35" i="21"/>
  <c r="I35" i="21"/>
  <c r="H35" i="21"/>
  <c r="F35" i="21"/>
  <c r="J34" i="21"/>
  <c r="I34" i="21"/>
  <c r="H34" i="21"/>
  <c r="F34" i="21"/>
  <c r="J33" i="21"/>
  <c r="I33" i="21"/>
  <c r="H33" i="21"/>
  <c r="F33" i="21"/>
  <c r="J32" i="21"/>
  <c r="I32" i="21"/>
  <c r="H32" i="21"/>
  <c r="F32" i="21"/>
  <c r="J31" i="21"/>
  <c r="I31" i="21"/>
  <c r="H31" i="21"/>
  <c r="F31" i="21"/>
  <c r="J30" i="21"/>
  <c r="I30" i="21"/>
  <c r="H30" i="21"/>
  <c r="F30" i="21"/>
  <c r="J29" i="21"/>
  <c r="I29" i="21"/>
  <c r="H29" i="21"/>
  <c r="F29" i="21"/>
  <c r="J28" i="21"/>
  <c r="I28" i="21"/>
  <c r="H28" i="21"/>
  <c r="F28" i="21"/>
  <c r="J27" i="21"/>
  <c r="I27" i="21"/>
  <c r="H27" i="21"/>
  <c r="F27" i="21"/>
  <c r="J26" i="21"/>
  <c r="I26" i="21"/>
  <c r="H26" i="21"/>
  <c r="F26" i="21"/>
  <c r="J25" i="21"/>
  <c r="I25" i="21"/>
  <c r="H25" i="21"/>
  <c r="F25" i="21"/>
  <c r="J24" i="21"/>
  <c r="I24" i="21"/>
  <c r="H24" i="21"/>
  <c r="F24" i="21"/>
  <c r="J23" i="21"/>
  <c r="I23" i="21"/>
  <c r="H23" i="21"/>
  <c r="F23" i="21"/>
  <c r="J22" i="21"/>
  <c r="I22" i="21"/>
  <c r="H22" i="21"/>
  <c r="F22" i="21"/>
  <c r="J21" i="21"/>
  <c r="I21" i="21"/>
  <c r="H21" i="21"/>
  <c r="F21" i="21"/>
  <c r="J20" i="21"/>
  <c r="I20" i="21"/>
  <c r="H20" i="21"/>
  <c r="F20" i="21"/>
  <c r="J19" i="21"/>
  <c r="I19" i="21"/>
  <c r="H19" i="21"/>
  <c r="F19" i="21"/>
  <c r="J18" i="21"/>
  <c r="I18" i="21"/>
  <c r="H18" i="21"/>
  <c r="F18" i="21"/>
  <c r="J17" i="21"/>
  <c r="I17" i="21"/>
  <c r="H17" i="21"/>
  <c r="F17" i="21"/>
  <c r="J16" i="21"/>
  <c r="I16" i="21"/>
  <c r="H16" i="21"/>
  <c r="F16" i="21"/>
  <c r="J15" i="21"/>
  <c r="I15" i="21"/>
  <c r="H15" i="21"/>
  <c r="F15" i="21"/>
  <c r="J14" i="21"/>
  <c r="I14" i="21"/>
  <c r="H14" i="21"/>
  <c r="F14" i="21"/>
  <c r="O13" i="21"/>
  <c r="N13" i="21"/>
  <c r="M13" i="21"/>
  <c r="L13" i="21"/>
  <c r="K13" i="21"/>
  <c r="J13" i="21"/>
  <c r="I13" i="21"/>
  <c r="H13" i="21"/>
  <c r="F13" i="21"/>
  <c r="O12" i="21"/>
  <c r="N12" i="21"/>
  <c r="M12" i="21"/>
  <c r="L12" i="21"/>
  <c r="K12" i="21"/>
  <c r="J12" i="21"/>
  <c r="I12" i="21"/>
  <c r="H12" i="21"/>
  <c r="F12" i="21"/>
  <c r="O11" i="21"/>
  <c r="N11" i="21"/>
  <c r="M11" i="21"/>
  <c r="L11" i="21"/>
  <c r="K11" i="21"/>
  <c r="J11" i="21"/>
  <c r="I11" i="21"/>
  <c r="H11" i="21"/>
  <c r="F11" i="21"/>
  <c r="O10" i="21"/>
  <c r="N10" i="21"/>
  <c r="M10" i="21"/>
  <c r="L10" i="21"/>
  <c r="K10" i="21"/>
  <c r="J10" i="21"/>
  <c r="I10" i="21"/>
  <c r="H10" i="21"/>
  <c r="F10" i="21"/>
  <c r="O9" i="21"/>
  <c r="N9" i="21"/>
  <c r="M9" i="21"/>
  <c r="L9" i="21"/>
  <c r="K9" i="21"/>
  <c r="J9" i="21"/>
  <c r="I9" i="21"/>
  <c r="H9" i="21"/>
  <c r="F9" i="21"/>
  <c r="O8" i="21"/>
  <c r="N8" i="21"/>
  <c r="M8" i="21"/>
  <c r="L8" i="21"/>
  <c r="K8" i="21"/>
  <c r="J8" i="21"/>
  <c r="I8" i="21"/>
  <c r="H8" i="21"/>
  <c r="F8" i="21"/>
  <c r="O7" i="21"/>
  <c r="N7" i="21"/>
  <c r="M7" i="21"/>
  <c r="L7" i="21"/>
  <c r="K7" i="21"/>
  <c r="J7" i="21"/>
  <c r="I7" i="21"/>
  <c r="H7" i="21"/>
  <c r="F7" i="21"/>
  <c r="O6" i="21"/>
  <c r="N6" i="21"/>
  <c r="M6" i="21"/>
  <c r="L6" i="21"/>
  <c r="K6" i="21"/>
  <c r="J6" i="21"/>
  <c r="I6" i="21"/>
  <c r="H6" i="21"/>
  <c r="F6" i="21"/>
  <c r="O5" i="21"/>
  <c r="N5" i="21"/>
  <c r="M5" i="21"/>
  <c r="L5" i="21"/>
  <c r="K5" i="21"/>
  <c r="J5" i="21"/>
  <c r="I5" i="21"/>
  <c r="H5" i="21"/>
  <c r="F5" i="21"/>
  <c r="O4" i="21"/>
  <c r="N4" i="21"/>
  <c r="M4" i="21"/>
  <c r="L4" i="21"/>
  <c r="K4" i="21"/>
  <c r="J4" i="21"/>
  <c r="I4" i="21"/>
  <c r="H4" i="21"/>
  <c r="F4" i="21"/>
  <c r="O3" i="21"/>
  <c r="N3" i="21"/>
  <c r="M3" i="21"/>
  <c r="L3" i="21"/>
  <c r="K3" i="21"/>
  <c r="J3" i="21"/>
  <c r="I3" i="21"/>
  <c r="H3" i="21"/>
  <c r="F3" i="21"/>
  <c r="O2" i="21"/>
  <c r="N2" i="21"/>
  <c r="M2" i="21"/>
  <c r="L2" i="21"/>
  <c r="K2" i="21"/>
  <c r="J2" i="21"/>
  <c r="I2" i="21"/>
  <c r="H2" i="21"/>
  <c r="G2" i="21"/>
  <c r="F2" i="21"/>
  <c r="O1" i="21"/>
  <c r="N1" i="21"/>
  <c r="M1" i="21"/>
  <c r="L1" i="21"/>
  <c r="K1" i="21"/>
  <c r="J1" i="21"/>
  <c r="I1" i="21"/>
  <c r="H1" i="21"/>
  <c r="G1" i="21"/>
  <c r="F1" i="21"/>
  <c r="E1" i="21"/>
  <c r="D1" i="21"/>
  <c r="B1" i="21"/>
  <c r="AI3" i="9"/>
  <c r="AI4" i="9" s="1"/>
  <c r="AI5" i="9" s="1"/>
  <c r="AI6" i="9" s="1"/>
  <c r="AI7" i="9" s="1"/>
  <c r="AI8" i="9" s="1"/>
  <c r="AI9" i="9" s="1"/>
  <c r="AI10" i="9" s="1"/>
  <c r="AI11" i="9" s="1"/>
  <c r="AI12" i="9" s="1"/>
  <c r="AI13" i="9" s="1"/>
  <c r="G13" i="21" s="1"/>
  <c r="G11" i="21" l="1"/>
  <c r="G9" i="21"/>
  <c r="G5" i="21"/>
  <c r="G7" i="21"/>
  <c r="G3" i="21"/>
  <c r="G10" i="21"/>
  <c r="G6" i="21"/>
  <c r="R17" i="30"/>
  <c r="T17" i="30"/>
  <c r="Y18" i="30" s="1"/>
  <c r="M17" i="30"/>
  <c r="O17" i="30"/>
  <c r="Y17" i="30" s="1"/>
  <c r="H17" i="30"/>
  <c r="J17" i="30"/>
  <c r="Y16" i="30" s="1"/>
  <c r="G4" i="21"/>
  <c r="G8" i="21"/>
  <c r="G12" i="21"/>
  <c r="C16" i="30"/>
  <c r="E16" i="30" s="1"/>
  <c r="C15" i="30"/>
  <c r="E15" i="30" s="1"/>
  <c r="AP12" i="26"/>
  <c r="AP11" i="26"/>
  <c r="AP10" i="26"/>
  <c r="AP9" i="26"/>
  <c r="AP8" i="26"/>
  <c r="AP7" i="26"/>
  <c r="AP6" i="26"/>
  <c r="AK12" i="26"/>
  <c r="AK11" i="26"/>
  <c r="AK10" i="26"/>
  <c r="AK9" i="26"/>
  <c r="AK8" i="26"/>
  <c r="AK7" i="26"/>
  <c r="AK6" i="26"/>
  <c r="E17" i="30" l="1"/>
  <c r="Y15" i="30" s="1"/>
  <c r="H12" i="26"/>
  <c r="N12" i="26" s="1"/>
  <c r="H11" i="26"/>
  <c r="N11" i="26" s="1"/>
  <c r="H10" i="26"/>
  <c r="N10" i="26" s="1"/>
  <c r="T10" i="26" s="1"/>
  <c r="H9" i="26"/>
  <c r="N9" i="26" s="1"/>
  <c r="H8" i="26"/>
  <c r="N8" i="26" s="1"/>
  <c r="H7" i="26"/>
  <c r="N7" i="26" s="1"/>
  <c r="H6" i="26"/>
  <c r="N6" i="26" s="1"/>
  <c r="T6" i="26" s="1"/>
  <c r="H5" i="26"/>
  <c r="N4" i="26"/>
  <c r="H4" i="26"/>
  <c r="C9" i="30"/>
  <c r="E8" i="30"/>
  <c r="E7" i="30"/>
  <c r="C17" i="30" l="1"/>
  <c r="AF6" i="26"/>
  <c r="AF10" i="26"/>
  <c r="T4" i="26"/>
  <c r="T9" i="26"/>
  <c r="T11" i="26"/>
  <c r="AF11" i="26" s="1"/>
  <c r="T8" i="26"/>
  <c r="T7" i="26"/>
  <c r="T12" i="26"/>
  <c r="AF12" i="26" s="1"/>
  <c r="N5" i="26"/>
  <c r="E9" i="30"/>
  <c r="Y6" i="30" s="1"/>
  <c r="Y10" i="30" l="1"/>
  <c r="D14" i="31"/>
  <c r="AF7" i="26"/>
  <c r="AF9" i="26"/>
  <c r="AF8" i="26"/>
  <c r="AF4" i="26"/>
  <c r="T5" i="26"/>
  <c r="AK4" i="26" l="1"/>
  <c r="AF5" i="26"/>
  <c r="AP4" i="26" l="1"/>
  <c r="AK5" i="26"/>
  <c r="AP5" i="26" l="1"/>
  <c r="Y109" i="22" l="1"/>
  <c r="W109" i="22"/>
  <c r="Q109" i="22"/>
  <c r="Y108" i="22"/>
  <c r="W108" i="22"/>
  <c r="Q108" i="22"/>
  <c r="Y107" i="22"/>
  <c r="W107" i="22"/>
  <c r="Q107" i="22"/>
  <c r="Y106" i="22"/>
  <c r="W106" i="22"/>
  <c r="Q106" i="22"/>
  <c r="Y105" i="22"/>
  <c r="W105" i="22"/>
  <c r="Q105" i="22"/>
  <c r="Y104" i="22"/>
  <c r="W104" i="22"/>
  <c r="Q104" i="22"/>
  <c r="Y103" i="22"/>
  <c r="W103" i="22"/>
  <c r="Q103" i="22"/>
  <c r="Y102" i="22"/>
  <c r="W102" i="22"/>
  <c r="Q102" i="22"/>
  <c r="Y101" i="22"/>
  <c r="W101" i="22"/>
  <c r="Q101" i="22"/>
  <c r="Y100" i="22"/>
  <c r="W100" i="22"/>
  <c r="Q100" i="22"/>
  <c r="Y99" i="22"/>
  <c r="W99" i="22"/>
  <c r="Q99" i="22"/>
  <c r="Y98" i="22"/>
  <c r="W98" i="22"/>
  <c r="Q98" i="22"/>
  <c r="Y97" i="22"/>
  <c r="W97" i="22"/>
  <c r="Q97" i="22"/>
  <c r="Y96" i="22"/>
  <c r="W96" i="22"/>
  <c r="Q96" i="22"/>
  <c r="Y95" i="22"/>
  <c r="W95" i="22"/>
  <c r="Q95" i="22"/>
  <c r="Y94" i="22"/>
  <c r="W94" i="22"/>
  <c r="Q94" i="22"/>
  <c r="Y93" i="22"/>
  <c r="W93" i="22"/>
  <c r="Q93" i="22"/>
  <c r="Y92" i="22"/>
  <c r="W92" i="22"/>
  <c r="Q92" i="22"/>
  <c r="Y91" i="22"/>
  <c r="W91" i="22"/>
  <c r="Q91" i="22"/>
  <c r="Y90" i="22"/>
  <c r="W90" i="22"/>
  <c r="Q90" i="22"/>
  <c r="Y89" i="22"/>
  <c r="W89" i="22"/>
  <c r="Q89" i="22"/>
  <c r="Y88" i="22"/>
  <c r="W88" i="22"/>
  <c r="Q88" i="22"/>
  <c r="Y87" i="22"/>
  <c r="W87" i="22"/>
  <c r="Q87" i="22"/>
  <c r="Y86" i="22"/>
  <c r="W86" i="22"/>
  <c r="Q86" i="22"/>
  <c r="E13" i="22"/>
  <c r="E25" i="22" s="1"/>
  <c r="E37" i="22" s="1"/>
  <c r="E49" i="22" s="1"/>
  <c r="E61" i="22" s="1"/>
  <c r="E73" i="22" s="1"/>
  <c r="E85" i="22" s="1"/>
  <c r="E97" i="22" s="1"/>
  <c r="J4" i="15"/>
  <c r="J3" i="15"/>
  <c r="E109" i="22" l="1"/>
  <c r="T109" i="22" s="1"/>
  <c r="T97" i="22"/>
  <c r="Q54" i="14"/>
  <c r="P54" i="14"/>
  <c r="O54" i="14"/>
  <c r="N54" i="14"/>
  <c r="M54" i="14"/>
  <c r="L54" i="14"/>
  <c r="K54" i="14"/>
  <c r="J54" i="14"/>
  <c r="I54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Q53" i="14"/>
  <c r="P53" i="14"/>
  <c r="O53" i="14"/>
  <c r="N53" i="14"/>
  <c r="M53" i="14"/>
  <c r="L53" i="14"/>
  <c r="K53" i="14"/>
  <c r="J53" i="14"/>
  <c r="I53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Q9" i="14"/>
  <c r="P9" i="14"/>
  <c r="O9" i="14"/>
  <c r="N9" i="14"/>
  <c r="M9" i="14"/>
  <c r="L9" i="14"/>
  <c r="K9" i="14"/>
  <c r="J9" i="14"/>
  <c r="I9" i="14"/>
  <c r="H9" i="14"/>
  <c r="G9" i="14"/>
  <c r="F9" i="14"/>
  <c r="Q8" i="14"/>
  <c r="P8" i="14"/>
  <c r="O8" i="14"/>
  <c r="N8" i="14"/>
  <c r="M8" i="14"/>
  <c r="L8" i="14"/>
  <c r="K8" i="14"/>
  <c r="J8" i="14"/>
  <c r="I8" i="14"/>
  <c r="H8" i="14"/>
  <c r="G8" i="14"/>
  <c r="F8" i="14"/>
  <c r="Q7" i="14"/>
  <c r="P7" i="14"/>
  <c r="O7" i="14"/>
  <c r="N7" i="14"/>
  <c r="M7" i="14"/>
  <c r="L7" i="14"/>
  <c r="K7" i="14"/>
  <c r="J7" i="14"/>
  <c r="I7" i="14"/>
  <c r="H7" i="14"/>
  <c r="G7" i="14"/>
  <c r="F7" i="14"/>
  <c r="Q6" i="14"/>
  <c r="P6" i="14"/>
  <c r="O6" i="14"/>
  <c r="N6" i="14"/>
  <c r="M6" i="14"/>
  <c r="L6" i="14"/>
  <c r="K6" i="14"/>
  <c r="J6" i="14"/>
  <c r="I6" i="14"/>
  <c r="H6" i="14"/>
  <c r="G6" i="14"/>
  <c r="F6" i="14"/>
  <c r="Q5" i="14"/>
  <c r="P5" i="14"/>
  <c r="O5" i="14"/>
  <c r="N5" i="14"/>
  <c r="M5" i="14"/>
  <c r="L5" i="14"/>
  <c r="K5" i="14"/>
  <c r="J5" i="14"/>
  <c r="I5" i="14"/>
  <c r="H5" i="14"/>
  <c r="G5" i="14"/>
  <c r="F5" i="14"/>
  <c r="Q4" i="14"/>
  <c r="P4" i="14"/>
  <c r="O4" i="14"/>
  <c r="N4" i="14"/>
  <c r="M4" i="14"/>
  <c r="L4" i="14"/>
  <c r="K4" i="14"/>
  <c r="J4" i="14"/>
  <c r="I4" i="14"/>
  <c r="H4" i="14"/>
  <c r="G4" i="14"/>
  <c r="F4" i="14"/>
  <c r="Q3" i="14"/>
  <c r="P3" i="14"/>
  <c r="O3" i="14"/>
  <c r="N3" i="14"/>
  <c r="M3" i="14"/>
  <c r="L3" i="14"/>
  <c r="K3" i="14"/>
  <c r="J3" i="14"/>
  <c r="I3" i="14"/>
  <c r="H3" i="14"/>
  <c r="G3" i="14"/>
  <c r="F3" i="14"/>
  <c r="Q2" i="14"/>
  <c r="P2" i="14"/>
  <c r="O2" i="14"/>
  <c r="N2" i="14"/>
  <c r="M2" i="14"/>
  <c r="L2" i="14"/>
  <c r="K2" i="14"/>
  <c r="J2" i="14"/>
  <c r="I2" i="14"/>
  <c r="H2" i="14"/>
  <c r="G2" i="14"/>
  <c r="F2" i="14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T73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5" i="22"/>
  <c r="Q4" i="22"/>
  <c r="Q3" i="22"/>
  <c r="Q2" i="22"/>
  <c r="Q1" i="22"/>
  <c r="J85" i="22"/>
  <c r="Y85" i="22" s="1"/>
  <c r="I85" i="22"/>
  <c r="J84" i="22"/>
  <c r="Y84" i="22" s="1"/>
  <c r="I84" i="22"/>
  <c r="X84" i="22" s="1"/>
  <c r="I83" i="22"/>
  <c r="X83" i="22" s="1"/>
  <c r="J82" i="22"/>
  <c r="Y82" i="22" s="1"/>
  <c r="J81" i="22"/>
  <c r="Y81" i="22" s="1"/>
  <c r="I81" i="22"/>
  <c r="X81" i="22" s="1"/>
  <c r="J80" i="22"/>
  <c r="Y80" i="22" s="1"/>
  <c r="I80" i="22"/>
  <c r="X80" i="22" s="1"/>
  <c r="I79" i="22"/>
  <c r="X79" i="22" s="1"/>
  <c r="J78" i="22"/>
  <c r="Y78" i="22" s="1"/>
  <c r="J77" i="22"/>
  <c r="Y77" i="22" s="1"/>
  <c r="I77" i="22"/>
  <c r="X77" i="22" s="1"/>
  <c r="J76" i="22"/>
  <c r="Y76" i="22" s="1"/>
  <c r="I76" i="22"/>
  <c r="X76" i="22" s="1"/>
  <c r="I75" i="22"/>
  <c r="X75" i="22" s="1"/>
  <c r="J74" i="22"/>
  <c r="Y74" i="22" s="1"/>
  <c r="J73" i="22"/>
  <c r="Y73" i="22" s="1"/>
  <c r="I73" i="22"/>
  <c r="X73" i="22" s="1"/>
  <c r="J72" i="22"/>
  <c r="Y72" i="22" s="1"/>
  <c r="I72" i="22"/>
  <c r="X72" i="22" s="1"/>
  <c r="I71" i="22"/>
  <c r="X71" i="22" s="1"/>
  <c r="J70" i="22"/>
  <c r="Y70" i="22" s="1"/>
  <c r="J69" i="22"/>
  <c r="Y69" i="22" s="1"/>
  <c r="I69" i="22"/>
  <c r="X69" i="22" s="1"/>
  <c r="J68" i="22"/>
  <c r="Y68" i="22" s="1"/>
  <c r="I68" i="22"/>
  <c r="X68" i="22" s="1"/>
  <c r="I67" i="22"/>
  <c r="X67" i="22" s="1"/>
  <c r="J66" i="22"/>
  <c r="Y66" i="22" s="1"/>
  <c r="X66" i="21"/>
  <c r="J65" i="22"/>
  <c r="Y65" i="22" s="1"/>
  <c r="I65" i="22"/>
  <c r="X65" i="22" s="1"/>
  <c r="J64" i="22"/>
  <c r="Y64" i="22" s="1"/>
  <c r="I64" i="22"/>
  <c r="X64" i="22" s="1"/>
  <c r="Y63" i="21"/>
  <c r="I63" i="22"/>
  <c r="X63" i="22" s="1"/>
  <c r="J62" i="22"/>
  <c r="Y62" i="22" s="1"/>
  <c r="J61" i="22"/>
  <c r="Y61" i="22" s="1"/>
  <c r="I61" i="22"/>
  <c r="X61" i="22" s="1"/>
  <c r="J60" i="22"/>
  <c r="Y60" i="22" s="1"/>
  <c r="I60" i="22"/>
  <c r="X60" i="22" s="1"/>
  <c r="I59" i="22"/>
  <c r="X59" i="22" s="1"/>
  <c r="J58" i="22"/>
  <c r="Y58" i="22" s="1"/>
  <c r="J57" i="22"/>
  <c r="Y57" i="22" s="1"/>
  <c r="I57" i="22"/>
  <c r="X57" i="22" s="1"/>
  <c r="J56" i="22"/>
  <c r="Y56" i="22" s="1"/>
  <c r="I56" i="22"/>
  <c r="X56" i="22" s="1"/>
  <c r="I55" i="22"/>
  <c r="X55" i="22" s="1"/>
  <c r="J54" i="22"/>
  <c r="Y54" i="22" s="1"/>
  <c r="J53" i="22"/>
  <c r="Y53" i="22" s="1"/>
  <c r="I53" i="22"/>
  <c r="X53" i="22" s="1"/>
  <c r="J52" i="22"/>
  <c r="Y52" i="22" s="1"/>
  <c r="I52" i="22"/>
  <c r="X52" i="22" s="1"/>
  <c r="I51" i="22"/>
  <c r="X51" i="22" s="1"/>
  <c r="J50" i="22"/>
  <c r="Y50" i="22" s="1"/>
  <c r="J49" i="22"/>
  <c r="Y49" i="22" s="1"/>
  <c r="I49" i="22"/>
  <c r="X49" i="22" s="1"/>
  <c r="J48" i="22"/>
  <c r="Y48" i="22" s="1"/>
  <c r="I48" i="22"/>
  <c r="X48" i="22" s="1"/>
  <c r="I47" i="22"/>
  <c r="X47" i="22" s="1"/>
  <c r="J46" i="22"/>
  <c r="Y46" i="22" s="1"/>
  <c r="J45" i="22"/>
  <c r="Y45" i="22" s="1"/>
  <c r="I45" i="22"/>
  <c r="X45" i="22" s="1"/>
  <c r="J44" i="22"/>
  <c r="Y44" i="22" s="1"/>
  <c r="I44" i="22"/>
  <c r="X44" i="22" s="1"/>
  <c r="I43" i="22"/>
  <c r="X43" i="22" s="1"/>
  <c r="J42" i="22"/>
  <c r="Y42" i="22" s="1"/>
  <c r="J41" i="22"/>
  <c r="Y41" i="22" s="1"/>
  <c r="I41" i="22"/>
  <c r="X41" i="22" s="1"/>
  <c r="J40" i="22"/>
  <c r="Y40" i="22" s="1"/>
  <c r="I40" i="22"/>
  <c r="X40" i="22" s="1"/>
  <c r="I39" i="22"/>
  <c r="X39" i="22" s="1"/>
  <c r="J38" i="22"/>
  <c r="Y38" i="22" s="1"/>
  <c r="J37" i="22"/>
  <c r="Y37" i="22" s="1"/>
  <c r="I37" i="22"/>
  <c r="X37" i="22" s="1"/>
  <c r="J36" i="22"/>
  <c r="Y36" i="22" s="1"/>
  <c r="I36" i="22"/>
  <c r="X36" i="22" s="1"/>
  <c r="I35" i="22"/>
  <c r="X35" i="22" s="1"/>
  <c r="J34" i="22"/>
  <c r="Y34" i="22" s="1"/>
  <c r="J33" i="22"/>
  <c r="Y33" i="22" s="1"/>
  <c r="I33" i="22"/>
  <c r="X33" i="22" s="1"/>
  <c r="J32" i="22"/>
  <c r="Y32" i="22" s="1"/>
  <c r="I32" i="22"/>
  <c r="X32" i="22" s="1"/>
  <c r="I31" i="22"/>
  <c r="X31" i="22" s="1"/>
  <c r="J30" i="22"/>
  <c r="Y30" i="22" s="1"/>
  <c r="J29" i="22"/>
  <c r="Y29" i="22" s="1"/>
  <c r="I29" i="22"/>
  <c r="X29" i="22" s="1"/>
  <c r="J28" i="22"/>
  <c r="Y28" i="22" s="1"/>
  <c r="I28" i="22"/>
  <c r="X28" i="22" s="1"/>
  <c r="I27" i="22"/>
  <c r="X27" i="22" s="1"/>
  <c r="J26" i="22"/>
  <c r="Y26" i="22" s="1"/>
  <c r="J25" i="22"/>
  <c r="Y25" i="22" s="1"/>
  <c r="I25" i="22"/>
  <c r="X25" i="22" s="1"/>
  <c r="J24" i="22"/>
  <c r="Y24" i="22" s="1"/>
  <c r="I24" i="22"/>
  <c r="X24" i="22" s="1"/>
  <c r="I23" i="22"/>
  <c r="X23" i="22" s="1"/>
  <c r="J22" i="22"/>
  <c r="Y22" i="22" s="1"/>
  <c r="J21" i="22"/>
  <c r="Y21" i="22" s="1"/>
  <c r="I21" i="22"/>
  <c r="X21" i="22" s="1"/>
  <c r="J20" i="22"/>
  <c r="Y20" i="22" s="1"/>
  <c r="I20" i="22"/>
  <c r="X20" i="22" s="1"/>
  <c r="I19" i="22"/>
  <c r="X19" i="22" s="1"/>
  <c r="J18" i="22"/>
  <c r="Y18" i="22" s="1"/>
  <c r="J17" i="22"/>
  <c r="Y17" i="22" s="1"/>
  <c r="I17" i="22"/>
  <c r="X17" i="22" s="1"/>
  <c r="J16" i="22"/>
  <c r="Y16" i="22" s="1"/>
  <c r="I16" i="22"/>
  <c r="X16" i="22" s="1"/>
  <c r="J15" i="22"/>
  <c r="Y15" i="22" s="1"/>
  <c r="I15" i="22"/>
  <c r="X15" i="22" s="1"/>
  <c r="J14" i="22"/>
  <c r="Y14" i="22" s="1"/>
  <c r="J13" i="22"/>
  <c r="Y13" i="22" s="1"/>
  <c r="I13" i="22"/>
  <c r="X13" i="22" s="1"/>
  <c r="J12" i="22"/>
  <c r="Y12" i="22" s="1"/>
  <c r="I12" i="22"/>
  <c r="X12" i="22" s="1"/>
  <c r="I11" i="22"/>
  <c r="X11" i="22" s="1"/>
  <c r="J10" i="22"/>
  <c r="Y10" i="22" s="1"/>
  <c r="J9" i="22"/>
  <c r="Y9" i="22" s="1"/>
  <c r="I9" i="22"/>
  <c r="X9" i="22" s="1"/>
  <c r="J8" i="22"/>
  <c r="Y8" i="22" s="1"/>
  <c r="I8" i="22"/>
  <c r="X8" i="22" s="1"/>
  <c r="I7" i="22"/>
  <c r="X7" i="22" s="1"/>
  <c r="J6" i="22"/>
  <c r="Y6" i="22" s="1"/>
  <c r="J5" i="22"/>
  <c r="Y5" i="22" s="1"/>
  <c r="I5" i="22"/>
  <c r="X5" i="22" s="1"/>
  <c r="J4" i="22"/>
  <c r="Y4" i="22" s="1"/>
  <c r="I4" i="22"/>
  <c r="X4" i="22" s="1"/>
  <c r="I3" i="22"/>
  <c r="X3" i="22" s="1"/>
  <c r="J2" i="22"/>
  <c r="Y2" i="22" s="1"/>
  <c r="J1" i="22"/>
  <c r="I1" i="22"/>
  <c r="Q85" i="21"/>
  <c r="Q84" i="21"/>
  <c r="Q83" i="21"/>
  <c r="Q82" i="21"/>
  <c r="Q81" i="21"/>
  <c r="Q80" i="21"/>
  <c r="Q79" i="21"/>
  <c r="Q78" i="21"/>
  <c r="Q77" i="21"/>
  <c r="Q76" i="21"/>
  <c r="Q75" i="21"/>
  <c r="Q74" i="21"/>
  <c r="Q73" i="21"/>
  <c r="Q72" i="21"/>
  <c r="Q71" i="21"/>
  <c r="Q70" i="21"/>
  <c r="Q69" i="21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7" i="21"/>
  <c r="Q6" i="21"/>
  <c r="Q5" i="21"/>
  <c r="Q4" i="21"/>
  <c r="Q3" i="21"/>
  <c r="Q2" i="21"/>
  <c r="Y85" i="21"/>
  <c r="X85" i="21"/>
  <c r="X83" i="21"/>
  <c r="Y82" i="21"/>
  <c r="Y81" i="21"/>
  <c r="X81" i="21"/>
  <c r="Y80" i="21"/>
  <c r="X80" i="21"/>
  <c r="X79" i="21"/>
  <c r="Y77" i="21"/>
  <c r="X77" i="21"/>
  <c r="X75" i="21"/>
  <c r="Y74" i="21"/>
  <c r="Y73" i="21"/>
  <c r="X73" i="21"/>
  <c r="Y72" i="21"/>
  <c r="X72" i="21"/>
  <c r="X71" i="21"/>
  <c r="Y69" i="21"/>
  <c r="Y68" i="21"/>
  <c r="X67" i="21"/>
  <c r="Y65" i="21"/>
  <c r="X65" i="21"/>
  <c r="X63" i="21"/>
  <c r="Y62" i="21"/>
  <c r="Y61" i="21"/>
  <c r="X59" i="21"/>
  <c r="Y57" i="21"/>
  <c r="X57" i="21"/>
  <c r="Y56" i="21"/>
  <c r="X56" i="21"/>
  <c r="X55" i="21"/>
  <c r="Y53" i="21"/>
  <c r="Y52" i="21"/>
  <c r="X51" i="21"/>
  <c r="Y49" i="21"/>
  <c r="X49" i="21"/>
  <c r="X47" i="21"/>
  <c r="Y46" i="21"/>
  <c r="Y45" i="21"/>
  <c r="X43" i="21"/>
  <c r="Y41" i="21"/>
  <c r="X41" i="21"/>
  <c r="Y40" i="21"/>
  <c r="X40" i="21"/>
  <c r="X39" i="21"/>
  <c r="Y37" i="21"/>
  <c r="Y36" i="21"/>
  <c r="X35" i="21"/>
  <c r="Y33" i="21"/>
  <c r="X33" i="21"/>
  <c r="X31" i="21"/>
  <c r="Y30" i="21"/>
  <c r="X29" i="21"/>
  <c r="Y29" i="21"/>
  <c r="Y28" i="21"/>
  <c r="X28" i="21"/>
  <c r="X27" i="21"/>
  <c r="Y25" i="21"/>
  <c r="X25" i="21"/>
  <c r="Y24" i="21"/>
  <c r="X23" i="21"/>
  <c r="Y21" i="21"/>
  <c r="Y20" i="21"/>
  <c r="X19" i="21"/>
  <c r="Y18" i="21"/>
  <c r="Y17" i="21"/>
  <c r="X17" i="21"/>
  <c r="Y15" i="21"/>
  <c r="X15" i="21"/>
  <c r="Y13" i="21"/>
  <c r="Y12" i="21"/>
  <c r="X12" i="21"/>
  <c r="X11" i="21"/>
  <c r="Y9" i="21"/>
  <c r="X9" i="21"/>
  <c r="X7" i="21"/>
  <c r="Y5" i="21"/>
  <c r="X3" i="21"/>
  <c r="X1" i="21"/>
  <c r="X1" i="22" s="1"/>
  <c r="Y1" i="21"/>
  <c r="Y1" i="22" s="1"/>
  <c r="X16" i="21" l="1"/>
  <c r="X60" i="21"/>
  <c r="X4" i="21"/>
  <c r="X44" i="21"/>
  <c r="Y4" i="21"/>
  <c r="X8" i="21"/>
  <c r="Y10" i="21"/>
  <c r="Y16" i="21"/>
  <c r="X32" i="21"/>
  <c r="Y38" i="21"/>
  <c r="Y44" i="21"/>
  <c r="X48" i="21"/>
  <c r="Y54" i="21"/>
  <c r="Y60" i="21"/>
  <c r="X64" i="21"/>
  <c r="Y70" i="21"/>
  <c r="X76" i="21"/>
  <c r="Y78" i="21"/>
  <c r="X84" i="21"/>
  <c r="Y2" i="21"/>
  <c r="X5" i="21"/>
  <c r="Y8" i="21"/>
  <c r="X20" i="21"/>
  <c r="X24" i="21"/>
  <c r="Y32" i="21"/>
  <c r="X36" i="21"/>
  <c r="Y48" i="21"/>
  <c r="X52" i="21"/>
  <c r="Y64" i="21"/>
  <c r="X68" i="21"/>
  <c r="Y76" i="21"/>
  <c r="Y84" i="21"/>
  <c r="I86" i="22"/>
  <c r="X85" i="22"/>
  <c r="G54" i="14"/>
  <c r="H54" i="14"/>
  <c r="Y19" i="21"/>
  <c r="J19" i="22"/>
  <c r="Y19" i="22" s="1"/>
  <c r="T37" i="22"/>
  <c r="T61" i="22"/>
  <c r="X2" i="21"/>
  <c r="I2" i="22"/>
  <c r="X2" i="22" s="1"/>
  <c r="X6" i="21"/>
  <c r="I6" i="22"/>
  <c r="X6" i="22" s="1"/>
  <c r="Y7" i="21"/>
  <c r="J7" i="22"/>
  <c r="Y7" i="22" s="1"/>
  <c r="X14" i="21"/>
  <c r="I14" i="22"/>
  <c r="X14" i="22" s="1"/>
  <c r="X18" i="21"/>
  <c r="I18" i="22"/>
  <c r="X18" i="22" s="1"/>
  <c r="X22" i="21"/>
  <c r="I22" i="22"/>
  <c r="X22" i="22" s="1"/>
  <c r="Y23" i="21"/>
  <c r="J23" i="22"/>
  <c r="Y23" i="22" s="1"/>
  <c r="X34" i="21"/>
  <c r="I34" i="22"/>
  <c r="X34" i="22" s="1"/>
  <c r="Y35" i="21"/>
  <c r="J35" i="22"/>
  <c r="Y35" i="22" s="1"/>
  <c r="Y43" i="21"/>
  <c r="J43" i="22"/>
  <c r="Y43" i="22" s="1"/>
  <c r="X46" i="21"/>
  <c r="I46" i="22"/>
  <c r="X46" i="22" s="1"/>
  <c r="Y47" i="21"/>
  <c r="J47" i="22"/>
  <c r="Y47" i="22" s="1"/>
  <c r="X50" i="21"/>
  <c r="I50" i="22"/>
  <c r="X50" i="22" s="1"/>
  <c r="Y51" i="21"/>
  <c r="J51" i="22"/>
  <c r="Y51" i="22" s="1"/>
  <c r="X58" i="21"/>
  <c r="I58" i="22"/>
  <c r="X58" i="22" s="1"/>
  <c r="T49" i="22"/>
  <c r="T85" i="22"/>
  <c r="Y6" i="21"/>
  <c r="Y22" i="21"/>
  <c r="T25" i="22"/>
  <c r="Y50" i="21"/>
  <c r="X53" i="21"/>
  <c r="Y3" i="21"/>
  <c r="J3" i="22"/>
  <c r="Y3" i="22" s="1"/>
  <c r="X10" i="21"/>
  <c r="I10" i="22"/>
  <c r="X10" i="22" s="1"/>
  <c r="Y11" i="21"/>
  <c r="J11" i="22"/>
  <c r="Y11" i="22" s="1"/>
  <c r="X26" i="21"/>
  <c r="I26" i="22"/>
  <c r="X26" i="22" s="1"/>
  <c r="Y27" i="21"/>
  <c r="J27" i="22"/>
  <c r="Y27" i="22" s="1"/>
  <c r="X30" i="21"/>
  <c r="I30" i="22"/>
  <c r="X30" i="22" s="1"/>
  <c r="Y31" i="21"/>
  <c r="J31" i="22"/>
  <c r="Y31" i="22" s="1"/>
  <c r="X38" i="21"/>
  <c r="I38" i="22"/>
  <c r="X38" i="22" s="1"/>
  <c r="Y39" i="21"/>
  <c r="J39" i="22"/>
  <c r="Y39" i="22" s="1"/>
  <c r="X42" i="21"/>
  <c r="I42" i="22"/>
  <c r="X42" i="22" s="1"/>
  <c r="X54" i="21"/>
  <c r="I54" i="22"/>
  <c r="X54" i="22" s="1"/>
  <c r="Y55" i="21"/>
  <c r="J55" i="22"/>
  <c r="Y55" i="22" s="1"/>
  <c r="X13" i="21"/>
  <c r="Y14" i="21"/>
  <c r="X21" i="21"/>
  <c r="Y26" i="21"/>
  <c r="Y34" i="21"/>
  <c r="X37" i="21"/>
  <c r="Y42" i="21"/>
  <c r="X45" i="21"/>
  <c r="Y58" i="21"/>
  <c r="X61" i="21"/>
  <c r="Y66" i="21"/>
  <c r="X69" i="21"/>
  <c r="T13" i="22"/>
  <c r="J63" i="22"/>
  <c r="Y63" i="22" s="1"/>
  <c r="Y59" i="21"/>
  <c r="J59" i="22"/>
  <c r="Y59" i="22" s="1"/>
  <c r="X62" i="21"/>
  <c r="I62" i="22"/>
  <c r="X62" i="22" s="1"/>
  <c r="Y67" i="21"/>
  <c r="J67" i="22"/>
  <c r="Y67" i="22" s="1"/>
  <c r="X70" i="21"/>
  <c r="I70" i="22"/>
  <c r="X70" i="22" s="1"/>
  <c r="Y71" i="21"/>
  <c r="J71" i="22"/>
  <c r="Y71" i="22" s="1"/>
  <c r="X74" i="21"/>
  <c r="I74" i="22"/>
  <c r="X74" i="22" s="1"/>
  <c r="Y75" i="21"/>
  <c r="J75" i="22"/>
  <c r="Y75" i="22" s="1"/>
  <c r="X78" i="21"/>
  <c r="I78" i="22"/>
  <c r="X78" i="22" s="1"/>
  <c r="Y79" i="21"/>
  <c r="J79" i="22"/>
  <c r="Y79" i="22" s="1"/>
  <c r="X82" i="21"/>
  <c r="I82" i="22"/>
  <c r="X82" i="22" s="1"/>
  <c r="Y83" i="21"/>
  <c r="J83" i="22"/>
  <c r="Y83" i="22" s="1"/>
  <c r="I66" i="22"/>
  <c r="X66" i="22" s="1"/>
  <c r="F54" i="14"/>
  <c r="G25" i="14"/>
  <c r="K25" i="14"/>
  <c r="O25" i="14"/>
  <c r="I56" i="14"/>
  <c r="M56" i="14"/>
  <c r="Q56" i="14"/>
  <c r="K55" i="14"/>
  <c r="O55" i="14"/>
  <c r="J56" i="14"/>
  <c r="N55" i="14"/>
  <c r="I55" i="14"/>
  <c r="M55" i="14"/>
  <c r="L55" i="14"/>
  <c r="P55" i="14"/>
  <c r="Q55" i="14"/>
  <c r="N56" i="14"/>
  <c r="J55" i="14"/>
  <c r="K56" i="14"/>
  <c r="O56" i="14"/>
  <c r="L56" i="14"/>
  <c r="P56" i="14"/>
  <c r="H24" i="14"/>
  <c r="L24" i="14"/>
  <c r="P24" i="14"/>
  <c r="F24" i="14"/>
  <c r="J24" i="14"/>
  <c r="N24" i="14"/>
  <c r="J25" i="14"/>
  <c r="N25" i="14"/>
  <c r="H25" i="14"/>
  <c r="L25" i="14"/>
  <c r="P25" i="14"/>
  <c r="I24" i="14"/>
  <c r="M24" i="14"/>
  <c r="Q24" i="14"/>
  <c r="I25" i="14"/>
  <c r="M25" i="14"/>
  <c r="Q25" i="14"/>
  <c r="G24" i="14"/>
  <c r="K24" i="14"/>
  <c r="O24" i="14"/>
  <c r="F25" i="14"/>
  <c r="W85" i="21"/>
  <c r="U85" i="21"/>
  <c r="W82" i="21"/>
  <c r="U82" i="21"/>
  <c r="U78" i="21"/>
  <c r="U76" i="21"/>
  <c r="F75" i="22"/>
  <c r="F74" i="22"/>
  <c r="U73" i="21"/>
  <c r="U72" i="21"/>
  <c r="F71" i="22"/>
  <c r="U71" i="22" s="1"/>
  <c r="H69" i="22"/>
  <c r="W69" i="22" s="1"/>
  <c r="H66" i="22"/>
  <c r="W66" i="22" s="1"/>
  <c r="U66" i="21"/>
  <c r="U65" i="21"/>
  <c r="F63" i="22"/>
  <c r="U63" i="22" s="1"/>
  <c r="F61" i="22"/>
  <c r="U61" i="22" s="1"/>
  <c r="U59" i="21"/>
  <c r="F57" i="22"/>
  <c r="U57" i="22" s="1"/>
  <c r="U56" i="21"/>
  <c r="H54" i="22"/>
  <c r="W54" i="22" s="1"/>
  <c r="U54" i="21"/>
  <c r="U52" i="21"/>
  <c r="U51" i="21"/>
  <c r="W49" i="21"/>
  <c r="U47" i="21"/>
  <c r="F42" i="22"/>
  <c r="U42" i="22" s="1"/>
  <c r="U41" i="21"/>
  <c r="U30" i="21"/>
  <c r="H29" i="22"/>
  <c r="W29" i="22" s="1"/>
  <c r="W26" i="21"/>
  <c r="F25" i="22"/>
  <c r="U25" i="22" s="1"/>
  <c r="U23" i="21"/>
  <c r="U18" i="21"/>
  <c r="U17" i="21"/>
  <c r="U12" i="21"/>
  <c r="F10" i="22"/>
  <c r="U10" i="22" s="1"/>
  <c r="F9" i="22"/>
  <c r="U9" i="22" s="1"/>
  <c r="U7" i="21"/>
  <c r="W5" i="21"/>
  <c r="H2" i="22"/>
  <c r="W2" i="22" s="1"/>
  <c r="U2" i="21"/>
  <c r="AD1" i="21"/>
  <c r="AD1" i="22" s="1"/>
  <c r="B1" i="22"/>
  <c r="U75" i="22" l="1"/>
  <c r="F87" i="22"/>
  <c r="AA1" i="21"/>
  <c r="AA1" i="22" s="1"/>
  <c r="L1" i="22"/>
  <c r="M1" i="22"/>
  <c r="AB1" i="21"/>
  <c r="AB1" i="22" s="1"/>
  <c r="N1" i="22"/>
  <c r="AC1" i="21"/>
  <c r="AC1" i="22" s="1"/>
  <c r="F3" i="22"/>
  <c r="U3" i="22" s="1"/>
  <c r="U3" i="21"/>
  <c r="H4" i="22"/>
  <c r="W4" i="22" s="1"/>
  <c r="W4" i="21"/>
  <c r="H8" i="22"/>
  <c r="W8" i="22" s="1"/>
  <c r="W8" i="21"/>
  <c r="U11" i="21"/>
  <c r="F11" i="22"/>
  <c r="U11" i="22" s="1"/>
  <c r="H12" i="22"/>
  <c r="W12" i="22" s="1"/>
  <c r="W12" i="21"/>
  <c r="U15" i="21"/>
  <c r="F15" i="22"/>
  <c r="U15" i="22" s="1"/>
  <c r="H16" i="22"/>
  <c r="W16" i="22" s="1"/>
  <c r="W16" i="21"/>
  <c r="U19" i="21"/>
  <c r="F19" i="22"/>
  <c r="U19" i="22" s="1"/>
  <c r="H20" i="22"/>
  <c r="W20" i="22" s="1"/>
  <c r="W20" i="21"/>
  <c r="H24" i="22"/>
  <c r="W24" i="22" s="1"/>
  <c r="W24" i="21"/>
  <c r="U27" i="21"/>
  <c r="F27" i="22"/>
  <c r="U27" i="22" s="1"/>
  <c r="H28" i="22"/>
  <c r="W28" i="22" s="1"/>
  <c r="W28" i="21"/>
  <c r="U31" i="21"/>
  <c r="F31" i="22"/>
  <c r="U31" i="22" s="1"/>
  <c r="H32" i="22"/>
  <c r="W32" i="22" s="1"/>
  <c r="W32" i="21"/>
  <c r="F35" i="22"/>
  <c r="U35" i="22" s="1"/>
  <c r="U35" i="21"/>
  <c r="H36" i="22"/>
  <c r="W36" i="22" s="1"/>
  <c r="W36" i="21"/>
  <c r="U39" i="21"/>
  <c r="F39" i="22"/>
  <c r="U39" i="22" s="1"/>
  <c r="H40" i="22"/>
  <c r="W40" i="22" s="1"/>
  <c r="W40" i="21"/>
  <c r="U43" i="21"/>
  <c r="F43" i="22"/>
  <c r="U43" i="22" s="1"/>
  <c r="H44" i="22"/>
  <c r="W44" i="22" s="1"/>
  <c r="W44" i="21"/>
  <c r="H48" i="22"/>
  <c r="W48" i="22" s="1"/>
  <c r="W48" i="21"/>
  <c r="H52" i="22"/>
  <c r="W52" i="22" s="1"/>
  <c r="W52" i="21"/>
  <c r="U55" i="21"/>
  <c r="F55" i="22"/>
  <c r="U55" i="22" s="1"/>
  <c r="H56" i="22"/>
  <c r="W56" i="22" s="1"/>
  <c r="W56" i="21"/>
  <c r="H60" i="22"/>
  <c r="W60" i="22" s="1"/>
  <c r="W60" i="21"/>
  <c r="H64" i="22"/>
  <c r="W64" i="22" s="1"/>
  <c r="W64" i="21"/>
  <c r="F67" i="22"/>
  <c r="U67" i="22" s="1"/>
  <c r="U67" i="21"/>
  <c r="H68" i="22"/>
  <c r="W68" i="22" s="1"/>
  <c r="W68" i="21"/>
  <c r="H72" i="22"/>
  <c r="W72" i="22" s="1"/>
  <c r="W72" i="21"/>
  <c r="H76" i="22"/>
  <c r="W76" i="22" s="1"/>
  <c r="W76" i="21"/>
  <c r="U79" i="21"/>
  <c r="F79" i="22"/>
  <c r="H80" i="22"/>
  <c r="W80" i="22" s="1"/>
  <c r="W80" i="21"/>
  <c r="F83" i="22"/>
  <c r="U83" i="21"/>
  <c r="H84" i="22"/>
  <c r="W84" i="22" s="1"/>
  <c r="W84" i="21"/>
  <c r="O1" i="22"/>
  <c r="F73" i="22"/>
  <c r="U73" i="22" s="1"/>
  <c r="F51" i="22"/>
  <c r="U51" i="22" s="1"/>
  <c r="F17" i="22"/>
  <c r="U17" i="22" s="1"/>
  <c r="U10" i="21"/>
  <c r="W54" i="21"/>
  <c r="F56" i="22"/>
  <c r="U56" i="22" s="1"/>
  <c r="W69" i="21"/>
  <c r="W29" i="21"/>
  <c r="U75" i="21"/>
  <c r="F85" i="22"/>
  <c r="U63" i="21"/>
  <c r="U42" i="21"/>
  <c r="T1" i="21"/>
  <c r="T1" i="22" s="1"/>
  <c r="E1" i="22"/>
  <c r="G1" i="22"/>
  <c r="V1" i="21"/>
  <c r="V1" i="22" s="1"/>
  <c r="K1" i="22"/>
  <c r="Z1" i="21"/>
  <c r="Z1" i="22" s="1"/>
  <c r="W1" i="21"/>
  <c r="W1" i="22" s="1"/>
  <c r="H1" i="22"/>
  <c r="U4" i="21"/>
  <c r="F4" i="22"/>
  <c r="U4" i="22" s="1"/>
  <c r="F8" i="22"/>
  <c r="U8" i="22" s="1"/>
  <c r="U8" i="21"/>
  <c r="W9" i="21"/>
  <c r="H9" i="22"/>
  <c r="W9" i="22" s="1"/>
  <c r="W13" i="21"/>
  <c r="H13" i="22"/>
  <c r="W13" i="22" s="1"/>
  <c r="U16" i="21"/>
  <c r="F16" i="22"/>
  <c r="U16" i="22" s="1"/>
  <c r="W17" i="21"/>
  <c r="H17" i="22"/>
  <c r="W17" i="22" s="1"/>
  <c r="U20" i="21"/>
  <c r="F20" i="22"/>
  <c r="U20" i="22" s="1"/>
  <c r="W21" i="21"/>
  <c r="H21" i="22"/>
  <c r="W21" i="22" s="1"/>
  <c r="U24" i="21"/>
  <c r="F24" i="22"/>
  <c r="U24" i="22" s="1"/>
  <c r="H25" i="22"/>
  <c r="W25" i="22" s="1"/>
  <c r="W25" i="21"/>
  <c r="U28" i="21"/>
  <c r="F28" i="22"/>
  <c r="U28" i="22" s="1"/>
  <c r="U32" i="21"/>
  <c r="F32" i="22"/>
  <c r="U32" i="22" s="1"/>
  <c r="W33" i="21"/>
  <c r="H33" i="22"/>
  <c r="W33" i="22" s="1"/>
  <c r="U36" i="21"/>
  <c r="F36" i="22"/>
  <c r="U36" i="22" s="1"/>
  <c r="W37" i="21"/>
  <c r="H37" i="22"/>
  <c r="W37" i="22" s="1"/>
  <c r="F40" i="22"/>
  <c r="U40" i="22" s="1"/>
  <c r="U40" i="21"/>
  <c r="W41" i="21"/>
  <c r="H41" i="22"/>
  <c r="W41" i="22" s="1"/>
  <c r="U44" i="21"/>
  <c r="F44" i="22"/>
  <c r="U44" i="22" s="1"/>
  <c r="H45" i="22"/>
  <c r="W45" i="22" s="1"/>
  <c r="W45" i="21"/>
  <c r="U48" i="21"/>
  <c r="F48" i="22"/>
  <c r="U48" i="22" s="1"/>
  <c r="W53" i="21"/>
  <c r="H53" i="22"/>
  <c r="W53" i="22" s="1"/>
  <c r="W57" i="21"/>
  <c r="H57" i="22"/>
  <c r="W57" i="22" s="1"/>
  <c r="U60" i="21"/>
  <c r="F60" i="22"/>
  <c r="U60" i="22" s="1"/>
  <c r="H61" i="22"/>
  <c r="W61" i="22" s="1"/>
  <c r="W61" i="21"/>
  <c r="F64" i="22"/>
  <c r="U64" i="22" s="1"/>
  <c r="U64" i="21"/>
  <c r="W65" i="21"/>
  <c r="H65" i="22"/>
  <c r="W65" i="22" s="1"/>
  <c r="U68" i="21"/>
  <c r="F68" i="22"/>
  <c r="U68" i="22" s="1"/>
  <c r="H73" i="22"/>
  <c r="W73" i="22" s="1"/>
  <c r="W73" i="21"/>
  <c r="W77" i="21"/>
  <c r="H77" i="22"/>
  <c r="W77" i="22" s="1"/>
  <c r="F80" i="22"/>
  <c r="U80" i="21"/>
  <c r="W81" i="21"/>
  <c r="H81" i="22"/>
  <c r="W81" i="22" s="1"/>
  <c r="U84" i="21"/>
  <c r="F84" i="22"/>
  <c r="F82" i="22"/>
  <c r="F76" i="22"/>
  <c r="F52" i="22"/>
  <c r="U52" i="22" s="1"/>
  <c r="F23" i="22"/>
  <c r="U23" i="22" s="1"/>
  <c r="U9" i="21"/>
  <c r="W2" i="21"/>
  <c r="H82" i="22"/>
  <c r="W82" i="22" s="1"/>
  <c r="H26" i="22"/>
  <c r="W26" i="22" s="1"/>
  <c r="F66" i="22"/>
  <c r="U66" i="22" s="1"/>
  <c r="H85" i="22"/>
  <c r="W85" i="22" s="1"/>
  <c r="H49" i="22"/>
  <c r="W49" i="22" s="1"/>
  <c r="H5" i="22"/>
  <c r="W5" i="22" s="1"/>
  <c r="U74" i="21"/>
  <c r="W66" i="21"/>
  <c r="S1" i="21"/>
  <c r="S1" i="22" s="1"/>
  <c r="D1" i="22"/>
  <c r="U1" i="21"/>
  <c r="U1" i="22" s="1"/>
  <c r="F1" i="22"/>
  <c r="U5" i="21"/>
  <c r="F5" i="22"/>
  <c r="U5" i="22" s="1"/>
  <c r="W6" i="21"/>
  <c r="H6" i="22"/>
  <c r="W6" i="22" s="1"/>
  <c r="H10" i="22"/>
  <c r="W10" i="22" s="1"/>
  <c r="W10" i="21"/>
  <c r="U13" i="21"/>
  <c r="F13" i="22"/>
  <c r="U13" i="22" s="1"/>
  <c r="H14" i="22"/>
  <c r="W14" i="22" s="1"/>
  <c r="W14" i="21"/>
  <c r="W18" i="21"/>
  <c r="H18" i="22"/>
  <c r="W18" i="22" s="1"/>
  <c r="U21" i="21"/>
  <c r="F21" i="22"/>
  <c r="U21" i="22" s="1"/>
  <c r="W22" i="21"/>
  <c r="H22" i="22"/>
  <c r="W22" i="22" s="1"/>
  <c r="F29" i="22"/>
  <c r="U29" i="22" s="1"/>
  <c r="U29" i="21"/>
  <c r="H30" i="22"/>
  <c r="W30" i="22" s="1"/>
  <c r="W30" i="21"/>
  <c r="F33" i="22"/>
  <c r="U33" i="22" s="1"/>
  <c r="U33" i="21"/>
  <c r="W34" i="21"/>
  <c r="H34" i="22"/>
  <c r="W34" i="22" s="1"/>
  <c r="U37" i="21"/>
  <c r="F37" i="22"/>
  <c r="U37" i="22" s="1"/>
  <c r="H38" i="22"/>
  <c r="W38" i="22" s="1"/>
  <c r="W38" i="21"/>
  <c r="W42" i="21"/>
  <c r="H42" i="22"/>
  <c r="W42" i="22" s="1"/>
  <c r="U45" i="21"/>
  <c r="F45" i="22"/>
  <c r="U45" i="22" s="1"/>
  <c r="W46" i="21"/>
  <c r="H46" i="22"/>
  <c r="W46" i="22" s="1"/>
  <c r="U49" i="21"/>
  <c r="F49" i="22"/>
  <c r="U49" i="22" s="1"/>
  <c r="H50" i="22"/>
  <c r="W50" i="22" s="1"/>
  <c r="W50" i="21"/>
  <c r="U53" i="21"/>
  <c r="F53" i="22"/>
  <c r="U53" i="22" s="1"/>
  <c r="H58" i="22"/>
  <c r="W58" i="22" s="1"/>
  <c r="W58" i="21"/>
  <c r="W62" i="21"/>
  <c r="H62" i="22"/>
  <c r="W62" i="22" s="1"/>
  <c r="U69" i="21"/>
  <c r="F69" i="22"/>
  <c r="U69" i="22" s="1"/>
  <c r="H70" i="22"/>
  <c r="W70" i="22" s="1"/>
  <c r="W70" i="21"/>
  <c r="W74" i="21"/>
  <c r="H74" i="22"/>
  <c r="W74" i="22" s="1"/>
  <c r="U77" i="21"/>
  <c r="F77" i="22"/>
  <c r="W78" i="21"/>
  <c r="H78" i="22"/>
  <c r="W78" i="22" s="1"/>
  <c r="U81" i="21"/>
  <c r="F81" i="22"/>
  <c r="F78" i="22"/>
  <c r="F54" i="22"/>
  <c r="U54" i="22" s="1"/>
  <c r="F41" i="22"/>
  <c r="U41" i="22" s="1"/>
  <c r="F30" i="22"/>
  <c r="U30" i="22" s="1"/>
  <c r="F2" i="22"/>
  <c r="U2" i="22" s="1"/>
  <c r="F12" i="22"/>
  <c r="U12" i="22" s="1"/>
  <c r="F59" i="22"/>
  <c r="U59" i="22" s="1"/>
  <c r="F72" i="22"/>
  <c r="U72" i="22" s="1"/>
  <c r="F65" i="22"/>
  <c r="U65" i="22" s="1"/>
  <c r="F47" i="22"/>
  <c r="U47" i="22" s="1"/>
  <c r="H3" i="22"/>
  <c r="W3" i="22" s="1"/>
  <c r="W3" i="21"/>
  <c r="U6" i="21"/>
  <c r="F6" i="22"/>
  <c r="U6" i="22" s="1"/>
  <c r="H7" i="22"/>
  <c r="W7" i="22" s="1"/>
  <c r="W7" i="21"/>
  <c r="H11" i="22"/>
  <c r="W11" i="22" s="1"/>
  <c r="W11" i="21"/>
  <c r="U14" i="21"/>
  <c r="F14" i="22"/>
  <c r="U14" i="22" s="1"/>
  <c r="H15" i="22"/>
  <c r="W15" i="22" s="1"/>
  <c r="W15" i="21"/>
  <c r="H19" i="22"/>
  <c r="W19" i="22" s="1"/>
  <c r="W19" i="21"/>
  <c r="U22" i="21"/>
  <c r="F22" i="22"/>
  <c r="U22" i="22" s="1"/>
  <c r="H23" i="22"/>
  <c r="W23" i="22" s="1"/>
  <c r="W23" i="21"/>
  <c r="U26" i="21"/>
  <c r="F26" i="22"/>
  <c r="U26" i="22" s="1"/>
  <c r="H27" i="22"/>
  <c r="W27" i="22" s="1"/>
  <c r="W27" i="21"/>
  <c r="H31" i="22"/>
  <c r="W31" i="22" s="1"/>
  <c r="W31" i="21"/>
  <c r="U34" i="21"/>
  <c r="F34" i="22"/>
  <c r="U34" i="22" s="1"/>
  <c r="H35" i="22"/>
  <c r="W35" i="22" s="1"/>
  <c r="W35" i="21"/>
  <c r="U38" i="21"/>
  <c r="F38" i="22"/>
  <c r="U38" i="22" s="1"/>
  <c r="H39" i="22"/>
  <c r="W39" i="22" s="1"/>
  <c r="W39" i="21"/>
  <c r="H43" i="22"/>
  <c r="W43" i="22" s="1"/>
  <c r="W43" i="21"/>
  <c r="F46" i="22"/>
  <c r="U46" i="22" s="1"/>
  <c r="U46" i="21"/>
  <c r="H47" i="22"/>
  <c r="W47" i="22" s="1"/>
  <c r="W47" i="21"/>
  <c r="U50" i="21"/>
  <c r="F50" i="22"/>
  <c r="U50" i="22" s="1"/>
  <c r="H51" i="22"/>
  <c r="W51" i="22" s="1"/>
  <c r="W51" i="21"/>
  <c r="H55" i="22"/>
  <c r="W55" i="22" s="1"/>
  <c r="W55" i="21"/>
  <c r="U58" i="21"/>
  <c r="F58" i="22"/>
  <c r="U58" i="22" s="1"/>
  <c r="H59" i="22"/>
  <c r="W59" i="22" s="1"/>
  <c r="W59" i="21"/>
  <c r="U62" i="21"/>
  <c r="F62" i="22"/>
  <c r="U62" i="22" s="1"/>
  <c r="H63" i="22"/>
  <c r="W63" i="22" s="1"/>
  <c r="W63" i="21"/>
  <c r="H67" i="22"/>
  <c r="W67" i="22" s="1"/>
  <c r="W67" i="21"/>
  <c r="F70" i="22"/>
  <c r="U70" i="22" s="1"/>
  <c r="U70" i="21"/>
  <c r="H71" i="22"/>
  <c r="W71" i="22" s="1"/>
  <c r="W71" i="21"/>
  <c r="U74" i="22"/>
  <c r="F86" i="22"/>
  <c r="H75" i="22"/>
  <c r="W75" i="22" s="1"/>
  <c r="W75" i="21"/>
  <c r="H79" i="22"/>
  <c r="W79" i="22" s="1"/>
  <c r="W79" i="21"/>
  <c r="H83" i="22"/>
  <c r="W83" i="22" s="1"/>
  <c r="W83" i="21"/>
  <c r="U25" i="21"/>
  <c r="F18" i="22"/>
  <c r="U18" i="22" s="1"/>
  <c r="F7" i="22"/>
  <c r="U7" i="22" s="1"/>
  <c r="U61" i="21"/>
  <c r="U71" i="21"/>
  <c r="U57" i="21"/>
  <c r="I87" i="22"/>
  <c r="X86" i="22"/>
  <c r="U81" i="22" l="1"/>
  <c r="F93" i="22"/>
  <c r="U77" i="22"/>
  <c r="F89" i="22"/>
  <c r="U82" i="22"/>
  <c r="F94" i="22"/>
  <c r="U84" i="22"/>
  <c r="F96" i="22"/>
  <c r="U85" i="22"/>
  <c r="F97" i="22"/>
  <c r="U87" i="22"/>
  <c r="F99" i="22"/>
  <c r="U99" i="22" s="1"/>
  <c r="I88" i="22"/>
  <c r="X87" i="22"/>
  <c r="U78" i="22"/>
  <c r="F90" i="22"/>
  <c r="U79" i="22"/>
  <c r="F91" i="22"/>
  <c r="U86" i="22"/>
  <c r="F98" i="22"/>
  <c r="U98" i="22" s="1"/>
  <c r="U76" i="22"/>
  <c r="F88" i="22"/>
  <c r="U80" i="22"/>
  <c r="F92" i="22"/>
  <c r="U83" i="22"/>
  <c r="F95" i="22"/>
  <c r="I89" i="22" l="1"/>
  <c r="X88" i="22"/>
  <c r="F108" i="22"/>
  <c r="U108" i="22" s="1"/>
  <c r="U96" i="22"/>
  <c r="F101" i="22"/>
  <c r="U101" i="22" s="1"/>
  <c r="U89" i="22"/>
  <c r="F104" i="22"/>
  <c r="U104" i="22" s="1"/>
  <c r="U92" i="22"/>
  <c r="U95" i="22"/>
  <c r="F107" i="22"/>
  <c r="U107" i="22" s="1"/>
  <c r="F100" i="22"/>
  <c r="U100" i="22" s="1"/>
  <c r="U88" i="22"/>
  <c r="U91" i="22"/>
  <c r="F103" i="22"/>
  <c r="U103" i="22" s="1"/>
  <c r="F109" i="22"/>
  <c r="U109" i="22" s="1"/>
  <c r="U97" i="22"/>
  <c r="U94" i="22"/>
  <c r="F106" i="22"/>
  <c r="U106" i="22" s="1"/>
  <c r="F105" i="22"/>
  <c r="U105" i="22" s="1"/>
  <c r="U93" i="22"/>
  <c r="F102" i="22"/>
  <c r="U102" i="22" s="1"/>
  <c r="U90" i="22"/>
  <c r="I90" i="22" l="1"/>
  <c r="X89" i="22"/>
  <c r="I91" i="22" l="1"/>
  <c r="X90" i="22"/>
  <c r="I92" i="22" l="1"/>
  <c r="X91" i="22"/>
  <c r="I93" i="22" l="1"/>
  <c r="X92" i="22"/>
  <c r="B5" i="18"/>
  <c r="B6" i="18" s="1"/>
  <c r="I94" i="22" l="1"/>
  <c r="X93" i="22"/>
  <c r="B7" i="18"/>
  <c r="I95" i="22" l="1"/>
  <c r="X94" i="22"/>
  <c r="B8" i="18"/>
  <c r="I96" i="22" l="1"/>
  <c r="X95" i="22"/>
  <c r="B9" i="18"/>
  <c r="I97" i="22" l="1"/>
  <c r="X96" i="22"/>
  <c r="B10" i="18"/>
  <c r="I98" i="22" l="1"/>
  <c r="X97" i="22"/>
  <c r="I99" i="22" l="1"/>
  <c r="X98" i="22"/>
  <c r="AC85" i="9"/>
  <c r="E85" i="21" s="1"/>
  <c r="AB85" i="9"/>
  <c r="D85" i="21" s="1"/>
  <c r="AC84" i="9"/>
  <c r="E84" i="21" s="1"/>
  <c r="AB84" i="9"/>
  <c r="D84" i="21" s="1"/>
  <c r="AC83" i="9"/>
  <c r="E83" i="21" s="1"/>
  <c r="AB83" i="9"/>
  <c r="D83" i="21" s="1"/>
  <c r="AC82" i="9"/>
  <c r="E82" i="21" s="1"/>
  <c r="AB82" i="9"/>
  <c r="D82" i="21" s="1"/>
  <c r="AC81" i="9"/>
  <c r="E81" i="21" s="1"/>
  <c r="AB81" i="9"/>
  <c r="D81" i="21" s="1"/>
  <c r="AC80" i="9"/>
  <c r="E80" i="21" s="1"/>
  <c r="AB80" i="9"/>
  <c r="D80" i="21" s="1"/>
  <c r="AC79" i="9"/>
  <c r="E79" i="21" s="1"/>
  <c r="AB79" i="9"/>
  <c r="D79" i="21" s="1"/>
  <c r="AC78" i="9"/>
  <c r="E78" i="21" s="1"/>
  <c r="AB78" i="9"/>
  <c r="D78" i="21" s="1"/>
  <c r="AC77" i="9"/>
  <c r="E77" i="21" s="1"/>
  <c r="AB77" i="9"/>
  <c r="D77" i="21" s="1"/>
  <c r="AC76" i="9"/>
  <c r="E76" i="21" s="1"/>
  <c r="AB76" i="9"/>
  <c r="D76" i="21" s="1"/>
  <c r="AC75" i="9"/>
  <c r="E75" i="21" s="1"/>
  <c r="AB75" i="9"/>
  <c r="D75" i="21" s="1"/>
  <c r="AC74" i="9"/>
  <c r="E74" i="21" s="1"/>
  <c r="AB74" i="9"/>
  <c r="D74" i="21" s="1"/>
  <c r="AC73" i="9"/>
  <c r="E73" i="21" s="1"/>
  <c r="AB73" i="9"/>
  <c r="D73" i="21" s="1"/>
  <c r="AC72" i="9"/>
  <c r="E72" i="21" s="1"/>
  <c r="AB72" i="9"/>
  <c r="D72" i="21" s="1"/>
  <c r="AC71" i="9"/>
  <c r="E71" i="21" s="1"/>
  <c r="AB71" i="9"/>
  <c r="D71" i="21" s="1"/>
  <c r="AC70" i="9"/>
  <c r="E70" i="21" s="1"/>
  <c r="AB70" i="9"/>
  <c r="D70" i="21" s="1"/>
  <c r="AC69" i="9"/>
  <c r="E69" i="21" s="1"/>
  <c r="AB69" i="9"/>
  <c r="D69" i="21" s="1"/>
  <c r="AC68" i="9"/>
  <c r="E68" i="21" s="1"/>
  <c r="AB68" i="9"/>
  <c r="D68" i="21" s="1"/>
  <c r="AC67" i="9"/>
  <c r="E67" i="21" s="1"/>
  <c r="AB67" i="9"/>
  <c r="D67" i="21" s="1"/>
  <c r="AC66" i="9"/>
  <c r="E66" i="21" s="1"/>
  <c r="AB66" i="9"/>
  <c r="D66" i="21" s="1"/>
  <c r="AC65" i="9"/>
  <c r="E65" i="21" s="1"/>
  <c r="AB65" i="9"/>
  <c r="D65" i="21" s="1"/>
  <c r="AC64" i="9"/>
  <c r="E64" i="21" s="1"/>
  <c r="AB64" i="9"/>
  <c r="D64" i="21" s="1"/>
  <c r="AC63" i="9"/>
  <c r="E63" i="21" s="1"/>
  <c r="AB63" i="9"/>
  <c r="D63" i="21" s="1"/>
  <c r="AC62" i="9"/>
  <c r="E62" i="21" s="1"/>
  <c r="AB62" i="9"/>
  <c r="D62" i="21" s="1"/>
  <c r="AC61" i="9"/>
  <c r="E61" i="21" s="1"/>
  <c r="AB61" i="9"/>
  <c r="D61" i="21" s="1"/>
  <c r="AC60" i="9"/>
  <c r="E60" i="21" s="1"/>
  <c r="AB60" i="9"/>
  <c r="D60" i="21" s="1"/>
  <c r="AC59" i="9"/>
  <c r="E59" i="21" s="1"/>
  <c r="AB59" i="9"/>
  <c r="D59" i="21" s="1"/>
  <c r="AC58" i="9"/>
  <c r="E58" i="21" s="1"/>
  <c r="AB58" i="9"/>
  <c r="D58" i="21" s="1"/>
  <c r="AC57" i="9"/>
  <c r="E57" i="21" s="1"/>
  <c r="AB57" i="9"/>
  <c r="D57" i="21" s="1"/>
  <c r="AC56" i="9"/>
  <c r="E56" i="21" s="1"/>
  <c r="AB56" i="9"/>
  <c r="D56" i="21" s="1"/>
  <c r="AC55" i="9"/>
  <c r="E55" i="21" s="1"/>
  <c r="AB55" i="9"/>
  <c r="D55" i="21" s="1"/>
  <c r="AC54" i="9"/>
  <c r="E54" i="21" s="1"/>
  <c r="AB54" i="9"/>
  <c r="D54" i="21" s="1"/>
  <c r="AC53" i="9"/>
  <c r="E53" i="21" s="1"/>
  <c r="AB53" i="9"/>
  <c r="D53" i="21" s="1"/>
  <c r="AC52" i="9"/>
  <c r="E52" i="21" s="1"/>
  <c r="AB52" i="9"/>
  <c r="D52" i="21" s="1"/>
  <c r="AC51" i="9"/>
  <c r="E51" i="21" s="1"/>
  <c r="AB51" i="9"/>
  <c r="D51" i="21" s="1"/>
  <c r="AC50" i="9"/>
  <c r="E50" i="21" s="1"/>
  <c r="AB50" i="9"/>
  <c r="D50" i="21" s="1"/>
  <c r="AC49" i="9"/>
  <c r="E49" i="21" s="1"/>
  <c r="AB49" i="9"/>
  <c r="D49" i="21" s="1"/>
  <c r="AC48" i="9"/>
  <c r="E48" i="21" s="1"/>
  <c r="AB48" i="9"/>
  <c r="D48" i="21" s="1"/>
  <c r="AC47" i="9"/>
  <c r="E47" i="21" s="1"/>
  <c r="AB47" i="9"/>
  <c r="D47" i="21" s="1"/>
  <c r="AC46" i="9"/>
  <c r="E46" i="21" s="1"/>
  <c r="AB46" i="9"/>
  <c r="D46" i="21" s="1"/>
  <c r="AC45" i="9"/>
  <c r="E45" i="21" s="1"/>
  <c r="AB45" i="9"/>
  <c r="D45" i="21" s="1"/>
  <c r="AC44" i="9"/>
  <c r="E44" i="21" s="1"/>
  <c r="AB44" i="9"/>
  <c r="D44" i="21" s="1"/>
  <c r="AC43" i="9"/>
  <c r="E43" i="21" s="1"/>
  <c r="AB43" i="9"/>
  <c r="D43" i="21" s="1"/>
  <c r="AC42" i="9"/>
  <c r="E42" i="21" s="1"/>
  <c r="AB42" i="9"/>
  <c r="D42" i="21" s="1"/>
  <c r="AC41" i="9"/>
  <c r="E41" i="21" s="1"/>
  <c r="AB41" i="9"/>
  <c r="D41" i="21" s="1"/>
  <c r="AC40" i="9"/>
  <c r="E40" i="21" s="1"/>
  <c r="AB40" i="9"/>
  <c r="D40" i="21" s="1"/>
  <c r="AC39" i="9"/>
  <c r="E39" i="21" s="1"/>
  <c r="AB39" i="9"/>
  <c r="D39" i="21" s="1"/>
  <c r="AC38" i="9"/>
  <c r="E38" i="21" s="1"/>
  <c r="AB38" i="9"/>
  <c r="D38" i="21" s="1"/>
  <c r="AC37" i="9"/>
  <c r="E37" i="21" s="1"/>
  <c r="AB37" i="9"/>
  <c r="D37" i="21" s="1"/>
  <c r="AC36" i="9"/>
  <c r="E36" i="21" s="1"/>
  <c r="AB36" i="9"/>
  <c r="D36" i="21" s="1"/>
  <c r="AC35" i="9"/>
  <c r="E35" i="21" s="1"/>
  <c r="AB35" i="9"/>
  <c r="D35" i="21" s="1"/>
  <c r="AC34" i="9"/>
  <c r="E34" i="21" s="1"/>
  <c r="AB34" i="9"/>
  <c r="D34" i="21" s="1"/>
  <c r="AC33" i="9"/>
  <c r="E33" i="21" s="1"/>
  <c r="AB33" i="9"/>
  <c r="D33" i="21" s="1"/>
  <c r="AC32" i="9"/>
  <c r="E32" i="21" s="1"/>
  <c r="AB32" i="9"/>
  <c r="D32" i="21" s="1"/>
  <c r="AC31" i="9"/>
  <c r="E31" i="21" s="1"/>
  <c r="AB31" i="9"/>
  <c r="D31" i="21" s="1"/>
  <c r="AC30" i="9"/>
  <c r="E30" i="21" s="1"/>
  <c r="AB30" i="9"/>
  <c r="D30" i="21" s="1"/>
  <c r="AC29" i="9"/>
  <c r="E29" i="21" s="1"/>
  <c r="AB29" i="9"/>
  <c r="D29" i="21" s="1"/>
  <c r="AC28" i="9"/>
  <c r="E28" i="21" s="1"/>
  <c r="AB28" i="9"/>
  <c r="D28" i="21" s="1"/>
  <c r="AC27" i="9"/>
  <c r="E27" i="21" s="1"/>
  <c r="AB27" i="9"/>
  <c r="D27" i="21" s="1"/>
  <c r="AC26" i="9"/>
  <c r="E26" i="21" s="1"/>
  <c r="AB26" i="9"/>
  <c r="D26" i="21" s="1"/>
  <c r="AC25" i="9"/>
  <c r="E25" i="21" s="1"/>
  <c r="AB25" i="9"/>
  <c r="D25" i="21" s="1"/>
  <c r="AC24" i="9"/>
  <c r="E24" i="21" s="1"/>
  <c r="AB24" i="9"/>
  <c r="D24" i="21" s="1"/>
  <c r="AC23" i="9"/>
  <c r="E23" i="21" s="1"/>
  <c r="AB23" i="9"/>
  <c r="D23" i="21" s="1"/>
  <c r="AC22" i="9"/>
  <c r="E22" i="21" s="1"/>
  <c r="AB22" i="9"/>
  <c r="D22" i="21" s="1"/>
  <c r="AC21" i="9"/>
  <c r="E21" i="21" s="1"/>
  <c r="AB21" i="9"/>
  <c r="D21" i="21" s="1"/>
  <c r="AC20" i="9"/>
  <c r="E20" i="21" s="1"/>
  <c r="AB20" i="9"/>
  <c r="D20" i="21" s="1"/>
  <c r="AC19" i="9"/>
  <c r="E19" i="21" s="1"/>
  <c r="AB19" i="9"/>
  <c r="D19" i="21" s="1"/>
  <c r="AC18" i="9"/>
  <c r="E18" i="21" s="1"/>
  <c r="AB18" i="9"/>
  <c r="D18" i="21" s="1"/>
  <c r="AC17" i="9"/>
  <c r="E17" i="21" s="1"/>
  <c r="AB17" i="9"/>
  <c r="D17" i="21" s="1"/>
  <c r="AC16" i="9"/>
  <c r="E16" i="21" s="1"/>
  <c r="AB16" i="9"/>
  <c r="D16" i="21" s="1"/>
  <c r="AC15" i="9"/>
  <c r="E15" i="21" s="1"/>
  <c r="AB15" i="9"/>
  <c r="D15" i="21" s="1"/>
  <c r="AC14" i="9"/>
  <c r="E14" i="21" s="1"/>
  <c r="AB14" i="9"/>
  <c r="D14" i="21" s="1"/>
  <c r="AC13" i="9"/>
  <c r="E13" i="21" s="1"/>
  <c r="AB13" i="9"/>
  <c r="D13" i="21" s="1"/>
  <c r="AC12" i="9"/>
  <c r="E12" i="21" s="1"/>
  <c r="AB12" i="9"/>
  <c r="D12" i="21" s="1"/>
  <c r="AC11" i="9"/>
  <c r="E11" i="21" s="1"/>
  <c r="AB11" i="9"/>
  <c r="D11" i="21" s="1"/>
  <c r="AC10" i="9"/>
  <c r="E10" i="21" s="1"/>
  <c r="AB10" i="9"/>
  <c r="D10" i="21" s="1"/>
  <c r="AC9" i="9"/>
  <c r="E9" i="21" s="1"/>
  <c r="AB9" i="9"/>
  <c r="D9" i="21" s="1"/>
  <c r="AC8" i="9"/>
  <c r="E8" i="21" s="1"/>
  <c r="AB8" i="9"/>
  <c r="D8" i="21" s="1"/>
  <c r="AC7" i="9"/>
  <c r="E7" i="21" s="1"/>
  <c r="AB7" i="9"/>
  <c r="D7" i="21" s="1"/>
  <c r="AC6" i="9"/>
  <c r="E6" i="21" s="1"/>
  <c r="AB6" i="9"/>
  <c r="D6" i="21" s="1"/>
  <c r="AC5" i="9"/>
  <c r="E5" i="21" s="1"/>
  <c r="AB5" i="9"/>
  <c r="D5" i="21" s="1"/>
  <c r="AC4" i="9"/>
  <c r="E4" i="21" s="1"/>
  <c r="AB4" i="9"/>
  <c r="D4" i="21" s="1"/>
  <c r="AC3" i="9"/>
  <c r="E3" i="21" s="1"/>
  <c r="AB3" i="9"/>
  <c r="D3" i="21" s="1"/>
  <c r="AC2" i="9"/>
  <c r="E2" i="21" s="1"/>
  <c r="AB2" i="9"/>
  <c r="D2" i="21" s="1"/>
  <c r="T2" i="21" l="1"/>
  <c r="T8" i="21"/>
  <c r="T12" i="21"/>
  <c r="T20" i="21"/>
  <c r="T26" i="21"/>
  <c r="T32" i="21"/>
  <c r="T38" i="21"/>
  <c r="T44" i="21"/>
  <c r="T50" i="21"/>
  <c r="T56" i="21"/>
  <c r="T60" i="21"/>
  <c r="T70" i="21"/>
  <c r="T72" i="21"/>
  <c r="T76" i="21"/>
  <c r="T80" i="21"/>
  <c r="T84" i="21"/>
  <c r="S3" i="21"/>
  <c r="S5" i="21"/>
  <c r="S7" i="21"/>
  <c r="S9" i="21"/>
  <c r="S11" i="21"/>
  <c r="S13" i="21"/>
  <c r="S15" i="21"/>
  <c r="S17" i="21"/>
  <c r="S19" i="21"/>
  <c r="S21" i="21"/>
  <c r="S23" i="21"/>
  <c r="S25" i="21"/>
  <c r="S27" i="21"/>
  <c r="S29" i="21"/>
  <c r="S31" i="21"/>
  <c r="S33" i="21"/>
  <c r="S35" i="21"/>
  <c r="S37" i="21"/>
  <c r="S39" i="21"/>
  <c r="S41" i="21"/>
  <c r="S43" i="21"/>
  <c r="S45" i="21"/>
  <c r="S47" i="21"/>
  <c r="S49" i="21"/>
  <c r="S51" i="21"/>
  <c r="S53" i="21"/>
  <c r="S55" i="21"/>
  <c r="S57" i="21"/>
  <c r="S59" i="21"/>
  <c r="S61" i="21"/>
  <c r="S63" i="21"/>
  <c r="S65" i="21"/>
  <c r="S67" i="21"/>
  <c r="S69" i="21"/>
  <c r="S71" i="21"/>
  <c r="S73" i="21"/>
  <c r="S75" i="21"/>
  <c r="S77" i="21"/>
  <c r="S79" i="21"/>
  <c r="S81" i="21"/>
  <c r="S83" i="21"/>
  <c r="S85" i="21"/>
  <c r="T4" i="21"/>
  <c r="T10" i="21"/>
  <c r="T16" i="21"/>
  <c r="T18" i="21"/>
  <c r="T24" i="21"/>
  <c r="T30" i="21"/>
  <c r="T36" i="21"/>
  <c r="T42" i="21"/>
  <c r="T48" i="21"/>
  <c r="T52" i="21"/>
  <c r="T58" i="21"/>
  <c r="T62" i="21"/>
  <c r="T66" i="21"/>
  <c r="T68" i="21"/>
  <c r="T74" i="21"/>
  <c r="T78" i="21"/>
  <c r="T82" i="21"/>
  <c r="T3" i="21"/>
  <c r="T5" i="21"/>
  <c r="T7" i="21"/>
  <c r="T9" i="21"/>
  <c r="T11" i="21"/>
  <c r="T13" i="21"/>
  <c r="T15" i="21"/>
  <c r="T17" i="21"/>
  <c r="T19" i="21"/>
  <c r="T21" i="21"/>
  <c r="T23" i="21"/>
  <c r="T25" i="21"/>
  <c r="T27" i="21"/>
  <c r="T29" i="21"/>
  <c r="T31" i="21"/>
  <c r="T33" i="21"/>
  <c r="T35" i="21"/>
  <c r="T37" i="21"/>
  <c r="T39" i="21"/>
  <c r="T41" i="21"/>
  <c r="T43" i="21"/>
  <c r="T45" i="21"/>
  <c r="T47" i="21"/>
  <c r="T49" i="21"/>
  <c r="T51" i="21"/>
  <c r="T53" i="21"/>
  <c r="T55" i="21"/>
  <c r="T57" i="21"/>
  <c r="T59" i="21"/>
  <c r="T61" i="21"/>
  <c r="T63" i="21"/>
  <c r="T65" i="21"/>
  <c r="T67" i="21"/>
  <c r="T69" i="21"/>
  <c r="T71" i="21"/>
  <c r="T73" i="21"/>
  <c r="T75" i="21"/>
  <c r="T77" i="21"/>
  <c r="T79" i="21"/>
  <c r="T81" i="21"/>
  <c r="T83" i="21"/>
  <c r="T85" i="21"/>
  <c r="T6" i="21"/>
  <c r="T14" i="21"/>
  <c r="T22" i="21"/>
  <c r="T28" i="21"/>
  <c r="T34" i="21"/>
  <c r="T40" i="21"/>
  <c r="T46" i="21"/>
  <c r="T54" i="21"/>
  <c r="T64" i="21"/>
  <c r="S2" i="21"/>
  <c r="S4" i="21"/>
  <c r="S6" i="21"/>
  <c r="S8" i="21"/>
  <c r="S10" i="21"/>
  <c r="S12" i="21"/>
  <c r="S14" i="21"/>
  <c r="S16" i="21"/>
  <c r="S18" i="21"/>
  <c r="S20" i="21"/>
  <c r="S22" i="21"/>
  <c r="S24" i="21"/>
  <c r="S26" i="21"/>
  <c r="S28" i="21"/>
  <c r="S30" i="21"/>
  <c r="S32" i="21"/>
  <c r="S34" i="21"/>
  <c r="S36" i="21"/>
  <c r="S38" i="21"/>
  <c r="S40" i="21"/>
  <c r="S42" i="21"/>
  <c r="S44" i="21"/>
  <c r="S46" i="21"/>
  <c r="S48" i="21"/>
  <c r="S50" i="21"/>
  <c r="S52" i="21"/>
  <c r="S54" i="21"/>
  <c r="S56" i="21"/>
  <c r="S58" i="21"/>
  <c r="S60" i="21"/>
  <c r="S62" i="21"/>
  <c r="S64" i="21"/>
  <c r="S66" i="21"/>
  <c r="S68" i="21"/>
  <c r="S70" i="21"/>
  <c r="S72" i="21"/>
  <c r="S74" i="21"/>
  <c r="S76" i="21"/>
  <c r="S78" i="21"/>
  <c r="S80" i="21"/>
  <c r="S82" i="21"/>
  <c r="S84" i="21"/>
  <c r="I100" i="22"/>
  <c r="X99" i="22"/>
  <c r="I101" i="22" l="1"/>
  <c r="X100" i="22"/>
  <c r="G53" i="14"/>
  <c r="L66" i="14"/>
  <c r="L74" i="14"/>
  <c r="M70" i="14"/>
  <c r="M75" i="14"/>
  <c r="L67" i="14"/>
  <c r="L75" i="14"/>
  <c r="L70" i="14"/>
  <c r="F53" i="14"/>
  <c r="F56" i="14" s="1"/>
  <c r="M71" i="14"/>
  <c r="L71" i="14"/>
  <c r="M74" i="14"/>
  <c r="H53" i="14"/>
  <c r="M72" i="14"/>
  <c r="L68" i="14"/>
  <c r="L72" i="14"/>
  <c r="L69" i="14"/>
  <c r="L73" i="14"/>
  <c r="L77" i="14"/>
  <c r="M69" i="14"/>
  <c r="M73" i="14"/>
  <c r="M77" i="14"/>
  <c r="I102" i="22" l="1"/>
  <c r="X101" i="22"/>
  <c r="H56" i="14"/>
  <c r="H55" i="14"/>
  <c r="M68" i="14" s="1"/>
  <c r="G55" i="14"/>
  <c r="M67" i="14" s="1"/>
  <c r="G56" i="14"/>
  <c r="F61" i="14"/>
  <c r="F55" i="14"/>
  <c r="M66" i="14" s="1"/>
  <c r="P29" i="14"/>
  <c r="P30" i="14"/>
  <c r="J29" i="14"/>
  <c r="J30" i="14"/>
  <c r="Q29" i="14"/>
  <c r="Q30" i="14"/>
  <c r="L29" i="14"/>
  <c r="L30" i="14"/>
  <c r="O29" i="14"/>
  <c r="O30" i="14"/>
  <c r="K29" i="14"/>
  <c r="K30" i="14"/>
  <c r="M29" i="14"/>
  <c r="M30" i="14"/>
  <c r="H29" i="14"/>
  <c r="H30" i="14"/>
  <c r="G29" i="14"/>
  <c r="G30" i="14"/>
  <c r="I29" i="14"/>
  <c r="I30" i="14"/>
  <c r="N29" i="14"/>
  <c r="N30" i="14"/>
  <c r="F29" i="14"/>
  <c r="F30" i="14"/>
  <c r="G61" i="14"/>
  <c r="H61" i="14"/>
  <c r="M60" i="14"/>
  <c r="M61" i="14"/>
  <c r="P60" i="14"/>
  <c r="P61" i="14"/>
  <c r="Q60" i="14"/>
  <c r="Q61" i="14"/>
  <c r="I60" i="14"/>
  <c r="I61" i="14"/>
  <c r="L60" i="14"/>
  <c r="L61" i="14"/>
  <c r="J60" i="14"/>
  <c r="J61" i="14"/>
  <c r="O60" i="14"/>
  <c r="O61" i="14"/>
  <c r="K60" i="14"/>
  <c r="K61" i="14"/>
  <c r="N60" i="14"/>
  <c r="N61" i="14"/>
  <c r="G60" i="14"/>
  <c r="H60" i="14"/>
  <c r="F60" i="14"/>
  <c r="M76" i="14"/>
  <c r="L76" i="14"/>
  <c r="I103" i="22" l="1"/>
  <c r="X102" i="22"/>
  <c r="H67" i="14"/>
  <c r="E2" i="22"/>
  <c r="E14" i="22" s="1"/>
  <c r="H71" i="14"/>
  <c r="E6" i="22"/>
  <c r="H70" i="14"/>
  <c r="E5" i="22"/>
  <c r="E17" i="22" s="1"/>
  <c r="H69" i="14"/>
  <c r="E4" i="22"/>
  <c r="E16" i="22" s="1"/>
  <c r="H76" i="14"/>
  <c r="E11" i="22"/>
  <c r="H68" i="14"/>
  <c r="E3" i="22"/>
  <c r="E15" i="22" s="1"/>
  <c r="H74" i="14"/>
  <c r="E9" i="22"/>
  <c r="H75" i="14"/>
  <c r="E10" i="22"/>
  <c r="H72" i="14"/>
  <c r="E7" i="22"/>
  <c r="H77" i="14"/>
  <c r="E12" i="22"/>
  <c r="H73" i="14"/>
  <c r="E8" i="22"/>
  <c r="G77" i="14"/>
  <c r="D13" i="22"/>
  <c r="D25" i="22" s="1"/>
  <c r="G76" i="14"/>
  <c r="D12" i="22"/>
  <c r="G75" i="14"/>
  <c r="D11" i="22"/>
  <c r="G74" i="14"/>
  <c r="D10" i="22"/>
  <c r="G73" i="14"/>
  <c r="D9" i="22"/>
  <c r="G72" i="14"/>
  <c r="D8" i="22"/>
  <c r="G71" i="14"/>
  <c r="D7" i="22"/>
  <c r="G70" i="14"/>
  <c r="D6" i="22"/>
  <c r="G69" i="14"/>
  <c r="D5" i="22"/>
  <c r="G68" i="14"/>
  <c r="D4" i="22"/>
  <c r="G67" i="14"/>
  <c r="D3" i="22"/>
  <c r="D2" i="22"/>
  <c r="H66" i="14"/>
  <c r="G66" i="14"/>
  <c r="I104" i="22" l="1"/>
  <c r="X103" i="22"/>
  <c r="S13" i="22"/>
  <c r="T5" i="22"/>
  <c r="T2" i="22"/>
  <c r="T12" i="22"/>
  <c r="E24" i="22"/>
  <c r="T10" i="22"/>
  <c r="E22" i="22"/>
  <c r="T6" i="22"/>
  <c r="E18" i="22"/>
  <c r="S3" i="22"/>
  <c r="D15" i="22"/>
  <c r="S5" i="22"/>
  <c r="D17" i="22"/>
  <c r="S7" i="22"/>
  <c r="D19" i="22"/>
  <c r="S9" i="22"/>
  <c r="D21" i="22"/>
  <c r="S11" i="22"/>
  <c r="D23" i="22"/>
  <c r="D37" i="22"/>
  <c r="S25" i="22"/>
  <c r="T4" i="22"/>
  <c r="T3" i="22"/>
  <c r="E28" i="22"/>
  <c r="T16" i="22"/>
  <c r="T8" i="22"/>
  <c r="E20" i="22"/>
  <c r="T7" i="22"/>
  <c r="E19" i="22"/>
  <c r="T9" i="22"/>
  <c r="E21" i="22"/>
  <c r="T11" i="22"/>
  <c r="E23" i="22"/>
  <c r="E29" i="22"/>
  <c r="T17" i="22"/>
  <c r="E26" i="22"/>
  <c r="T14" i="22"/>
  <c r="E27" i="22"/>
  <c r="T15" i="22"/>
  <c r="S4" i="22"/>
  <c r="D16" i="22"/>
  <c r="S6" i="22"/>
  <c r="D18" i="22"/>
  <c r="S8" i="22"/>
  <c r="D20" i="22"/>
  <c r="S10" i="22"/>
  <c r="D22" i="22"/>
  <c r="S12" i="22"/>
  <c r="D24" i="22"/>
  <c r="S2" i="22"/>
  <c r="D14" i="22"/>
  <c r="C38" i="9"/>
  <c r="C38" i="21" s="1"/>
  <c r="I38" i="9"/>
  <c r="J38" i="9"/>
  <c r="K38" i="9"/>
  <c r="L38" i="9"/>
  <c r="M38" i="9"/>
  <c r="O38" i="9" s="1"/>
  <c r="P38" i="9"/>
  <c r="R38" i="9" s="1"/>
  <c r="S38" i="9"/>
  <c r="T38" i="9"/>
  <c r="U38" i="9"/>
  <c r="V38" i="9"/>
  <c r="W38" i="9"/>
  <c r="X38" i="9"/>
  <c r="Y38" i="9"/>
  <c r="Z38" i="9"/>
  <c r="AA38" i="9"/>
  <c r="C39" i="9"/>
  <c r="C39" i="21" s="1"/>
  <c r="I39" i="9"/>
  <c r="J39" i="9"/>
  <c r="K39" i="9"/>
  <c r="L39" i="9"/>
  <c r="M39" i="9"/>
  <c r="O39" i="9" s="1"/>
  <c r="P39" i="9"/>
  <c r="R39" i="9" s="1"/>
  <c r="S39" i="9"/>
  <c r="T39" i="9"/>
  <c r="U39" i="9"/>
  <c r="V39" i="9"/>
  <c r="W39" i="9"/>
  <c r="X39" i="9"/>
  <c r="Y39" i="9"/>
  <c r="Z39" i="9"/>
  <c r="AA39" i="9"/>
  <c r="C40" i="9"/>
  <c r="C40" i="21" s="1"/>
  <c r="I40" i="9"/>
  <c r="J40" i="9"/>
  <c r="K40" i="9"/>
  <c r="L40" i="9"/>
  <c r="M40" i="9"/>
  <c r="O40" i="9" s="1"/>
  <c r="P40" i="9"/>
  <c r="R40" i="9" s="1"/>
  <c r="S40" i="9"/>
  <c r="T40" i="9"/>
  <c r="U40" i="9"/>
  <c r="V40" i="9"/>
  <c r="W40" i="9"/>
  <c r="X40" i="9"/>
  <c r="Y40" i="9"/>
  <c r="Z40" i="9"/>
  <c r="AA40" i="9"/>
  <c r="C41" i="9"/>
  <c r="C41" i="21" s="1"/>
  <c r="I41" i="9"/>
  <c r="J41" i="9"/>
  <c r="K41" i="9"/>
  <c r="L41" i="9"/>
  <c r="M41" i="9"/>
  <c r="O41" i="9" s="1"/>
  <c r="P41" i="9"/>
  <c r="R41" i="9" s="1"/>
  <c r="S41" i="9"/>
  <c r="T41" i="9"/>
  <c r="U41" i="9"/>
  <c r="V41" i="9"/>
  <c r="W41" i="9"/>
  <c r="X41" i="9"/>
  <c r="Y41" i="9"/>
  <c r="Z41" i="9"/>
  <c r="AA41" i="9"/>
  <c r="C42" i="9"/>
  <c r="C42" i="21" s="1"/>
  <c r="I42" i="9"/>
  <c r="J42" i="9"/>
  <c r="K42" i="9"/>
  <c r="L42" i="9"/>
  <c r="M42" i="9"/>
  <c r="O42" i="9" s="1"/>
  <c r="P42" i="9"/>
  <c r="R42" i="9" s="1"/>
  <c r="S42" i="9"/>
  <c r="T42" i="9"/>
  <c r="U42" i="9"/>
  <c r="V42" i="9"/>
  <c r="W42" i="9"/>
  <c r="X42" i="9"/>
  <c r="Y42" i="9"/>
  <c r="Z42" i="9"/>
  <c r="AA42" i="9"/>
  <c r="C43" i="9"/>
  <c r="C43" i="21" s="1"/>
  <c r="I43" i="9"/>
  <c r="J43" i="9"/>
  <c r="K43" i="9"/>
  <c r="L43" i="9"/>
  <c r="M43" i="9"/>
  <c r="O43" i="9" s="1"/>
  <c r="P43" i="9"/>
  <c r="R43" i="9" s="1"/>
  <c r="S43" i="9"/>
  <c r="T43" i="9"/>
  <c r="U43" i="9"/>
  <c r="V43" i="9"/>
  <c r="W43" i="9"/>
  <c r="X43" i="9"/>
  <c r="Y43" i="9"/>
  <c r="Z43" i="9"/>
  <c r="AA43" i="9"/>
  <c r="C44" i="9"/>
  <c r="C44" i="21" s="1"/>
  <c r="I44" i="9"/>
  <c r="J44" i="9"/>
  <c r="K44" i="9"/>
  <c r="L44" i="9"/>
  <c r="M44" i="9"/>
  <c r="O44" i="9" s="1"/>
  <c r="P44" i="9"/>
  <c r="R44" i="9" s="1"/>
  <c r="S44" i="9"/>
  <c r="T44" i="9"/>
  <c r="U44" i="9"/>
  <c r="V44" i="9"/>
  <c r="W44" i="9"/>
  <c r="X44" i="9"/>
  <c r="Y44" i="9"/>
  <c r="Z44" i="9"/>
  <c r="AA44" i="9"/>
  <c r="C45" i="9"/>
  <c r="C45" i="21" s="1"/>
  <c r="I45" i="9"/>
  <c r="J45" i="9"/>
  <c r="K45" i="9"/>
  <c r="L45" i="9"/>
  <c r="M45" i="9"/>
  <c r="O45" i="9" s="1"/>
  <c r="P45" i="9"/>
  <c r="R45" i="9" s="1"/>
  <c r="S45" i="9"/>
  <c r="T45" i="9"/>
  <c r="U45" i="9"/>
  <c r="V45" i="9"/>
  <c r="W45" i="9"/>
  <c r="X45" i="9"/>
  <c r="Y45" i="9"/>
  <c r="Z45" i="9"/>
  <c r="AA45" i="9"/>
  <c r="C46" i="9"/>
  <c r="C46" i="21" s="1"/>
  <c r="I46" i="9"/>
  <c r="J46" i="9"/>
  <c r="K46" i="9"/>
  <c r="L46" i="9"/>
  <c r="M46" i="9"/>
  <c r="O46" i="9" s="1"/>
  <c r="P46" i="9"/>
  <c r="R46" i="9" s="1"/>
  <c r="S46" i="9"/>
  <c r="T46" i="9"/>
  <c r="U46" i="9"/>
  <c r="V46" i="9"/>
  <c r="W46" i="9"/>
  <c r="X46" i="9"/>
  <c r="Y46" i="9"/>
  <c r="Z46" i="9"/>
  <c r="AA46" i="9"/>
  <c r="C47" i="9"/>
  <c r="C47" i="21" s="1"/>
  <c r="I47" i="9"/>
  <c r="J47" i="9"/>
  <c r="K47" i="9"/>
  <c r="L47" i="9"/>
  <c r="M47" i="9"/>
  <c r="O47" i="9" s="1"/>
  <c r="P47" i="9"/>
  <c r="R47" i="9" s="1"/>
  <c r="S47" i="9"/>
  <c r="T47" i="9"/>
  <c r="U47" i="9"/>
  <c r="V47" i="9"/>
  <c r="W47" i="9"/>
  <c r="X47" i="9"/>
  <c r="Y47" i="9"/>
  <c r="Z47" i="9"/>
  <c r="AA47" i="9"/>
  <c r="C48" i="9"/>
  <c r="C48" i="21" s="1"/>
  <c r="I48" i="9"/>
  <c r="J48" i="9"/>
  <c r="K48" i="9"/>
  <c r="L48" i="9"/>
  <c r="M48" i="9"/>
  <c r="O48" i="9" s="1"/>
  <c r="P48" i="9"/>
  <c r="R48" i="9" s="1"/>
  <c r="S48" i="9"/>
  <c r="T48" i="9"/>
  <c r="U48" i="9"/>
  <c r="V48" i="9"/>
  <c r="W48" i="9"/>
  <c r="X48" i="9"/>
  <c r="Y48" i="9"/>
  <c r="Z48" i="9"/>
  <c r="AA48" i="9"/>
  <c r="C49" i="9"/>
  <c r="C49" i="21" s="1"/>
  <c r="I49" i="9"/>
  <c r="J49" i="9"/>
  <c r="K49" i="9"/>
  <c r="L49" i="9"/>
  <c r="M49" i="9"/>
  <c r="O49" i="9" s="1"/>
  <c r="P49" i="9"/>
  <c r="R49" i="9" s="1"/>
  <c r="S49" i="9"/>
  <c r="T49" i="9"/>
  <c r="U49" i="9"/>
  <c r="V49" i="9"/>
  <c r="W49" i="9"/>
  <c r="X49" i="9"/>
  <c r="Y49" i="9"/>
  <c r="Z49" i="9"/>
  <c r="AA49" i="9"/>
  <c r="C50" i="9"/>
  <c r="C50" i="21" s="1"/>
  <c r="I50" i="9"/>
  <c r="J50" i="9"/>
  <c r="K50" i="9"/>
  <c r="L50" i="9"/>
  <c r="M50" i="9"/>
  <c r="O50" i="9" s="1"/>
  <c r="P50" i="9"/>
  <c r="R50" i="9" s="1"/>
  <c r="S50" i="9"/>
  <c r="T50" i="9"/>
  <c r="U50" i="9"/>
  <c r="V50" i="9"/>
  <c r="W50" i="9"/>
  <c r="X50" i="9"/>
  <c r="Y50" i="9"/>
  <c r="Z50" i="9"/>
  <c r="AA50" i="9"/>
  <c r="C51" i="9"/>
  <c r="C51" i="21" s="1"/>
  <c r="I51" i="9"/>
  <c r="J51" i="9"/>
  <c r="K51" i="9"/>
  <c r="L51" i="9"/>
  <c r="M51" i="9"/>
  <c r="O51" i="9" s="1"/>
  <c r="P51" i="9"/>
  <c r="R51" i="9" s="1"/>
  <c r="S51" i="9"/>
  <c r="T51" i="9"/>
  <c r="U51" i="9"/>
  <c r="V51" i="9"/>
  <c r="W51" i="9"/>
  <c r="X51" i="9"/>
  <c r="Y51" i="9"/>
  <c r="Z51" i="9"/>
  <c r="AA51" i="9"/>
  <c r="C52" i="9"/>
  <c r="C52" i="21" s="1"/>
  <c r="I52" i="9"/>
  <c r="J52" i="9"/>
  <c r="K52" i="9"/>
  <c r="L52" i="9"/>
  <c r="M52" i="9"/>
  <c r="O52" i="9" s="1"/>
  <c r="P52" i="9"/>
  <c r="R52" i="9" s="1"/>
  <c r="S52" i="9"/>
  <c r="T52" i="9"/>
  <c r="U52" i="9"/>
  <c r="V52" i="9"/>
  <c r="W52" i="9"/>
  <c r="X52" i="9"/>
  <c r="Y52" i="9"/>
  <c r="Z52" i="9"/>
  <c r="AA52" i="9"/>
  <c r="C53" i="9"/>
  <c r="C53" i="21" s="1"/>
  <c r="I53" i="9"/>
  <c r="J53" i="9"/>
  <c r="K53" i="9"/>
  <c r="L53" i="9"/>
  <c r="M53" i="9"/>
  <c r="O53" i="9" s="1"/>
  <c r="P53" i="9"/>
  <c r="R53" i="9" s="1"/>
  <c r="S53" i="9"/>
  <c r="T53" i="9"/>
  <c r="U53" i="9"/>
  <c r="V53" i="9"/>
  <c r="W53" i="9"/>
  <c r="X53" i="9"/>
  <c r="Y53" i="9"/>
  <c r="Z53" i="9"/>
  <c r="AA53" i="9"/>
  <c r="C54" i="9"/>
  <c r="C54" i="21" s="1"/>
  <c r="I54" i="9"/>
  <c r="J54" i="9"/>
  <c r="K54" i="9"/>
  <c r="L54" i="9"/>
  <c r="M54" i="9"/>
  <c r="O54" i="9" s="1"/>
  <c r="P54" i="9"/>
  <c r="R54" i="9" s="1"/>
  <c r="S54" i="9"/>
  <c r="T54" i="9"/>
  <c r="U54" i="9"/>
  <c r="V54" i="9"/>
  <c r="W54" i="9"/>
  <c r="X54" i="9"/>
  <c r="Y54" i="9"/>
  <c r="Z54" i="9"/>
  <c r="AA54" i="9"/>
  <c r="C55" i="9"/>
  <c r="C55" i="21" s="1"/>
  <c r="I55" i="9"/>
  <c r="J55" i="9"/>
  <c r="K55" i="9"/>
  <c r="L55" i="9"/>
  <c r="M55" i="9"/>
  <c r="O55" i="9" s="1"/>
  <c r="P55" i="9"/>
  <c r="R55" i="9" s="1"/>
  <c r="S55" i="9"/>
  <c r="T55" i="9"/>
  <c r="U55" i="9"/>
  <c r="V55" i="9"/>
  <c r="W55" i="9"/>
  <c r="X55" i="9"/>
  <c r="Y55" i="9"/>
  <c r="Z55" i="9"/>
  <c r="AA55" i="9"/>
  <c r="C56" i="9"/>
  <c r="C56" i="21" s="1"/>
  <c r="I56" i="9"/>
  <c r="J56" i="9"/>
  <c r="K56" i="9"/>
  <c r="L56" i="9"/>
  <c r="M56" i="9"/>
  <c r="O56" i="9" s="1"/>
  <c r="P56" i="9"/>
  <c r="R56" i="9" s="1"/>
  <c r="S56" i="9"/>
  <c r="T56" i="9"/>
  <c r="U56" i="9"/>
  <c r="V56" i="9"/>
  <c r="W56" i="9"/>
  <c r="X56" i="9"/>
  <c r="Y56" i="9"/>
  <c r="Z56" i="9"/>
  <c r="AA56" i="9"/>
  <c r="C57" i="9"/>
  <c r="C57" i="21" s="1"/>
  <c r="I57" i="9"/>
  <c r="J57" i="9"/>
  <c r="K57" i="9"/>
  <c r="L57" i="9"/>
  <c r="M57" i="9"/>
  <c r="O57" i="9" s="1"/>
  <c r="P57" i="9"/>
  <c r="R57" i="9" s="1"/>
  <c r="S57" i="9"/>
  <c r="T57" i="9"/>
  <c r="U57" i="9"/>
  <c r="V57" i="9"/>
  <c r="W57" i="9"/>
  <c r="X57" i="9"/>
  <c r="Y57" i="9"/>
  <c r="Z57" i="9"/>
  <c r="AA57" i="9"/>
  <c r="C58" i="9"/>
  <c r="C58" i="21" s="1"/>
  <c r="I58" i="9"/>
  <c r="J58" i="9"/>
  <c r="K58" i="9"/>
  <c r="L58" i="9"/>
  <c r="M58" i="9"/>
  <c r="O58" i="9" s="1"/>
  <c r="P58" i="9"/>
  <c r="R58" i="9" s="1"/>
  <c r="S58" i="9"/>
  <c r="T58" i="9"/>
  <c r="U58" i="9"/>
  <c r="V58" i="9"/>
  <c r="W58" i="9"/>
  <c r="X58" i="9"/>
  <c r="Y58" i="9"/>
  <c r="Z58" i="9"/>
  <c r="AA58" i="9"/>
  <c r="C59" i="9"/>
  <c r="C59" i="21" s="1"/>
  <c r="I59" i="9"/>
  <c r="J59" i="9"/>
  <c r="K59" i="9"/>
  <c r="L59" i="9"/>
  <c r="M59" i="9"/>
  <c r="O59" i="9" s="1"/>
  <c r="P59" i="9"/>
  <c r="R59" i="9" s="1"/>
  <c r="S59" i="9"/>
  <c r="T59" i="9"/>
  <c r="U59" i="9"/>
  <c r="V59" i="9"/>
  <c r="W59" i="9"/>
  <c r="X59" i="9"/>
  <c r="Y59" i="9"/>
  <c r="Z59" i="9"/>
  <c r="AA59" i="9"/>
  <c r="C60" i="9"/>
  <c r="C60" i="21" s="1"/>
  <c r="I60" i="9"/>
  <c r="J60" i="9"/>
  <c r="K60" i="9"/>
  <c r="L60" i="9"/>
  <c r="M60" i="9"/>
  <c r="O60" i="9" s="1"/>
  <c r="P60" i="9"/>
  <c r="R60" i="9" s="1"/>
  <c r="S60" i="9"/>
  <c r="T60" i="9"/>
  <c r="U60" i="9"/>
  <c r="V60" i="9"/>
  <c r="W60" i="9"/>
  <c r="X60" i="9"/>
  <c r="Y60" i="9"/>
  <c r="Z60" i="9"/>
  <c r="AA60" i="9"/>
  <c r="C61" i="9"/>
  <c r="C61" i="21" s="1"/>
  <c r="I61" i="9"/>
  <c r="J61" i="9"/>
  <c r="K61" i="9"/>
  <c r="L61" i="9"/>
  <c r="M61" i="9"/>
  <c r="O61" i="9" s="1"/>
  <c r="P61" i="9"/>
  <c r="R61" i="9" s="1"/>
  <c r="S61" i="9"/>
  <c r="T61" i="9"/>
  <c r="U61" i="9"/>
  <c r="V61" i="9"/>
  <c r="W61" i="9"/>
  <c r="X61" i="9"/>
  <c r="Y61" i="9"/>
  <c r="Z61" i="9"/>
  <c r="AA61" i="9"/>
  <c r="C62" i="9"/>
  <c r="C62" i="21" s="1"/>
  <c r="I62" i="9"/>
  <c r="J62" i="9"/>
  <c r="K62" i="9"/>
  <c r="L62" i="9"/>
  <c r="M62" i="9"/>
  <c r="O62" i="9" s="1"/>
  <c r="P62" i="9"/>
  <c r="R62" i="9" s="1"/>
  <c r="S62" i="9"/>
  <c r="T62" i="9"/>
  <c r="U62" i="9"/>
  <c r="V62" i="9"/>
  <c r="W62" i="9"/>
  <c r="X62" i="9"/>
  <c r="Y62" i="9"/>
  <c r="Z62" i="9"/>
  <c r="AA62" i="9"/>
  <c r="C63" i="9"/>
  <c r="C63" i="21" s="1"/>
  <c r="I63" i="9"/>
  <c r="J63" i="9"/>
  <c r="K63" i="9"/>
  <c r="L63" i="9"/>
  <c r="M63" i="9"/>
  <c r="O63" i="9" s="1"/>
  <c r="P63" i="9"/>
  <c r="R63" i="9" s="1"/>
  <c r="S63" i="9"/>
  <c r="T63" i="9"/>
  <c r="U63" i="9"/>
  <c r="V63" i="9"/>
  <c r="W63" i="9"/>
  <c r="X63" i="9"/>
  <c r="Y63" i="9"/>
  <c r="Z63" i="9"/>
  <c r="AA63" i="9"/>
  <c r="C64" i="9"/>
  <c r="C64" i="21" s="1"/>
  <c r="I64" i="9"/>
  <c r="J64" i="9"/>
  <c r="K64" i="9"/>
  <c r="L64" i="9"/>
  <c r="M64" i="9"/>
  <c r="O64" i="9" s="1"/>
  <c r="P64" i="9"/>
  <c r="R64" i="9" s="1"/>
  <c r="S64" i="9"/>
  <c r="T64" i="9"/>
  <c r="U64" i="9"/>
  <c r="V64" i="9"/>
  <c r="W64" i="9"/>
  <c r="X64" i="9"/>
  <c r="Y64" i="9"/>
  <c r="Z64" i="9"/>
  <c r="AA64" i="9"/>
  <c r="C65" i="9"/>
  <c r="C65" i="21" s="1"/>
  <c r="I65" i="9"/>
  <c r="J65" i="9"/>
  <c r="K65" i="9"/>
  <c r="L65" i="9"/>
  <c r="M65" i="9"/>
  <c r="O65" i="9" s="1"/>
  <c r="P65" i="9"/>
  <c r="R65" i="9" s="1"/>
  <c r="S65" i="9"/>
  <c r="T65" i="9"/>
  <c r="U65" i="9"/>
  <c r="V65" i="9"/>
  <c r="W65" i="9"/>
  <c r="X65" i="9"/>
  <c r="Y65" i="9"/>
  <c r="Z65" i="9"/>
  <c r="AA65" i="9"/>
  <c r="C66" i="9"/>
  <c r="C66" i="21" s="1"/>
  <c r="I66" i="9"/>
  <c r="J66" i="9"/>
  <c r="K66" i="9"/>
  <c r="L66" i="9"/>
  <c r="M66" i="9"/>
  <c r="O66" i="9" s="1"/>
  <c r="P66" i="9"/>
  <c r="R66" i="9" s="1"/>
  <c r="S66" i="9"/>
  <c r="T66" i="9"/>
  <c r="U66" i="9"/>
  <c r="V66" i="9"/>
  <c r="W66" i="9"/>
  <c r="X66" i="9"/>
  <c r="Y66" i="9"/>
  <c r="Z66" i="9"/>
  <c r="AA66" i="9"/>
  <c r="C67" i="9"/>
  <c r="C67" i="21" s="1"/>
  <c r="I67" i="9"/>
  <c r="J67" i="9"/>
  <c r="K67" i="9"/>
  <c r="L67" i="9"/>
  <c r="M67" i="9"/>
  <c r="O67" i="9" s="1"/>
  <c r="P67" i="9"/>
  <c r="R67" i="9" s="1"/>
  <c r="S67" i="9"/>
  <c r="T67" i="9"/>
  <c r="U67" i="9"/>
  <c r="V67" i="9"/>
  <c r="W67" i="9"/>
  <c r="X67" i="9"/>
  <c r="Y67" i="9"/>
  <c r="Z67" i="9"/>
  <c r="AA67" i="9"/>
  <c r="C68" i="9"/>
  <c r="C68" i="21" s="1"/>
  <c r="I68" i="9"/>
  <c r="J68" i="9"/>
  <c r="K68" i="9"/>
  <c r="L68" i="9"/>
  <c r="M68" i="9"/>
  <c r="O68" i="9" s="1"/>
  <c r="P68" i="9"/>
  <c r="R68" i="9" s="1"/>
  <c r="S68" i="9"/>
  <c r="T68" i="9"/>
  <c r="U68" i="9"/>
  <c r="V68" i="9"/>
  <c r="W68" i="9"/>
  <c r="X68" i="9"/>
  <c r="Y68" i="9"/>
  <c r="Z68" i="9"/>
  <c r="AA68" i="9"/>
  <c r="C69" i="9"/>
  <c r="C69" i="21" s="1"/>
  <c r="I69" i="9"/>
  <c r="J69" i="9"/>
  <c r="K69" i="9"/>
  <c r="L69" i="9"/>
  <c r="M69" i="9"/>
  <c r="O69" i="9" s="1"/>
  <c r="P69" i="9"/>
  <c r="R69" i="9" s="1"/>
  <c r="S69" i="9"/>
  <c r="T69" i="9"/>
  <c r="U69" i="9"/>
  <c r="V69" i="9"/>
  <c r="W69" i="9"/>
  <c r="X69" i="9"/>
  <c r="Y69" i="9"/>
  <c r="Z69" i="9"/>
  <c r="AA69" i="9"/>
  <c r="C70" i="9"/>
  <c r="C70" i="21" s="1"/>
  <c r="I70" i="9"/>
  <c r="J70" i="9"/>
  <c r="K70" i="9"/>
  <c r="L70" i="9"/>
  <c r="M70" i="9"/>
  <c r="O70" i="9" s="1"/>
  <c r="P70" i="9"/>
  <c r="R70" i="9" s="1"/>
  <c r="S70" i="9"/>
  <c r="T70" i="9"/>
  <c r="U70" i="9"/>
  <c r="V70" i="9"/>
  <c r="W70" i="9"/>
  <c r="X70" i="9"/>
  <c r="Y70" i="9"/>
  <c r="Z70" i="9"/>
  <c r="AA70" i="9"/>
  <c r="C71" i="9"/>
  <c r="C71" i="21" s="1"/>
  <c r="I71" i="9"/>
  <c r="J71" i="9"/>
  <c r="K71" i="9"/>
  <c r="L71" i="9"/>
  <c r="M71" i="9"/>
  <c r="O71" i="9" s="1"/>
  <c r="P71" i="9"/>
  <c r="R71" i="9" s="1"/>
  <c r="S71" i="9"/>
  <c r="T71" i="9"/>
  <c r="U71" i="9"/>
  <c r="V71" i="9"/>
  <c r="W71" i="9"/>
  <c r="X71" i="9"/>
  <c r="Y71" i="9"/>
  <c r="Z71" i="9"/>
  <c r="AA71" i="9"/>
  <c r="C72" i="9"/>
  <c r="C72" i="21" s="1"/>
  <c r="I72" i="9"/>
  <c r="J72" i="9"/>
  <c r="K72" i="9"/>
  <c r="L72" i="9"/>
  <c r="M72" i="9"/>
  <c r="O72" i="9" s="1"/>
  <c r="P72" i="9"/>
  <c r="R72" i="9" s="1"/>
  <c r="S72" i="9"/>
  <c r="T72" i="9"/>
  <c r="U72" i="9"/>
  <c r="V72" i="9"/>
  <c r="W72" i="9"/>
  <c r="X72" i="9"/>
  <c r="Y72" i="9"/>
  <c r="Z72" i="9"/>
  <c r="AA72" i="9"/>
  <c r="C73" i="9"/>
  <c r="C73" i="21" s="1"/>
  <c r="I73" i="9"/>
  <c r="J73" i="9"/>
  <c r="K73" i="9"/>
  <c r="L73" i="9"/>
  <c r="M73" i="9"/>
  <c r="O73" i="9" s="1"/>
  <c r="P73" i="9"/>
  <c r="R73" i="9" s="1"/>
  <c r="S73" i="9"/>
  <c r="T73" i="9"/>
  <c r="U73" i="9"/>
  <c r="V73" i="9"/>
  <c r="W73" i="9"/>
  <c r="X73" i="9"/>
  <c r="Y73" i="9"/>
  <c r="Z73" i="9"/>
  <c r="AA73" i="9"/>
  <c r="C74" i="9"/>
  <c r="C74" i="21" s="1"/>
  <c r="I74" i="9"/>
  <c r="J74" i="9"/>
  <c r="K74" i="9"/>
  <c r="L74" i="9"/>
  <c r="M74" i="9"/>
  <c r="O74" i="9" s="1"/>
  <c r="P74" i="9"/>
  <c r="R74" i="9" s="1"/>
  <c r="S74" i="9"/>
  <c r="T74" i="9"/>
  <c r="U74" i="9"/>
  <c r="V74" i="9"/>
  <c r="W74" i="9"/>
  <c r="X74" i="9"/>
  <c r="Y74" i="9"/>
  <c r="Z74" i="9"/>
  <c r="AA74" i="9"/>
  <c r="C75" i="9"/>
  <c r="C75" i="21" s="1"/>
  <c r="I75" i="9"/>
  <c r="J75" i="9"/>
  <c r="K75" i="9"/>
  <c r="L75" i="9"/>
  <c r="M75" i="9"/>
  <c r="O75" i="9" s="1"/>
  <c r="P75" i="9"/>
  <c r="R75" i="9" s="1"/>
  <c r="S75" i="9"/>
  <c r="T75" i="9"/>
  <c r="U75" i="9"/>
  <c r="V75" i="9"/>
  <c r="W75" i="9"/>
  <c r="X75" i="9"/>
  <c r="Y75" i="9"/>
  <c r="Z75" i="9"/>
  <c r="AA75" i="9"/>
  <c r="C76" i="9"/>
  <c r="C76" i="21" s="1"/>
  <c r="I76" i="9"/>
  <c r="J76" i="9"/>
  <c r="K76" i="9"/>
  <c r="L76" i="9"/>
  <c r="M76" i="9"/>
  <c r="O76" i="9" s="1"/>
  <c r="P76" i="9"/>
  <c r="R76" i="9" s="1"/>
  <c r="S76" i="9"/>
  <c r="T76" i="9"/>
  <c r="U76" i="9"/>
  <c r="V76" i="9"/>
  <c r="W76" i="9"/>
  <c r="X76" i="9"/>
  <c r="Y76" i="9"/>
  <c r="Z76" i="9"/>
  <c r="AA76" i="9"/>
  <c r="C77" i="9"/>
  <c r="C77" i="21" s="1"/>
  <c r="I77" i="9"/>
  <c r="J77" i="9"/>
  <c r="K77" i="9"/>
  <c r="L77" i="9"/>
  <c r="M77" i="9"/>
  <c r="O77" i="9" s="1"/>
  <c r="P77" i="9"/>
  <c r="R77" i="9" s="1"/>
  <c r="S77" i="9"/>
  <c r="T77" i="9"/>
  <c r="U77" i="9"/>
  <c r="V77" i="9"/>
  <c r="W77" i="9"/>
  <c r="X77" i="9"/>
  <c r="Y77" i="9"/>
  <c r="Z77" i="9"/>
  <c r="AA77" i="9"/>
  <c r="C78" i="9"/>
  <c r="C78" i="21" s="1"/>
  <c r="I78" i="9"/>
  <c r="J78" i="9"/>
  <c r="K78" i="9"/>
  <c r="L78" i="9"/>
  <c r="M78" i="9"/>
  <c r="O78" i="9" s="1"/>
  <c r="P78" i="9"/>
  <c r="R78" i="9" s="1"/>
  <c r="S78" i="9"/>
  <c r="T78" i="9"/>
  <c r="U78" i="9"/>
  <c r="V78" i="9"/>
  <c r="W78" i="9"/>
  <c r="X78" i="9"/>
  <c r="Y78" i="9"/>
  <c r="Z78" i="9"/>
  <c r="AA78" i="9"/>
  <c r="C79" i="9"/>
  <c r="C79" i="21" s="1"/>
  <c r="I79" i="9"/>
  <c r="J79" i="9"/>
  <c r="K79" i="9"/>
  <c r="L79" i="9"/>
  <c r="M79" i="9"/>
  <c r="O79" i="9" s="1"/>
  <c r="P79" i="9"/>
  <c r="R79" i="9" s="1"/>
  <c r="S79" i="9"/>
  <c r="T79" i="9"/>
  <c r="U79" i="9"/>
  <c r="V79" i="9"/>
  <c r="W79" i="9"/>
  <c r="X79" i="9"/>
  <c r="Y79" i="9"/>
  <c r="Z79" i="9"/>
  <c r="AA79" i="9"/>
  <c r="C80" i="9"/>
  <c r="C80" i="21" s="1"/>
  <c r="I80" i="9"/>
  <c r="J80" i="9"/>
  <c r="K80" i="9"/>
  <c r="L80" i="9"/>
  <c r="M80" i="9"/>
  <c r="O80" i="9" s="1"/>
  <c r="P80" i="9"/>
  <c r="R80" i="9" s="1"/>
  <c r="S80" i="9"/>
  <c r="T80" i="9"/>
  <c r="U80" i="9"/>
  <c r="V80" i="9"/>
  <c r="W80" i="9"/>
  <c r="X80" i="9"/>
  <c r="Y80" i="9"/>
  <c r="Z80" i="9"/>
  <c r="AA80" i="9"/>
  <c r="C81" i="9"/>
  <c r="C81" i="21" s="1"/>
  <c r="I81" i="9"/>
  <c r="J81" i="9"/>
  <c r="K81" i="9"/>
  <c r="L81" i="9"/>
  <c r="M81" i="9"/>
  <c r="O81" i="9" s="1"/>
  <c r="P81" i="9"/>
  <c r="R81" i="9" s="1"/>
  <c r="S81" i="9"/>
  <c r="T81" i="9"/>
  <c r="U81" i="9"/>
  <c r="V81" i="9"/>
  <c r="W81" i="9"/>
  <c r="X81" i="9"/>
  <c r="Y81" i="9"/>
  <c r="Z81" i="9"/>
  <c r="AA81" i="9"/>
  <c r="C82" i="9"/>
  <c r="C82" i="21" s="1"/>
  <c r="I82" i="9"/>
  <c r="J82" i="9"/>
  <c r="K82" i="9"/>
  <c r="L82" i="9"/>
  <c r="M82" i="9"/>
  <c r="O82" i="9" s="1"/>
  <c r="P82" i="9"/>
  <c r="R82" i="9" s="1"/>
  <c r="S82" i="9"/>
  <c r="T82" i="9"/>
  <c r="U82" i="9"/>
  <c r="V82" i="9"/>
  <c r="W82" i="9"/>
  <c r="X82" i="9"/>
  <c r="Y82" i="9"/>
  <c r="Z82" i="9"/>
  <c r="AA82" i="9"/>
  <c r="C83" i="9"/>
  <c r="C83" i="21" s="1"/>
  <c r="I83" i="9"/>
  <c r="J83" i="9"/>
  <c r="K83" i="9"/>
  <c r="L83" i="9"/>
  <c r="M83" i="9"/>
  <c r="O83" i="9" s="1"/>
  <c r="P83" i="9"/>
  <c r="R83" i="9" s="1"/>
  <c r="S83" i="9"/>
  <c r="T83" i="9"/>
  <c r="U83" i="9"/>
  <c r="V83" i="9"/>
  <c r="W83" i="9"/>
  <c r="X83" i="9"/>
  <c r="Y83" i="9"/>
  <c r="Z83" i="9"/>
  <c r="AA83" i="9"/>
  <c r="C84" i="9"/>
  <c r="C84" i="21" s="1"/>
  <c r="I84" i="9"/>
  <c r="J84" i="9"/>
  <c r="K84" i="9"/>
  <c r="L84" i="9"/>
  <c r="M84" i="9"/>
  <c r="O84" i="9" s="1"/>
  <c r="P84" i="9"/>
  <c r="R84" i="9" s="1"/>
  <c r="S84" i="9"/>
  <c r="T84" i="9"/>
  <c r="U84" i="9"/>
  <c r="V84" i="9"/>
  <c r="W84" i="9"/>
  <c r="X84" i="9"/>
  <c r="Y84" i="9"/>
  <c r="Z84" i="9"/>
  <c r="AA84" i="9"/>
  <c r="C85" i="9"/>
  <c r="C85" i="21" s="1"/>
  <c r="I85" i="9"/>
  <c r="J85" i="9"/>
  <c r="K85" i="9"/>
  <c r="L85" i="9"/>
  <c r="M85" i="9"/>
  <c r="O85" i="9" s="1"/>
  <c r="P85" i="9"/>
  <c r="R85" i="9" s="1"/>
  <c r="S85" i="9"/>
  <c r="T85" i="9"/>
  <c r="U85" i="9"/>
  <c r="V85" i="9"/>
  <c r="W85" i="9"/>
  <c r="X85" i="9"/>
  <c r="Y85" i="9"/>
  <c r="Z85" i="9"/>
  <c r="AA85" i="9"/>
  <c r="A38" i="9"/>
  <c r="A38" i="21" s="1"/>
  <c r="A39" i="9"/>
  <c r="A40" i="9"/>
  <c r="A41" i="9"/>
  <c r="A41" i="21" s="1"/>
  <c r="A42" i="9"/>
  <c r="A42" i="21" s="1"/>
  <c r="A43" i="9"/>
  <c r="A44" i="9"/>
  <c r="A45" i="9"/>
  <c r="A46" i="9"/>
  <c r="A46" i="21" s="1"/>
  <c r="A47" i="9"/>
  <c r="A47" i="21" s="1"/>
  <c r="A48" i="9"/>
  <c r="A49" i="9"/>
  <c r="A49" i="21" s="1"/>
  <c r="A50" i="9"/>
  <c r="A50" i="21" s="1"/>
  <c r="A51" i="9"/>
  <c r="A52" i="9"/>
  <c r="A53" i="9"/>
  <c r="A54" i="9"/>
  <c r="A54" i="21" s="1"/>
  <c r="A55" i="9"/>
  <c r="A56" i="9"/>
  <c r="A57" i="9"/>
  <c r="A58" i="9"/>
  <c r="A59" i="9"/>
  <c r="A59" i="21" s="1"/>
  <c r="A60" i="9"/>
  <c r="A61" i="9"/>
  <c r="A62" i="9"/>
  <c r="A62" i="21" s="1"/>
  <c r="A63" i="9"/>
  <c r="A63" i="21" s="1"/>
  <c r="A64" i="9"/>
  <c r="A65" i="9"/>
  <c r="A65" i="21" s="1"/>
  <c r="A66" i="9"/>
  <c r="A66" i="21" s="1"/>
  <c r="A67" i="9"/>
  <c r="A68" i="9"/>
  <c r="A69" i="9"/>
  <c r="A70" i="9"/>
  <c r="A70" i="21" s="1"/>
  <c r="A71" i="9"/>
  <c r="A72" i="9"/>
  <c r="A73" i="9"/>
  <c r="A74" i="9"/>
  <c r="A75" i="9"/>
  <c r="A76" i="9"/>
  <c r="A77" i="9"/>
  <c r="A77" i="21" s="1"/>
  <c r="A78" i="9"/>
  <c r="A78" i="21" s="1"/>
  <c r="A79" i="9"/>
  <c r="A80" i="9"/>
  <c r="A81" i="9"/>
  <c r="A82" i="9"/>
  <c r="A83" i="9"/>
  <c r="A84" i="9"/>
  <c r="A85" i="9"/>
  <c r="A85" i="21" s="1"/>
  <c r="AA37" i="9"/>
  <c r="Z37" i="9"/>
  <c r="Y37" i="9"/>
  <c r="X37" i="9"/>
  <c r="W37" i="9"/>
  <c r="V37" i="9"/>
  <c r="U37" i="9"/>
  <c r="T37" i="9"/>
  <c r="S37" i="9"/>
  <c r="P37" i="9"/>
  <c r="R37" i="9" s="1"/>
  <c r="M37" i="9"/>
  <c r="O37" i="9" s="1"/>
  <c r="L37" i="9"/>
  <c r="K37" i="9"/>
  <c r="J37" i="9"/>
  <c r="I37" i="9"/>
  <c r="C37" i="9"/>
  <c r="C37" i="21" s="1"/>
  <c r="AA36" i="9"/>
  <c r="Z36" i="9"/>
  <c r="Y36" i="9"/>
  <c r="X36" i="9"/>
  <c r="W36" i="9"/>
  <c r="V36" i="9"/>
  <c r="U36" i="9"/>
  <c r="T36" i="9"/>
  <c r="S36" i="9"/>
  <c r="P36" i="9"/>
  <c r="R36" i="9" s="1"/>
  <c r="M36" i="9"/>
  <c r="O36" i="9" s="1"/>
  <c r="L36" i="9"/>
  <c r="K36" i="9"/>
  <c r="J36" i="9"/>
  <c r="I36" i="9"/>
  <c r="C36" i="9"/>
  <c r="C36" i="21" s="1"/>
  <c r="AA35" i="9"/>
  <c r="Z35" i="9"/>
  <c r="Y35" i="9"/>
  <c r="X35" i="9"/>
  <c r="W35" i="9"/>
  <c r="V35" i="9"/>
  <c r="U35" i="9"/>
  <c r="T35" i="9"/>
  <c r="S35" i="9"/>
  <c r="P35" i="9"/>
  <c r="R35" i="9" s="1"/>
  <c r="M35" i="9"/>
  <c r="O35" i="9" s="1"/>
  <c r="L35" i="9"/>
  <c r="K35" i="9"/>
  <c r="J35" i="9"/>
  <c r="I35" i="9"/>
  <c r="C35" i="9"/>
  <c r="C35" i="21" s="1"/>
  <c r="AA34" i="9"/>
  <c r="Z34" i="9"/>
  <c r="Y34" i="9"/>
  <c r="X34" i="9"/>
  <c r="W34" i="9"/>
  <c r="V34" i="9"/>
  <c r="U34" i="9"/>
  <c r="T34" i="9"/>
  <c r="S34" i="9"/>
  <c r="P34" i="9"/>
  <c r="R34" i="9" s="1"/>
  <c r="M34" i="9"/>
  <c r="O34" i="9" s="1"/>
  <c r="L34" i="9"/>
  <c r="K34" i="9"/>
  <c r="J34" i="9"/>
  <c r="I34" i="9"/>
  <c r="C34" i="9"/>
  <c r="C34" i="21" s="1"/>
  <c r="AA33" i="9"/>
  <c r="Z33" i="9"/>
  <c r="Y33" i="9"/>
  <c r="X33" i="9"/>
  <c r="W33" i="9"/>
  <c r="V33" i="9"/>
  <c r="U33" i="9"/>
  <c r="T33" i="9"/>
  <c r="S33" i="9"/>
  <c r="P33" i="9"/>
  <c r="R33" i="9" s="1"/>
  <c r="M33" i="9"/>
  <c r="O33" i="9" s="1"/>
  <c r="L33" i="9"/>
  <c r="K33" i="9"/>
  <c r="J33" i="9"/>
  <c r="I33" i="9"/>
  <c r="C33" i="9"/>
  <c r="C33" i="21" s="1"/>
  <c r="AA32" i="9"/>
  <c r="Z32" i="9"/>
  <c r="Y32" i="9"/>
  <c r="X32" i="9"/>
  <c r="W32" i="9"/>
  <c r="V32" i="9"/>
  <c r="U32" i="9"/>
  <c r="T32" i="9"/>
  <c r="S32" i="9"/>
  <c r="P32" i="9"/>
  <c r="R32" i="9" s="1"/>
  <c r="M32" i="9"/>
  <c r="O32" i="9" s="1"/>
  <c r="L32" i="9"/>
  <c r="K32" i="9"/>
  <c r="J32" i="9"/>
  <c r="I32" i="9"/>
  <c r="C32" i="9"/>
  <c r="C32" i="21" s="1"/>
  <c r="AA31" i="9"/>
  <c r="Z31" i="9"/>
  <c r="Y31" i="9"/>
  <c r="X31" i="9"/>
  <c r="W31" i="9"/>
  <c r="V31" i="9"/>
  <c r="U31" i="9"/>
  <c r="T31" i="9"/>
  <c r="S31" i="9"/>
  <c r="P31" i="9"/>
  <c r="R31" i="9" s="1"/>
  <c r="M31" i="9"/>
  <c r="O31" i="9" s="1"/>
  <c r="L31" i="9"/>
  <c r="K31" i="9"/>
  <c r="J31" i="9"/>
  <c r="I31" i="9"/>
  <c r="C31" i="9"/>
  <c r="C31" i="21" s="1"/>
  <c r="AA30" i="9"/>
  <c r="Z30" i="9"/>
  <c r="Y30" i="9"/>
  <c r="X30" i="9"/>
  <c r="W30" i="9"/>
  <c r="V30" i="9"/>
  <c r="U30" i="9"/>
  <c r="T30" i="9"/>
  <c r="S30" i="9"/>
  <c r="P30" i="9"/>
  <c r="R30" i="9" s="1"/>
  <c r="M30" i="9"/>
  <c r="O30" i="9" s="1"/>
  <c r="L30" i="9"/>
  <c r="K30" i="9"/>
  <c r="J30" i="9"/>
  <c r="I30" i="9"/>
  <c r="C30" i="9"/>
  <c r="C30" i="21" s="1"/>
  <c r="AA29" i="9"/>
  <c r="Z29" i="9"/>
  <c r="Y29" i="9"/>
  <c r="X29" i="9"/>
  <c r="W29" i="9"/>
  <c r="V29" i="9"/>
  <c r="U29" i="9"/>
  <c r="T29" i="9"/>
  <c r="S29" i="9"/>
  <c r="P29" i="9"/>
  <c r="R29" i="9" s="1"/>
  <c r="M29" i="9"/>
  <c r="O29" i="9" s="1"/>
  <c r="L29" i="9"/>
  <c r="K29" i="9"/>
  <c r="J29" i="9"/>
  <c r="I29" i="9"/>
  <c r="C29" i="9"/>
  <c r="C29" i="21" s="1"/>
  <c r="AA28" i="9"/>
  <c r="Z28" i="9"/>
  <c r="Y28" i="9"/>
  <c r="X28" i="9"/>
  <c r="W28" i="9"/>
  <c r="V28" i="9"/>
  <c r="U28" i="9"/>
  <c r="T28" i="9"/>
  <c r="S28" i="9"/>
  <c r="P28" i="9"/>
  <c r="R28" i="9" s="1"/>
  <c r="M28" i="9"/>
  <c r="O28" i="9" s="1"/>
  <c r="L28" i="9"/>
  <c r="K28" i="9"/>
  <c r="J28" i="9"/>
  <c r="I28" i="9"/>
  <c r="C28" i="9"/>
  <c r="C28" i="21" s="1"/>
  <c r="AA27" i="9"/>
  <c r="Z27" i="9"/>
  <c r="Y27" i="9"/>
  <c r="X27" i="9"/>
  <c r="W27" i="9"/>
  <c r="V27" i="9"/>
  <c r="U27" i="9"/>
  <c r="T27" i="9"/>
  <c r="S27" i="9"/>
  <c r="P27" i="9"/>
  <c r="R27" i="9" s="1"/>
  <c r="M27" i="9"/>
  <c r="O27" i="9" s="1"/>
  <c r="L27" i="9"/>
  <c r="K27" i="9"/>
  <c r="J27" i="9"/>
  <c r="I27" i="9"/>
  <c r="C27" i="9"/>
  <c r="C27" i="21" s="1"/>
  <c r="AA26" i="9"/>
  <c r="Z26" i="9"/>
  <c r="Y26" i="9"/>
  <c r="X26" i="9"/>
  <c r="W26" i="9"/>
  <c r="V26" i="9"/>
  <c r="U26" i="9"/>
  <c r="T26" i="9"/>
  <c r="S26" i="9"/>
  <c r="P26" i="9"/>
  <c r="R26" i="9" s="1"/>
  <c r="M26" i="9"/>
  <c r="O26" i="9" s="1"/>
  <c r="L26" i="9"/>
  <c r="K26" i="9"/>
  <c r="J26" i="9"/>
  <c r="I26" i="9"/>
  <c r="C26" i="9"/>
  <c r="C26" i="21" s="1"/>
  <c r="AA25" i="9"/>
  <c r="Z25" i="9"/>
  <c r="Y25" i="9"/>
  <c r="X25" i="9"/>
  <c r="W25" i="9"/>
  <c r="V25" i="9"/>
  <c r="U25" i="9"/>
  <c r="T25" i="9"/>
  <c r="S25" i="9"/>
  <c r="P25" i="9"/>
  <c r="R25" i="9" s="1"/>
  <c r="M25" i="9"/>
  <c r="O25" i="9" s="1"/>
  <c r="L25" i="9"/>
  <c r="K25" i="9"/>
  <c r="J25" i="9"/>
  <c r="I25" i="9"/>
  <c r="C25" i="9"/>
  <c r="C25" i="21" s="1"/>
  <c r="AA24" i="9"/>
  <c r="Z24" i="9"/>
  <c r="Y24" i="9"/>
  <c r="X24" i="9"/>
  <c r="W24" i="9"/>
  <c r="V24" i="9"/>
  <c r="U24" i="9"/>
  <c r="T24" i="9"/>
  <c r="S24" i="9"/>
  <c r="P24" i="9"/>
  <c r="R24" i="9" s="1"/>
  <c r="M24" i="9"/>
  <c r="O24" i="9" s="1"/>
  <c r="L24" i="9"/>
  <c r="K24" i="9"/>
  <c r="J24" i="9"/>
  <c r="I24" i="9"/>
  <c r="C24" i="9"/>
  <c r="C24" i="21" s="1"/>
  <c r="AA23" i="9"/>
  <c r="Z23" i="9"/>
  <c r="Y23" i="9"/>
  <c r="X23" i="9"/>
  <c r="W23" i="9"/>
  <c r="V23" i="9"/>
  <c r="U23" i="9"/>
  <c r="T23" i="9"/>
  <c r="S23" i="9"/>
  <c r="P23" i="9"/>
  <c r="R23" i="9" s="1"/>
  <c r="M23" i="9"/>
  <c r="O23" i="9" s="1"/>
  <c r="L23" i="9"/>
  <c r="K23" i="9"/>
  <c r="J23" i="9"/>
  <c r="I23" i="9"/>
  <c r="C23" i="9"/>
  <c r="C23" i="21" s="1"/>
  <c r="AA22" i="9"/>
  <c r="Z22" i="9"/>
  <c r="Y22" i="9"/>
  <c r="X22" i="9"/>
  <c r="W22" i="9"/>
  <c r="V22" i="9"/>
  <c r="U22" i="9"/>
  <c r="T22" i="9"/>
  <c r="S22" i="9"/>
  <c r="P22" i="9"/>
  <c r="R22" i="9" s="1"/>
  <c r="M22" i="9"/>
  <c r="O22" i="9" s="1"/>
  <c r="L22" i="9"/>
  <c r="K22" i="9"/>
  <c r="J22" i="9"/>
  <c r="I22" i="9"/>
  <c r="C22" i="9"/>
  <c r="C22" i="21" s="1"/>
  <c r="AA21" i="9"/>
  <c r="Z21" i="9"/>
  <c r="Y21" i="9"/>
  <c r="X21" i="9"/>
  <c r="W21" i="9"/>
  <c r="V21" i="9"/>
  <c r="U21" i="9"/>
  <c r="T21" i="9"/>
  <c r="S21" i="9"/>
  <c r="P21" i="9"/>
  <c r="R21" i="9" s="1"/>
  <c r="M21" i="9"/>
  <c r="O21" i="9" s="1"/>
  <c r="L21" i="9"/>
  <c r="K21" i="9"/>
  <c r="J21" i="9"/>
  <c r="I21" i="9"/>
  <c r="C21" i="9"/>
  <c r="C21" i="21" s="1"/>
  <c r="AA20" i="9"/>
  <c r="Z20" i="9"/>
  <c r="Y20" i="9"/>
  <c r="X20" i="9"/>
  <c r="W20" i="9"/>
  <c r="V20" i="9"/>
  <c r="U20" i="9"/>
  <c r="T20" i="9"/>
  <c r="S20" i="9"/>
  <c r="P20" i="9"/>
  <c r="R20" i="9" s="1"/>
  <c r="M20" i="9"/>
  <c r="O20" i="9" s="1"/>
  <c r="L20" i="9"/>
  <c r="K20" i="9"/>
  <c r="J20" i="9"/>
  <c r="I20" i="9"/>
  <c r="C20" i="9"/>
  <c r="C20" i="21" s="1"/>
  <c r="AA19" i="9"/>
  <c r="Z19" i="9"/>
  <c r="Y19" i="9"/>
  <c r="X19" i="9"/>
  <c r="W19" i="9"/>
  <c r="V19" i="9"/>
  <c r="U19" i="9"/>
  <c r="T19" i="9"/>
  <c r="S19" i="9"/>
  <c r="P19" i="9"/>
  <c r="R19" i="9" s="1"/>
  <c r="M19" i="9"/>
  <c r="O19" i="9" s="1"/>
  <c r="L19" i="9"/>
  <c r="K19" i="9"/>
  <c r="J19" i="9"/>
  <c r="I19" i="9"/>
  <c r="C19" i="9"/>
  <c r="C19" i="21" s="1"/>
  <c r="AA18" i="9"/>
  <c r="Z18" i="9"/>
  <c r="Y18" i="9"/>
  <c r="X18" i="9"/>
  <c r="W18" i="9"/>
  <c r="V18" i="9"/>
  <c r="U18" i="9"/>
  <c r="T18" i="9"/>
  <c r="S18" i="9"/>
  <c r="P18" i="9"/>
  <c r="R18" i="9" s="1"/>
  <c r="M18" i="9"/>
  <c r="O18" i="9" s="1"/>
  <c r="L18" i="9"/>
  <c r="K18" i="9"/>
  <c r="J18" i="9"/>
  <c r="I18" i="9"/>
  <c r="C18" i="9"/>
  <c r="C18" i="21" s="1"/>
  <c r="AA17" i="9"/>
  <c r="Z17" i="9"/>
  <c r="Y17" i="9"/>
  <c r="X17" i="9"/>
  <c r="W17" i="9"/>
  <c r="V17" i="9"/>
  <c r="U17" i="9"/>
  <c r="T17" i="9"/>
  <c r="S17" i="9"/>
  <c r="P17" i="9"/>
  <c r="R17" i="9" s="1"/>
  <c r="M17" i="9"/>
  <c r="O17" i="9" s="1"/>
  <c r="L17" i="9"/>
  <c r="K17" i="9"/>
  <c r="J17" i="9"/>
  <c r="I17" i="9"/>
  <c r="C17" i="9"/>
  <c r="C17" i="21" s="1"/>
  <c r="AA16" i="9"/>
  <c r="Z16" i="9"/>
  <c r="Y16" i="9"/>
  <c r="X16" i="9"/>
  <c r="W16" i="9"/>
  <c r="V16" i="9"/>
  <c r="U16" i="9"/>
  <c r="T16" i="9"/>
  <c r="S16" i="9"/>
  <c r="P16" i="9"/>
  <c r="R16" i="9" s="1"/>
  <c r="M16" i="9"/>
  <c r="O16" i="9" s="1"/>
  <c r="L16" i="9"/>
  <c r="K16" i="9"/>
  <c r="J16" i="9"/>
  <c r="I16" i="9"/>
  <c r="C16" i="9"/>
  <c r="C16" i="21" s="1"/>
  <c r="AA15" i="9"/>
  <c r="Z15" i="9"/>
  <c r="Y15" i="9"/>
  <c r="X15" i="9"/>
  <c r="W15" i="9"/>
  <c r="V15" i="9"/>
  <c r="U15" i="9"/>
  <c r="T15" i="9"/>
  <c r="S15" i="9"/>
  <c r="P15" i="9"/>
  <c r="R15" i="9" s="1"/>
  <c r="M15" i="9"/>
  <c r="O15" i="9" s="1"/>
  <c r="L15" i="9"/>
  <c r="K15" i="9"/>
  <c r="J15" i="9"/>
  <c r="I15" i="9"/>
  <c r="C15" i="9"/>
  <c r="C15" i="21" s="1"/>
  <c r="AA14" i="9"/>
  <c r="Z14" i="9"/>
  <c r="Y14" i="9"/>
  <c r="X14" i="9"/>
  <c r="W14" i="9"/>
  <c r="V14" i="9"/>
  <c r="U14" i="9"/>
  <c r="T14" i="9"/>
  <c r="S14" i="9"/>
  <c r="P14" i="9"/>
  <c r="R14" i="9" s="1"/>
  <c r="M14" i="9"/>
  <c r="O14" i="9" s="1"/>
  <c r="L14" i="9"/>
  <c r="K14" i="9"/>
  <c r="J14" i="9"/>
  <c r="I14" i="9"/>
  <c r="C14" i="9"/>
  <c r="C14" i="21" s="1"/>
  <c r="AA13" i="9"/>
  <c r="Z13" i="9"/>
  <c r="Y13" i="9"/>
  <c r="X13" i="9"/>
  <c r="W13" i="9"/>
  <c r="V13" i="9"/>
  <c r="U13" i="9"/>
  <c r="T13" i="9"/>
  <c r="S13" i="9"/>
  <c r="P13" i="9"/>
  <c r="R13" i="9" s="1"/>
  <c r="M13" i="9"/>
  <c r="O13" i="9" s="1"/>
  <c r="L13" i="9"/>
  <c r="K13" i="9"/>
  <c r="J13" i="9"/>
  <c r="I13" i="9"/>
  <c r="C13" i="9"/>
  <c r="C13" i="21" s="1"/>
  <c r="AA12" i="9"/>
  <c r="Z12" i="9"/>
  <c r="Y12" i="9"/>
  <c r="X12" i="9"/>
  <c r="W12" i="9"/>
  <c r="V12" i="9"/>
  <c r="U12" i="9"/>
  <c r="T12" i="9"/>
  <c r="S12" i="9"/>
  <c r="P12" i="9"/>
  <c r="R12" i="9" s="1"/>
  <c r="M12" i="9"/>
  <c r="O12" i="9" s="1"/>
  <c r="L12" i="9"/>
  <c r="K12" i="9"/>
  <c r="J12" i="9"/>
  <c r="I12" i="9"/>
  <c r="C12" i="9"/>
  <c r="C12" i="21" s="1"/>
  <c r="AA11" i="9"/>
  <c r="Z11" i="9"/>
  <c r="Y11" i="9"/>
  <c r="X11" i="9"/>
  <c r="W11" i="9"/>
  <c r="V11" i="9"/>
  <c r="U11" i="9"/>
  <c r="T11" i="9"/>
  <c r="S11" i="9"/>
  <c r="P11" i="9"/>
  <c r="R11" i="9" s="1"/>
  <c r="M11" i="9"/>
  <c r="O11" i="9" s="1"/>
  <c r="L11" i="9"/>
  <c r="K11" i="9"/>
  <c r="J11" i="9"/>
  <c r="I11" i="9"/>
  <c r="C11" i="9"/>
  <c r="C11" i="21" s="1"/>
  <c r="AA10" i="9"/>
  <c r="Z10" i="9"/>
  <c r="Y10" i="9"/>
  <c r="X10" i="9"/>
  <c r="W10" i="9"/>
  <c r="V10" i="9"/>
  <c r="U10" i="9"/>
  <c r="T10" i="9"/>
  <c r="S10" i="9"/>
  <c r="P10" i="9"/>
  <c r="R10" i="9" s="1"/>
  <c r="M10" i="9"/>
  <c r="O10" i="9" s="1"/>
  <c r="L10" i="9"/>
  <c r="K10" i="9"/>
  <c r="J10" i="9"/>
  <c r="I10" i="9"/>
  <c r="C10" i="9"/>
  <c r="C10" i="21" s="1"/>
  <c r="AA9" i="9"/>
  <c r="Z9" i="9"/>
  <c r="Y9" i="9"/>
  <c r="X9" i="9"/>
  <c r="W9" i="9"/>
  <c r="V9" i="9"/>
  <c r="U9" i="9"/>
  <c r="T9" i="9"/>
  <c r="S9" i="9"/>
  <c r="P9" i="9"/>
  <c r="R9" i="9" s="1"/>
  <c r="M9" i="9"/>
  <c r="O9" i="9" s="1"/>
  <c r="L9" i="9"/>
  <c r="K9" i="9"/>
  <c r="J9" i="9"/>
  <c r="I9" i="9"/>
  <c r="C9" i="9"/>
  <c r="C9" i="21" s="1"/>
  <c r="AA8" i="9"/>
  <c r="Z8" i="9"/>
  <c r="Y8" i="9"/>
  <c r="X8" i="9"/>
  <c r="W8" i="9"/>
  <c r="V8" i="9"/>
  <c r="U8" i="9"/>
  <c r="T8" i="9"/>
  <c r="S8" i="9"/>
  <c r="P8" i="9"/>
  <c r="R8" i="9" s="1"/>
  <c r="M8" i="9"/>
  <c r="O8" i="9" s="1"/>
  <c r="L8" i="9"/>
  <c r="K8" i="9"/>
  <c r="J8" i="9"/>
  <c r="I8" i="9"/>
  <c r="C8" i="9"/>
  <c r="C8" i="21" s="1"/>
  <c r="AA7" i="9"/>
  <c r="Z7" i="9"/>
  <c r="Y7" i="9"/>
  <c r="X7" i="9"/>
  <c r="W7" i="9"/>
  <c r="V7" i="9"/>
  <c r="U7" i="9"/>
  <c r="T7" i="9"/>
  <c r="S7" i="9"/>
  <c r="P7" i="9"/>
  <c r="R7" i="9" s="1"/>
  <c r="M7" i="9"/>
  <c r="O7" i="9" s="1"/>
  <c r="L7" i="9"/>
  <c r="K7" i="9"/>
  <c r="J7" i="9"/>
  <c r="I7" i="9"/>
  <c r="C7" i="9"/>
  <c r="C7" i="21" s="1"/>
  <c r="AA6" i="9"/>
  <c r="Z6" i="9"/>
  <c r="Y6" i="9"/>
  <c r="X6" i="9"/>
  <c r="W6" i="9"/>
  <c r="V6" i="9"/>
  <c r="U6" i="9"/>
  <c r="T6" i="9"/>
  <c r="S6" i="9"/>
  <c r="P6" i="9"/>
  <c r="R6" i="9" s="1"/>
  <c r="M6" i="9"/>
  <c r="O6" i="9" s="1"/>
  <c r="L6" i="9"/>
  <c r="K6" i="9"/>
  <c r="J6" i="9"/>
  <c r="I6" i="9"/>
  <c r="C6" i="9"/>
  <c r="C6" i="21" s="1"/>
  <c r="AA5" i="9"/>
  <c r="Z5" i="9"/>
  <c r="Y5" i="9"/>
  <c r="X5" i="9"/>
  <c r="W5" i="9"/>
  <c r="V5" i="9"/>
  <c r="U5" i="9"/>
  <c r="T5" i="9"/>
  <c r="S5" i="9"/>
  <c r="P5" i="9"/>
  <c r="R5" i="9" s="1"/>
  <c r="M5" i="9"/>
  <c r="O5" i="9" s="1"/>
  <c r="L5" i="9"/>
  <c r="K5" i="9"/>
  <c r="J5" i="9"/>
  <c r="I5" i="9"/>
  <c r="C5" i="9"/>
  <c r="C5" i="21" s="1"/>
  <c r="AA4" i="9"/>
  <c r="Z4" i="9"/>
  <c r="Y4" i="9"/>
  <c r="X4" i="9"/>
  <c r="W4" i="9"/>
  <c r="V4" i="9"/>
  <c r="U4" i="9"/>
  <c r="T4" i="9"/>
  <c r="S4" i="9"/>
  <c r="P4" i="9"/>
  <c r="R4" i="9" s="1"/>
  <c r="M4" i="9"/>
  <c r="O4" i="9" s="1"/>
  <c r="L4" i="9"/>
  <c r="K4" i="9"/>
  <c r="J4" i="9"/>
  <c r="I4" i="9"/>
  <c r="C4" i="9"/>
  <c r="C4" i="21" s="1"/>
  <c r="AA3" i="9"/>
  <c r="Z3" i="9"/>
  <c r="Y3" i="9"/>
  <c r="X3" i="9"/>
  <c r="W3" i="9"/>
  <c r="V3" i="9"/>
  <c r="U3" i="9"/>
  <c r="T3" i="9"/>
  <c r="S3" i="9"/>
  <c r="P3" i="9"/>
  <c r="R3" i="9" s="1"/>
  <c r="M3" i="9"/>
  <c r="O3" i="9" s="1"/>
  <c r="L3" i="9"/>
  <c r="K3" i="9"/>
  <c r="J3" i="9"/>
  <c r="I3" i="9"/>
  <c r="C3" i="9"/>
  <c r="C3" i="21" s="1"/>
  <c r="AA2" i="9"/>
  <c r="Z2" i="9"/>
  <c r="Y2" i="9"/>
  <c r="X2" i="9"/>
  <c r="W2" i="9"/>
  <c r="V2" i="9"/>
  <c r="U2" i="9"/>
  <c r="T2" i="9"/>
  <c r="S2" i="9"/>
  <c r="P2" i="9"/>
  <c r="R2" i="9" s="1"/>
  <c r="M2" i="9"/>
  <c r="O2" i="9" s="1"/>
  <c r="L2" i="9"/>
  <c r="K2" i="9"/>
  <c r="J2" i="9"/>
  <c r="I2" i="9"/>
  <c r="C2" i="9"/>
  <c r="C2" i="21" s="1"/>
  <c r="A37" i="9"/>
  <c r="A36" i="9"/>
  <c r="A35" i="9"/>
  <c r="A34" i="9"/>
  <c r="A33" i="9"/>
  <c r="A33" i="21" s="1"/>
  <c r="A32" i="9"/>
  <c r="A31" i="9"/>
  <c r="A30" i="9"/>
  <c r="A30" i="21" s="1"/>
  <c r="A29" i="9"/>
  <c r="A29" i="21" s="1"/>
  <c r="A28" i="9"/>
  <c r="A27" i="9"/>
  <c r="A26" i="9"/>
  <c r="A26" i="21" s="1"/>
  <c r="A25" i="9"/>
  <c r="A24" i="9"/>
  <c r="A23" i="9"/>
  <c r="A22" i="9"/>
  <c r="A22" i="21" s="1"/>
  <c r="A21" i="9"/>
  <c r="A21" i="21" s="1"/>
  <c r="A20" i="9"/>
  <c r="A19" i="9"/>
  <c r="A18" i="9"/>
  <c r="A18" i="21" s="1"/>
  <c r="A17" i="9"/>
  <c r="A17" i="21" s="1"/>
  <c r="A16" i="9"/>
  <c r="A16" i="21" s="1"/>
  <c r="A15" i="9"/>
  <c r="A14" i="9"/>
  <c r="A14" i="21" s="1"/>
  <c r="A13" i="9"/>
  <c r="A12" i="9"/>
  <c r="A11" i="9"/>
  <c r="A10" i="9"/>
  <c r="A10" i="21" s="1"/>
  <c r="A9" i="9"/>
  <c r="A9" i="21" s="1"/>
  <c r="A8" i="9"/>
  <c r="A7" i="9"/>
  <c r="A6" i="9"/>
  <c r="A6" i="21" s="1"/>
  <c r="A5" i="9"/>
  <c r="A4" i="9"/>
  <c r="A3" i="9"/>
  <c r="A2" i="9"/>
  <c r="A2" i="21" s="1"/>
  <c r="AA1" i="9"/>
  <c r="Z1" i="9"/>
  <c r="Y1" i="9"/>
  <c r="X1" i="9"/>
  <c r="W1" i="9"/>
  <c r="V1" i="9"/>
  <c r="U1" i="9"/>
  <c r="T1" i="9"/>
  <c r="S1" i="9"/>
  <c r="P1" i="9"/>
  <c r="M1" i="9"/>
  <c r="L1" i="9"/>
  <c r="K1" i="9"/>
  <c r="J1" i="9"/>
  <c r="I1" i="9"/>
  <c r="C1" i="9"/>
  <c r="C1" i="21" s="1"/>
  <c r="A1" i="9"/>
  <c r="A1" i="21" s="1"/>
  <c r="O15" i="5"/>
  <c r="O16" i="5"/>
  <c r="O17" i="5"/>
  <c r="O18" i="5"/>
  <c r="O19" i="5"/>
  <c r="O20" i="5"/>
  <c r="O21" i="5"/>
  <c r="U43" i="7"/>
  <c r="M15" i="5"/>
  <c r="M16" i="5"/>
  <c r="M17" i="5"/>
  <c r="M18" i="5"/>
  <c r="M19" i="5"/>
  <c r="M20" i="5"/>
  <c r="M21" i="5"/>
  <c r="K15" i="5"/>
  <c r="K16" i="5"/>
  <c r="K17" i="5"/>
  <c r="K18" i="5"/>
  <c r="K19" i="5"/>
  <c r="K20" i="5"/>
  <c r="K21" i="5"/>
  <c r="I15" i="5"/>
  <c r="I16" i="5"/>
  <c r="I17" i="5"/>
  <c r="I18" i="5"/>
  <c r="I19" i="5"/>
  <c r="I20" i="5"/>
  <c r="I21" i="5"/>
  <c r="J21" i="5"/>
  <c r="G15" i="5"/>
  <c r="G16" i="5"/>
  <c r="G17" i="5"/>
  <c r="G18" i="5"/>
  <c r="G19" i="5"/>
  <c r="G20" i="5"/>
  <c r="G21" i="5"/>
  <c r="E15" i="5"/>
  <c r="E16" i="5"/>
  <c r="E17" i="5"/>
  <c r="E18" i="5"/>
  <c r="E19" i="5"/>
  <c r="F19" i="5"/>
  <c r="E20" i="5"/>
  <c r="E21" i="5"/>
  <c r="P17" i="4"/>
  <c r="P18" i="4"/>
  <c r="P19" i="4"/>
  <c r="P20" i="4"/>
  <c r="P21" i="4"/>
  <c r="AK33" i="7"/>
  <c r="P22" i="4"/>
  <c r="P23" i="4"/>
  <c r="N17" i="4"/>
  <c r="N18" i="4"/>
  <c r="N33" i="4"/>
  <c r="N19" i="4"/>
  <c r="N20" i="4"/>
  <c r="N21" i="4"/>
  <c r="N22" i="4"/>
  <c r="N37" i="4"/>
  <c r="N23" i="4"/>
  <c r="L17" i="4"/>
  <c r="L18" i="4"/>
  <c r="L19" i="4"/>
  <c r="L20" i="4"/>
  <c r="L21" i="4"/>
  <c r="L22" i="4"/>
  <c r="L23" i="4"/>
  <c r="J20" i="4"/>
  <c r="K20" i="4"/>
  <c r="J21" i="4"/>
  <c r="J22" i="4"/>
  <c r="J23" i="4"/>
  <c r="AE35" i="7"/>
  <c r="H17" i="4"/>
  <c r="S17" i="4"/>
  <c r="H18" i="4"/>
  <c r="H19" i="4"/>
  <c r="H20" i="4"/>
  <c r="H21" i="4"/>
  <c r="H22" i="4"/>
  <c r="H23" i="4"/>
  <c r="F23" i="4"/>
  <c r="G24" i="4"/>
  <c r="F22" i="4"/>
  <c r="F21" i="4"/>
  <c r="F20" i="4"/>
  <c r="F19" i="4"/>
  <c r="F18" i="4"/>
  <c r="F17" i="4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Y9" i="8"/>
  <c r="Z8" i="8"/>
  <c r="Y8" i="8"/>
  <c r="Z7" i="8"/>
  <c r="Y7" i="8"/>
  <c r="Z6" i="8"/>
  <c r="Z19" i="8"/>
  <c r="Z20" i="8"/>
  <c r="Z21" i="8"/>
  <c r="Y6" i="8"/>
  <c r="V17" i="8"/>
  <c r="U17" i="8"/>
  <c r="V16" i="8"/>
  <c r="U16" i="8"/>
  <c r="V15" i="8"/>
  <c r="U15" i="8"/>
  <c r="V14" i="8"/>
  <c r="U14" i="8"/>
  <c r="V13" i="8"/>
  <c r="U13" i="8"/>
  <c r="V12" i="8"/>
  <c r="U12" i="8"/>
  <c r="V11" i="8"/>
  <c r="U11" i="8"/>
  <c r="V10" i="8"/>
  <c r="V21" i="8"/>
  <c r="BK36" i="7"/>
  <c r="U10" i="8"/>
  <c r="V9" i="8"/>
  <c r="U9" i="8"/>
  <c r="V8" i="8"/>
  <c r="U8" i="8"/>
  <c r="V7" i="8"/>
  <c r="U7" i="8"/>
  <c r="V6" i="8"/>
  <c r="U6" i="8"/>
  <c r="I35" i="7"/>
  <c r="H25" i="7"/>
  <c r="F26" i="7"/>
  <c r="J26" i="7"/>
  <c r="K26" i="7"/>
  <c r="J29" i="7"/>
  <c r="D4" i="4"/>
  <c r="F4" i="4"/>
  <c r="H4" i="4"/>
  <c r="J4" i="4"/>
  <c r="L4" i="4"/>
  <c r="N4" i="4"/>
  <c r="P4" i="4"/>
  <c r="D5" i="4"/>
  <c r="E5" i="4"/>
  <c r="F5" i="4"/>
  <c r="H5" i="4"/>
  <c r="I5" i="4"/>
  <c r="J5" i="4"/>
  <c r="K5" i="4"/>
  <c r="L5" i="4"/>
  <c r="L32" i="4"/>
  <c r="N5" i="4"/>
  <c r="P5" i="4"/>
  <c r="Q5" i="4"/>
  <c r="D6" i="4"/>
  <c r="E6" i="4"/>
  <c r="F6" i="4"/>
  <c r="H6" i="4"/>
  <c r="J6" i="4"/>
  <c r="K6" i="4"/>
  <c r="L6" i="4"/>
  <c r="M6" i="4"/>
  <c r="N6" i="4"/>
  <c r="P6" i="4"/>
  <c r="D7" i="4"/>
  <c r="F7" i="4"/>
  <c r="H7" i="4"/>
  <c r="Q6" i="7"/>
  <c r="J7" i="4"/>
  <c r="K7" i="4"/>
  <c r="L7" i="4"/>
  <c r="N7" i="4"/>
  <c r="N34" i="4"/>
  <c r="P7" i="4"/>
  <c r="D8" i="4"/>
  <c r="E8" i="4"/>
  <c r="F8" i="4"/>
  <c r="H8" i="4"/>
  <c r="H35" i="4"/>
  <c r="J8" i="4"/>
  <c r="L8" i="4"/>
  <c r="M8" i="4"/>
  <c r="N8" i="4"/>
  <c r="P8" i="4"/>
  <c r="P35" i="4"/>
  <c r="D9" i="4"/>
  <c r="E9" i="4"/>
  <c r="F9" i="4"/>
  <c r="H9" i="4"/>
  <c r="J9" i="4"/>
  <c r="L9" i="4"/>
  <c r="N9" i="4"/>
  <c r="O9" i="4"/>
  <c r="P9" i="4"/>
  <c r="D10" i="4"/>
  <c r="F10" i="4"/>
  <c r="H10" i="4"/>
  <c r="I10" i="4"/>
  <c r="J10" i="4"/>
  <c r="L10" i="4"/>
  <c r="L37" i="4"/>
  <c r="N10" i="4"/>
  <c r="P10" i="4"/>
  <c r="Q10" i="4"/>
  <c r="D11" i="4"/>
  <c r="F11" i="4"/>
  <c r="F61" i="4"/>
  <c r="G61" i="4"/>
  <c r="H11" i="4"/>
  <c r="I11" i="4"/>
  <c r="J11" i="4"/>
  <c r="L11" i="4"/>
  <c r="R61" i="4"/>
  <c r="M11" i="4"/>
  <c r="N11" i="4"/>
  <c r="P11" i="4"/>
  <c r="P38" i="4"/>
  <c r="Q11" i="4"/>
  <c r="Q31" i="7"/>
  <c r="Q56" i="7"/>
  <c r="G20" i="4"/>
  <c r="Q32" i="7"/>
  <c r="S32" i="7"/>
  <c r="G21" i="4"/>
  <c r="N36" i="4"/>
  <c r="N38" i="4"/>
  <c r="T62" i="4"/>
  <c r="R31" i="4"/>
  <c r="S31" i="4"/>
  <c r="W31" i="4"/>
  <c r="V31" i="4"/>
  <c r="R32" i="4"/>
  <c r="V32" i="4"/>
  <c r="S32" i="4"/>
  <c r="W32" i="4"/>
  <c r="L33" i="4"/>
  <c r="R33" i="4"/>
  <c r="V33" i="4"/>
  <c r="S33" i="4"/>
  <c r="W33" i="4"/>
  <c r="F34" i="4"/>
  <c r="R34" i="4"/>
  <c r="V34" i="4"/>
  <c r="S34" i="4"/>
  <c r="W34" i="4"/>
  <c r="L35" i="4"/>
  <c r="R35" i="4"/>
  <c r="V35" i="4"/>
  <c r="S35" i="4"/>
  <c r="W35" i="4"/>
  <c r="J36" i="4"/>
  <c r="R36" i="4"/>
  <c r="V36" i="4"/>
  <c r="S36" i="4"/>
  <c r="W36" i="4"/>
  <c r="H37" i="4"/>
  <c r="P37" i="4"/>
  <c r="R37" i="4"/>
  <c r="S37" i="4"/>
  <c r="W37" i="4"/>
  <c r="V37" i="4"/>
  <c r="R38" i="4"/>
  <c r="V38" i="4"/>
  <c r="S38" i="4"/>
  <c r="W38" i="4"/>
  <c r="F57" i="4"/>
  <c r="O57" i="4"/>
  <c r="T57" i="4"/>
  <c r="O59" i="4"/>
  <c r="T59" i="4"/>
  <c r="J60" i="4"/>
  <c r="R60" i="4"/>
  <c r="V60" i="4"/>
  <c r="O61" i="4"/>
  <c r="T61" i="4"/>
  <c r="U61" i="4"/>
  <c r="C3" i="5"/>
  <c r="E3" i="5"/>
  <c r="G3" i="5"/>
  <c r="I3" i="5"/>
  <c r="K3" i="5"/>
  <c r="L4" i="5"/>
  <c r="M3" i="5"/>
  <c r="O3" i="5"/>
  <c r="C4" i="5"/>
  <c r="E4" i="5"/>
  <c r="R4" i="5"/>
  <c r="G4" i="5"/>
  <c r="H4" i="5"/>
  <c r="I4" i="5"/>
  <c r="J4" i="5"/>
  <c r="K4" i="5"/>
  <c r="M4" i="5"/>
  <c r="N4" i="5"/>
  <c r="O4" i="5"/>
  <c r="C5" i="5"/>
  <c r="D5" i="5"/>
  <c r="E5" i="5"/>
  <c r="G5" i="5"/>
  <c r="H5" i="5"/>
  <c r="I5" i="5"/>
  <c r="K5" i="5"/>
  <c r="L5" i="5"/>
  <c r="M5" i="5"/>
  <c r="O5" i="5"/>
  <c r="C6" i="5"/>
  <c r="D6" i="5"/>
  <c r="E6" i="5"/>
  <c r="R6" i="5"/>
  <c r="G6" i="5"/>
  <c r="H6" i="5"/>
  <c r="I6" i="5"/>
  <c r="K6" i="5"/>
  <c r="L6" i="5"/>
  <c r="M6" i="5"/>
  <c r="O6" i="5"/>
  <c r="C7" i="5"/>
  <c r="D7" i="5"/>
  <c r="E7" i="5"/>
  <c r="G7" i="5"/>
  <c r="H7" i="5"/>
  <c r="I7" i="5"/>
  <c r="J7" i="5"/>
  <c r="K7" i="5"/>
  <c r="L7" i="5"/>
  <c r="M7" i="5"/>
  <c r="N7" i="5"/>
  <c r="O7" i="5"/>
  <c r="C8" i="5"/>
  <c r="E8" i="5"/>
  <c r="G8" i="5"/>
  <c r="H8" i="5"/>
  <c r="I8" i="5"/>
  <c r="K8" i="5"/>
  <c r="L8" i="5"/>
  <c r="M8" i="5"/>
  <c r="N8" i="5"/>
  <c r="O8" i="5"/>
  <c r="P8" i="5"/>
  <c r="R8" i="5"/>
  <c r="S8" i="5"/>
  <c r="C9" i="5"/>
  <c r="E9" i="5"/>
  <c r="F9" i="5"/>
  <c r="G9" i="5"/>
  <c r="H9" i="5"/>
  <c r="I9" i="5"/>
  <c r="K9" i="5"/>
  <c r="L9" i="5"/>
  <c r="M9" i="5"/>
  <c r="O9" i="5"/>
  <c r="P9" i="5"/>
  <c r="C10" i="5"/>
  <c r="E10" i="5"/>
  <c r="F12" i="7"/>
  <c r="G12" i="7"/>
  <c r="G10" i="5"/>
  <c r="I10" i="5"/>
  <c r="K10" i="5"/>
  <c r="L10" i="5"/>
  <c r="M10" i="5"/>
  <c r="T18" i="7"/>
  <c r="O10" i="5"/>
  <c r="P10" i="5"/>
  <c r="H16" i="5"/>
  <c r="P16" i="5"/>
  <c r="F17" i="5"/>
  <c r="H17" i="5"/>
  <c r="N18" i="5"/>
  <c r="P17" i="5"/>
  <c r="F18" i="5"/>
  <c r="L18" i="5"/>
  <c r="J19" i="5"/>
  <c r="H20" i="5"/>
  <c r="L20" i="5"/>
  <c r="E32" i="5"/>
  <c r="F32" i="5"/>
  <c r="H21" i="5"/>
  <c r="N21" i="5"/>
  <c r="G26" i="5"/>
  <c r="I26" i="5"/>
  <c r="K26" i="5"/>
  <c r="G27" i="5"/>
  <c r="H27" i="5"/>
  <c r="I27" i="5"/>
  <c r="J27" i="5"/>
  <c r="E28" i="5"/>
  <c r="G28" i="5"/>
  <c r="H28" i="5"/>
  <c r="K28" i="5"/>
  <c r="M28" i="5"/>
  <c r="E29" i="5"/>
  <c r="F29" i="5"/>
  <c r="I29" i="5"/>
  <c r="K29" i="5"/>
  <c r="M29" i="5"/>
  <c r="N29" i="5"/>
  <c r="G30" i="5"/>
  <c r="I30" i="5"/>
  <c r="J30" i="5"/>
  <c r="K30" i="5"/>
  <c r="L30" i="5"/>
  <c r="O30" i="5"/>
  <c r="E31" i="5"/>
  <c r="G31" i="5"/>
  <c r="H31" i="5"/>
  <c r="O31" i="5"/>
  <c r="P31" i="5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J17" i="4"/>
  <c r="I26" i="1"/>
  <c r="I27" i="1"/>
  <c r="I28" i="1"/>
  <c r="I29" i="1"/>
  <c r="I30" i="1"/>
  <c r="I31" i="1"/>
  <c r="I32" i="1"/>
  <c r="I33" i="1"/>
  <c r="I34" i="1"/>
  <c r="I35" i="1"/>
  <c r="I36" i="1"/>
  <c r="I37" i="1"/>
  <c r="J18" i="4"/>
  <c r="I38" i="1"/>
  <c r="I39" i="1"/>
  <c r="I40" i="1"/>
  <c r="I41" i="1"/>
  <c r="I42" i="1"/>
  <c r="I43" i="1"/>
  <c r="I44" i="1"/>
  <c r="I45" i="1"/>
  <c r="I46" i="1"/>
  <c r="I47" i="1"/>
  <c r="I48" i="1"/>
  <c r="I49" i="1"/>
  <c r="J19" i="4"/>
  <c r="P14" i="3"/>
  <c r="P15" i="3"/>
  <c r="P16" i="3"/>
  <c r="P17" i="3"/>
  <c r="P18" i="3"/>
  <c r="P19" i="3"/>
  <c r="P20" i="3"/>
  <c r="P21" i="3"/>
  <c r="P22" i="3"/>
  <c r="P23" i="3"/>
  <c r="P24" i="3"/>
  <c r="P25" i="3"/>
  <c r="C3" i="6"/>
  <c r="E3" i="6"/>
  <c r="G3" i="6"/>
  <c r="I3" i="6"/>
  <c r="J4" i="6"/>
  <c r="K3" i="6"/>
  <c r="M3" i="6"/>
  <c r="N4" i="6"/>
  <c r="O3" i="6"/>
  <c r="C4" i="6"/>
  <c r="D4" i="6"/>
  <c r="E4" i="6"/>
  <c r="G4" i="6"/>
  <c r="G26" i="6"/>
  <c r="H4" i="6"/>
  <c r="I4" i="6"/>
  <c r="J25" i="7"/>
  <c r="K4" i="6"/>
  <c r="F34" i="7"/>
  <c r="K26" i="6"/>
  <c r="M4" i="6"/>
  <c r="H34" i="7"/>
  <c r="C5" i="6"/>
  <c r="D26" i="7"/>
  <c r="E5" i="6"/>
  <c r="G5" i="6"/>
  <c r="I5" i="6"/>
  <c r="J5" i="6"/>
  <c r="K5" i="6"/>
  <c r="M5" i="6"/>
  <c r="H35" i="7"/>
  <c r="N5" i="6"/>
  <c r="O5" i="6"/>
  <c r="C6" i="6"/>
  <c r="E6" i="6"/>
  <c r="G6" i="6"/>
  <c r="I6" i="6"/>
  <c r="K6" i="6"/>
  <c r="M6" i="6"/>
  <c r="T22" i="7"/>
  <c r="AX49" i="7"/>
  <c r="N6" i="6"/>
  <c r="O6" i="6"/>
  <c r="J36" i="7"/>
  <c r="C7" i="6"/>
  <c r="D28" i="7"/>
  <c r="D7" i="6"/>
  <c r="E7" i="6"/>
  <c r="F28" i="7"/>
  <c r="G7" i="6"/>
  <c r="H28" i="7"/>
  <c r="I7" i="6"/>
  <c r="K7" i="6"/>
  <c r="F37" i="7"/>
  <c r="L7" i="6"/>
  <c r="M7" i="6"/>
  <c r="O7" i="6"/>
  <c r="J37" i="7"/>
  <c r="C8" i="6"/>
  <c r="E8" i="6"/>
  <c r="G8" i="6"/>
  <c r="H29" i="7"/>
  <c r="I29" i="7"/>
  <c r="H8" i="6"/>
  <c r="I8" i="6"/>
  <c r="K8" i="6"/>
  <c r="M8" i="6"/>
  <c r="O8" i="6"/>
  <c r="C9" i="6"/>
  <c r="D30" i="7"/>
  <c r="E9" i="6"/>
  <c r="G9" i="6"/>
  <c r="H30" i="7"/>
  <c r="H9" i="6"/>
  <c r="I9" i="6"/>
  <c r="K9" i="6"/>
  <c r="F39" i="7"/>
  <c r="S25" i="7"/>
  <c r="M9" i="6"/>
  <c r="H39" i="7"/>
  <c r="O9" i="6"/>
  <c r="C10" i="6"/>
  <c r="D31" i="7"/>
  <c r="E31" i="7"/>
  <c r="D10" i="6"/>
  <c r="E10" i="6"/>
  <c r="P26" i="7"/>
  <c r="F31" i="7"/>
  <c r="G10" i="6"/>
  <c r="H31" i="7"/>
  <c r="I31" i="7"/>
  <c r="I10" i="6"/>
  <c r="K10" i="6"/>
  <c r="L10" i="6"/>
  <c r="F40" i="7"/>
  <c r="G40" i="7"/>
  <c r="M10" i="6"/>
  <c r="M32" i="6"/>
  <c r="N32" i="6"/>
  <c r="O10" i="6"/>
  <c r="J40" i="7"/>
  <c r="K40" i="7"/>
  <c r="E15" i="6"/>
  <c r="G15" i="6"/>
  <c r="I15" i="6"/>
  <c r="I26" i="6"/>
  <c r="K15" i="6"/>
  <c r="M15" i="6"/>
  <c r="M26" i="6"/>
  <c r="O15" i="6"/>
  <c r="E16" i="6"/>
  <c r="G16" i="6"/>
  <c r="H16" i="6"/>
  <c r="I16" i="6"/>
  <c r="K16" i="6"/>
  <c r="L16" i="6"/>
  <c r="M16" i="6"/>
  <c r="N16" i="6"/>
  <c r="O16" i="6"/>
  <c r="P16" i="6"/>
  <c r="E17" i="6"/>
  <c r="F17" i="6"/>
  <c r="G17" i="6"/>
  <c r="I17" i="6"/>
  <c r="K17" i="6"/>
  <c r="M17" i="6"/>
  <c r="O17" i="6"/>
  <c r="E18" i="6"/>
  <c r="G18" i="6"/>
  <c r="H18" i="6"/>
  <c r="I18" i="6"/>
  <c r="K18" i="6"/>
  <c r="L18" i="6"/>
  <c r="M18" i="6"/>
  <c r="N18" i="6"/>
  <c r="O18" i="6"/>
  <c r="E19" i="6"/>
  <c r="F19" i="6"/>
  <c r="G19" i="6"/>
  <c r="H19" i="6"/>
  <c r="I19" i="6"/>
  <c r="K19" i="6"/>
  <c r="S49" i="7"/>
  <c r="L19" i="6"/>
  <c r="M19" i="6"/>
  <c r="N19" i="6"/>
  <c r="O19" i="6"/>
  <c r="P19" i="6"/>
  <c r="E20" i="6"/>
  <c r="F20" i="6"/>
  <c r="G20" i="6"/>
  <c r="I20" i="6"/>
  <c r="K20" i="6"/>
  <c r="L20" i="6"/>
  <c r="M20" i="6"/>
  <c r="O20" i="6"/>
  <c r="P20" i="6"/>
  <c r="E21" i="6"/>
  <c r="F21" i="6"/>
  <c r="G21" i="6"/>
  <c r="I21" i="6"/>
  <c r="J21" i="6"/>
  <c r="K21" i="6"/>
  <c r="M21" i="6"/>
  <c r="N21" i="6"/>
  <c r="O21" i="6"/>
  <c r="E26" i="6"/>
  <c r="I28" i="6"/>
  <c r="E31" i="6"/>
  <c r="M31" i="6"/>
  <c r="D6" i="7"/>
  <c r="F6" i="7"/>
  <c r="H6" i="7"/>
  <c r="I7" i="7"/>
  <c r="J6" i="7"/>
  <c r="P6" i="7"/>
  <c r="R6" i="7"/>
  <c r="S6" i="7"/>
  <c r="T6" i="7"/>
  <c r="D7" i="7"/>
  <c r="H7" i="7"/>
  <c r="J7" i="7"/>
  <c r="K7" i="7"/>
  <c r="Q7" i="7"/>
  <c r="Q57" i="7"/>
  <c r="S7" i="7"/>
  <c r="S57" i="7"/>
  <c r="T7" i="7"/>
  <c r="AX32" i="7"/>
  <c r="U7" i="7"/>
  <c r="AZ32" i="7"/>
  <c r="D8" i="7"/>
  <c r="E8" i="7"/>
  <c r="F8" i="7"/>
  <c r="H8" i="7"/>
  <c r="I9" i="7"/>
  <c r="J8" i="7"/>
  <c r="P8" i="7"/>
  <c r="R8" i="7"/>
  <c r="R58" i="7"/>
  <c r="T8" i="7"/>
  <c r="D9" i="7"/>
  <c r="E9" i="7"/>
  <c r="F9" i="7"/>
  <c r="H9" i="7"/>
  <c r="J9" i="7"/>
  <c r="P9" i="7"/>
  <c r="Q9" i="7"/>
  <c r="S9" i="7"/>
  <c r="AV34" i="7"/>
  <c r="T9" i="7"/>
  <c r="AX34" i="7"/>
  <c r="AY34" i="7"/>
  <c r="U9" i="7"/>
  <c r="F10" i="7"/>
  <c r="H10" i="7"/>
  <c r="I10" i="7"/>
  <c r="J10" i="7"/>
  <c r="R10" i="7"/>
  <c r="R60" i="7"/>
  <c r="T10" i="7"/>
  <c r="U10" i="7"/>
  <c r="AZ35" i="7"/>
  <c r="BA35" i="7"/>
  <c r="D11" i="7"/>
  <c r="F11" i="7"/>
  <c r="H11" i="7"/>
  <c r="J11" i="7"/>
  <c r="H12" i="7"/>
  <c r="I12" i="7"/>
  <c r="J12" i="7"/>
  <c r="K12" i="7"/>
  <c r="P14" i="7"/>
  <c r="Q14" i="7"/>
  <c r="R14" i="7"/>
  <c r="S14" i="7"/>
  <c r="AV40" i="7"/>
  <c r="T14" i="7"/>
  <c r="U14" i="7"/>
  <c r="F15" i="7"/>
  <c r="H15" i="7"/>
  <c r="J15" i="7"/>
  <c r="P15" i="7"/>
  <c r="Q15" i="7"/>
  <c r="R15" i="7"/>
  <c r="AT41" i="7"/>
  <c r="S15" i="7"/>
  <c r="AV41" i="7"/>
  <c r="T15" i="7"/>
  <c r="AX41" i="7"/>
  <c r="U15" i="7"/>
  <c r="F16" i="7"/>
  <c r="G16" i="7"/>
  <c r="J16" i="7"/>
  <c r="P16" i="7"/>
  <c r="Q16" i="7"/>
  <c r="R16" i="7"/>
  <c r="R66" i="7"/>
  <c r="S16" i="7"/>
  <c r="AV42" i="7"/>
  <c r="T16" i="7"/>
  <c r="U16" i="7"/>
  <c r="F17" i="7"/>
  <c r="H17" i="7"/>
  <c r="J17" i="7"/>
  <c r="P17" i="7"/>
  <c r="Q17" i="7"/>
  <c r="S17" i="7"/>
  <c r="T17" i="7"/>
  <c r="T67" i="7"/>
  <c r="U17" i="7"/>
  <c r="F18" i="7"/>
  <c r="H18" i="7"/>
  <c r="I18" i="7"/>
  <c r="J18" i="7"/>
  <c r="P18" i="7"/>
  <c r="Q18" i="7"/>
  <c r="Q68" i="7"/>
  <c r="R81" i="7"/>
  <c r="R18" i="7"/>
  <c r="AT44" i="7"/>
  <c r="AU44" i="7"/>
  <c r="S18" i="7"/>
  <c r="AV44" i="7"/>
  <c r="AW44" i="7"/>
  <c r="U18" i="7"/>
  <c r="F19" i="7"/>
  <c r="G19" i="7"/>
  <c r="H19" i="7"/>
  <c r="I19" i="7"/>
  <c r="J19" i="7"/>
  <c r="K19" i="7"/>
  <c r="F20" i="7"/>
  <c r="G20" i="7"/>
  <c r="H20" i="7"/>
  <c r="J20" i="7"/>
  <c r="K20" i="7"/>
  <c r="F21" i="7"/>
  <c r="G21" i="7"/>
  <c r="H21" i="7"/>
  <c r="I21" i="7"/>
  <c r="J21" i="7"/>
  <c r="K21" i="7"/>
  <c r="Q22" i="7"/>
  <c r="Q72" i="7"/>
  <c r="S22" i="7"/>
  <c r="Q23" i="7"/>
  <c r="R23" i="7"/>
  <c r="S23" i="7"/>
  <c r="U23" i="7"/>
  <c r="P24" i="7"/>
  <c r="P74" i="7"/>
  <c r="Q24" i="7"/>
  <c r="S24" i="7"/>
  <c r="T24" i="7"/>
  <c r="P25" i="7"/>
  <c r="Q25" i="7"/>
  <c r="T25" i="7"/>
  <c r="S26" i="7"/>
  <c r="T26" i="7"/>
  <c r="T76" i="7"/>
  <c r="P31" i="7"/>
  <c r="T31" i="7"/>
  <c r="U31" i="7"/>
  <c r="AA31" i="7"/>
  <c r="AC31" i="7"/>
  <c r="AI31" i="7"/>
  <c r="AT31" i="7"/>
  <c r="BG31" i="7"/>
  <c r="BH31" i="7"/>
  <c r="BI31" i="7"/>
  <c r="BK31" i="7"/>
  <c r="BL31" i="7"/>
  <c r="BM31" i="7"/>
  <c r="BO31" i="7"/>
  <c r="BP31" i="7"/>
  <c r="BQ31" i="7"/>
  <c r="P32" i="7"/>
  <c r="T32" i="7"/>
  <c r="U32" i="7"/>
  <c r="AA32" i="7"/>
  <c r="AB33" i="7"/>
  <c r="AC32" i="7"/>
  <c r="AE32" i="7"/>
  <c r="AF32" i="7"/>
  <c r="AG32" i="7"/>
  <c r="AI32" i="7"/>
  <c r="AK32" i="7"/>
  <c r="AV32" i="7"/>
  <c r="BG32" i="7"/>
  <c r="BH32" i="7"/>
  <c r="BI32" i="7"/>
  <c r="BK32" i="7"/>
  <c r="BL32" i="7"/>
  <c r="BM32" i="7"/>
  <c r="BO32" i="7"/>
  <c r="BP32" i="7"/>
  <c r="BQ32" i="7"/>
  <c r="P33" i="7"/>
  <c r="R33" i="7"/>
  <c r="T33" i="7"/>
  <c r="U33" i="7"/>
  <c r="AA33" i="7"/>
  <c r="AE33" i="7"/>
  <c r="AG33" i="7"/>
  <c r="AH34" i="7"/>
  <c r="AI33" i="7"/>
  <c r="AT33" i="7"/>
  <c r="AX33" i="7"/>
  <c r="BG33" i="7"/>
  <c r="BH33" i="7"/>
  <c r="BI33" i="7"/>
  <c r="BK33" i="7"/>
  <c r="BL33" i="7"/>
  <c r="BM33" i="7"/>
  <c r="BO33" i="7"/>
  <c r="BP33" i="7"/>
  <c r="BQ33" i="7"/>
  <c r="Q34" i="7"/>
  <c r="R34" i="7"/>
  <c r="S34" i="7"/>
  <c r="U34" i="7"/>
  <c r="AC34" i="7"/>
  <c r="AE34" i="7"/>
  <c r="AG34" i="7"/>
  <c r="AK34" i="7"/>
  <c r="AL34" i="7"/>
  <c r="AZ34" i="7"/>
  <c r="BG34" i="7"/>
  <c r="BH34" i="7"/>
  <c r="BI34" i="7"/>
  <c r="BK34" i="7"/>
  <c r="BL34" i="7"/>
  <c r="BM34" i="7"/>
  <c r="BO34" i="7"/>
  <c r="BP34" i="7"/>
  <c r="BQ34" i="7"/>
  <c r="P35" i="7"/>
  <c r="T35" i="7"/>
  <c r="T60" i="7"/>
  <c r="AX37" i="7"/>
  <c r="U35" i="7"/>
  <c r="AI35" i="7"/>
  <c r="AI36" i="7"/>
  <c r="AI37" i="7"/>
  <c r="AJ37" i="7"/>
  <c r="AX35" i="7"/>
  <c r="BG35" i="7"/>
  <c r="BG37" i="7"/>
  <c r="BH35" i="7"/>
  <c r="BH36" i="7"/>
  <c r="BI35" i="7"/>
  <c r="BI37" i="7"/>
  <c r="BK35" i="7"/>
  <c r="BL35" i="7"/>
  <c r="BL36" i="7"/>
  <c r="BM35" i="7"/>
  <c r="BM36" i="7"/>
  <c r="BO35" i="7"/>
  <c r="BO36" i="7"/>
  <c r="BP35" i="7"/>
  <c r="BP37" i="7"/>
  <c r="BQ35" i="7"/>
  <c r="AD37" i="7"/>
  <c r="P39" i="7"/>
  <c r="Q39" i="7"/>
  <c r="S39" i="7"/>
  <c r="S64" i="7"/>
  <c r="T39" i="7"/>
  <c r="P40" i="7"/>
  <c r="P65" i="7"/>
  <c r="Q40" i="7"/>
  <c r="Q65" i="7"/>
  <c r="R40" i="7"/>
  <c r="S40" i="7"/>
  <c r="S65" i="7"/>
  <c r="T40" i="7"/>
  <c r="AA40" i="7"/>
  <c r="AC40" i="7"/>
  <c r="AG40" i="7"/>
  <c r="AI40" i="7"/>
  <c r="AT40" i="7"/>
  <c r="Q41" i="7"/>
  <c r="Q66" i="7"/>
  <c r="R41" i="7"/>
  <c r="S41" i="7"/>
  <c r="S66" i="7"/>
  <c r="T41" i="7"/>
  <c r="T66" i="7"/>
  <c r="U41" i="7"/>
  <c r="AA41" i="7"/>
  <c r="AB41" i="7"/>
  <c r="AE41" i="7"/>
  <c r="AG41" i="7"/>
  <c r="AH41" i="7"/>
  <c r="AI41" i="7"/>
  <c r="AJ41" i="7"/>
  <c r="AZ41" i="7"/>
  <c r="P42" i="7"/>
  <c r="Q42" i="7"/>
  <c r="Q67" i="7"/>
  <c r="R42" i="7"/>
  <c r="T42" i="7"/>
  <c r="U42" i="7"/>
  <c r="AC42" i="7"/>
  <c r="AE42" i="7"/>
  <c r="AF42" i="7"/>
  <c r="AG42" i="7"/>
  <c r="AH42" i="7"/>
  <c r="AI42" i="7"/>
  <c r="AJ42" i="7"/>
  <c r="AK42" i="7"/>
  <c r="AT42" i="7"/>
  <c r="AU42" i="7"/>
  <c r="AX42" i="7"/>
  <c r="AY42" i="7"/>
  <c r="S43" i="7"/>
  <c r="T43" i="7"/>
  <c r="AA43" i="7"/>
  <c r="AC43" i="7"/>
  <c r="AD43" i="7"/>
  <c r="AE43" i="7"/>
  <c r="AF43" i="7"/>
  <c r="AI43" i="7"/>
  <c r="AJ43" i="7"/>
  <c r="AK43" i="7"/>
  <c r="AL43" i="7"/>
  <c r="AV43" i="7"/>
  <c r="AW43" i="7"/>
  <c r="AC44" i="7"/>
  <c r="AC45" i="7"/>
  <c r="AD44" i="7"/>
  <c r="AI44" i="7"/>
  <c r="AJ44" i="7"/>
  <c r="AZ44" i="7"/>
  <c r="AI45" i="7"/>
  <c r="AJ45" i="7"/>
  <c r="D46" i="7"/>
  <c r="F46" i="7"/>
  <c r="G47" i="7"/>
  <c r="H46" i="7"/>
  <c r="J46" i="7"/>
  <c r="D47" i="7"/>
  <c r="E47" i="7"/>
  <c r="F47" i="7"/>
  <c r="J47" i="7"/>
  <c r="P47" i="7"/>
  <c r="Q47" i="7"/>
  <c r="R47" i="7"/>
  <c r="T47" i="7"/>
  <c r="D48" i="7"/>
  <c r="E48" i="7"/>
  <c r="F48" i="7"/>
  <c r="H48" i="7"/>
  <c r="J48" i="7"/>
  <c r="K48" i="7"/>
  <c r="P48" i="7"/>
  <c r="S48" i="7"/>
  <c r="T48" i="7"/>
  <c r="U48" i="7"/>
  <c r="D49" i="7"/>
  <c r="E49" i="7"/>
  <c r="F49" i="7"/>
  <c r="G49" i="7"/>
  <c r="H49" i="7"/>
  <c r="J49" i="7"/>
  <c r="K49" i="7"/>
  <c r="P49" i="7"/>
  <c r="R49" i="7"/>
  <c r="U49" i="7"/>
  <c r="AA49" i="7"/>
  <c r="AC49" i="7"/>
  <c r="AE49" i="7"/>
  <c r="AG49" i="7"/>
  <c r="AK49" i="7"/>
  <c r="AV49" i="7"/>
  <c r="AZ49" i="7"/>
  <c r="D50" i="7"/>
  <c r="F50" i="7"/>
  <c r="G50" i="7"/>
  <c r="J50" i="7"/>
  <c r="K50" i="7"/>
  <c r="S50" i="7"/>
  <c r="T50" i="7"/>
  <c r="T75" i="7"/>
  <c r="U50" i="7"/>
  <c r="AA50" i="7"/>
  <c r="AB50" i="7"/>
  <c r="AC50" i="7"/>
  <c r="AD50" i="7"/>
  <c r="AG50" i="7"/>
  <c r="AH50" i="7"/>
  <c r="AK50" i="7"/>
  <c r="AV50" i="7"/>
  <c r="AZ50" i="7"/>
  <c r="D51" i="7"/>
  <c r="F51" i="7"/>
  <c r="G51" i="7"/>
  <c r="H51" i="7"/>
  <c r="Q51" i="7"/>
  <c r="R51" i="7"/>
  <c r="T51" i="7"/>
  <c r="U51" i="7"/>
  <c r="AA51" i="7"/>
  <c r="AB51" i="7"/>
  <c r="AE51" i="7"/>
  <c r="AG51" i="7"/>
  <c r="AH51" i="7"/>
  <c r="AK51" i="7"/>
  <c r="AL51" i="7"/>
  <c r="AV51" i="7"/>
  <c r="AW51" i="7"/>
  <c r="AX51" i="7"/>
  <c r="D52" i="7"/>
  <c r="E52" i="7"/>
  <c r="AA52" i="7"/>
  <c r="AB52" i="7"/>
  <c r="AC52" i="7"/>
  <c r="AE52" i="7"/>
  <c r="AG52" i="7"/>
  <c r="AH52" i="7"/>
  <c r="AI52" i="7"/>
  <c r="AK52" i="7"/>
  <c r="AX52" i="7"/>
  <c r="AC53" i="7"/>
  <c r="AD53" i="7"/>
  <c r="AE53" i="7"/>
  <c r="AF53" i="7"/>
  <c r="AF54" i="7"/>
  <c r="AV53" i="7"/>
  <c r="AX53" i="7"/>
  <c r="AY53" i="7"/>
  <c r="F55" i="7"/>
  <c r="H55" i="7"/>
  <c r="AF55" i="7"/>
  <c r="F56" i="7"/>
  <c r="G56" i="7"/>
  <c r="H56" i="7"/>
  <c r="I56" i="7"/>
  <c r="H57" i="7"/>
  <c r="U57" i="7"/>
  <c r="F58" i="7"/>
  <c r="H58" i="7"/>
  <c r="I58" i="7"/>
  <c r="J58" i="7"/>
  <c r="T58" i="7"/>
  <c r="F59" i="7"/>
  <c r="G59" i="7"/>
  <c r="H59" i="7"/>
  <c r="I59" i="7"/>
  <c r="J59" i="7"/>
  <c r="K59" i="7"/>
  <c r="Q59" i="7"/>
  <c r="S59" i="7"/>
  <c r="U59" i="7"/>
  <c r="F60" i="7"/>
  <c r="H60" i="7"/>
  <c r="I60" i="7"/>
  <c r="J60" i="7"/>
  <c r="K60" i="7"/>
  <c r="H61" i="7"/>
  <c r="J61" i="7"/>
  <c r="K61" i="7"/>
  <c r="P64" i="7"/>
  <c r="Q64" i="7"/>
  <c r="R65" i="7"/>
  <c r="T65" i="7"/>
  <c r="P67" i="7"/>
  <c r="S73" i="7"/>
  <c r="S74" i="7"/>
  <c r="P92" i="7"/>
  <c r="Q92" i="7"/>
  <c r="R92" i="7"/>
  <c r="R101" i="7"/>
  <c r="P93" i="7"/>
  <c r="P94" i="7"/>
  <c r="Q94" i="7"/>
  <c r="P95" i="7"/>
  <c r="Q95" i="7"/>
  <c r="R95" i="7"/>
  <c r="P96" i="7"/>
  <c r="Q96" i="7"/>
  <c r="P98" i="7"/>
  <c r="R98" i="7"/>
  <c r="Q98" i="7"/>
  <c r="Q99" i="7"/>
  <c r="U20" i="8"/>
  <c r="U19" i="8"/>
  <c r="U21" i="8"/>
  <c r="Y19" i="8"/>
  <c r="Y20" i="8"/>
  <c r="Y21" i="8"/>
  <c r="BP36" i="7"/>
  <c r="K11" i="7"/>
  <c r="K10" i="7"/>
  <c r="K9" i="7"/>
  <c r="K8" i="7"/>
  <c r="BL37" i="7"/>
  <c r="G11" i="7"/>
  <c r="G10" i="7"/>
  <c r="G9" i="7"/>
  <c r="E7" i="7"/>
  <c r="U26" i="7"/>
  <c r="AZ53" i="7"/>
  <c r="BA53" i="7"/>
  <c r="P22" i="7"/>
  <c r="P72" i="7"/>
  <c r="O29" i="6"/>
  <c r="K29" i="6"/>
  <c r="M27" i="6"/>
  <c r="N27" i="6"/>
  <c r="J9" i="6"/>
  <c r="M31" i="5"/>
  <c r="I31" i="5"/>
  <c r="J31" i="5"/>
  <c r="P20" i="5"/>
  <c r="J20" i="5"/>
  <c r="L19" i="5"/>
  <c r="N17" i="5"/>
  <c r="J16" i="5"/>
  <c r="J8" i="5"/>
  <c r="U6" i="5"/>
  <c r="U4" i="5"/>
  <c r="K31" i="6"/>
  <c r="L17" i="6"/>
  <c r="H17" i="6"/>
  <c r="F7" i="6"/>
  <c r="F5" i="6"/>
  <c r="R7" i="5"/>
  <c r="S7" i="5"/>
  <c r="F7" i="5"/>
  <c r="H10" i="5"/>
  <c r="F8" i="5"/>
  <c r="J37" i="4"/>
  <c r="F4" i="5"/>
  <c r="I23" i="4"/>
  <c r="K22" i="4"/>
  <c r="S20" i="4"/>
  <c r="J34" i="4"/>
  <c r="R31" i="7"/>
  <c r="R56" i="7"/>
  <c r="AE31" i="7"/>
  <c r="U7" i="5"/>
  <c r="J32" i="4"/>
  <c r="L29" i="5"/>
  <c r="AA44" i="7"/>
  <c r="AB44" i="7"/>
  <c r="P43" i="7"/>
  <c r="P68" i="7"/>
  <c r="Q81" i="7"/>
  <c r="AL33" i="7"/>
  <c r="AF34" i="7"/>
  <c r="R94" i="7"/>
  <c r="AB32" i="7"/>
  <c r="K19" i="4"/>
  <c r="K18" i="4"/>
  <c r="R96" i="7"/>
  <c r="E51" i="7"/>
  <c r="AI34" i="7"/>
  <c r="AJ34" i="7"/>
  <c r="T34" i="7"/>
  <c r="S33" i="7"/>
  <c r="V61" i="4"/>
  <c r="W61" i="4"/>
  <c r="J61" i="4"/>
  <c r="K61" i="4"/>
  <c r="V58" i="4"/>
  <c r="R58" i="4"/>
  <c r="J58" i="4"/>
  <c r="K58" i="4"/>
  <c r="R57" i="4"/>
  <c r="P34" i="4"/>
  <c r="F33" i="4"/>
  <c r="I20" i="4"/>
  <c r="I19" i="4"/>
  <c r="E11" i="4"/>
  <c r="G9" i="4"/>
  <c r="Q8" i="4"/>
  <c r="I8" i="4"/>
  <c r="I7" i="4"/>
  <c r="E7" i="4"/>
  <c r="M5" i="4"/>
  <c r="S5" i="4"/>
  <c r="J33" i="4"/>
  <c r="G60" i="7"/>
  <c r="G48" i="7"/>
  <c r="K47" i="7"/>
  <c r="F59" i="4"/>
  <c r="J57" i="4"/>
  <c r="F36" i="4"/>
  <c r="H34" i="4"/>
  <c r="H38" i="4"/>
  <c r="I48" i="4"/>
  <c r="L60" i="4"/>
  <c r="I61" i="7"/>
  <c r="E50" i="7"/>
  <c r="AD32" i="7"/>
  <c r="L36" i="4"/>
  <c r="AJ36" i="7"/>
  <c r="AK35" i="7"/>
  <c r="AL35" i="7"/>
  <c r="AC35" i="7"/>
  <c r="AD35" i="7"/>
  <c r="Q35" i="7"/>
  <c r="Q43" i="7"/>
  <c r="G32" i="5"/>
  <c r="H32" i="5"/>
  <c r="F21" i="5"/>
  <c r="R35" i="7"/>
  <c r="J38" i="4"/>
  <c r="O63" i="4"/>
  <c r="K23" i="4"/>
  <c r="AD36" i="7"/>
  <c r="S23" i="4"/>
  <c r="AA35" i="7"/>
  <c r="AA36" i="7"/>
  <c r="V5" i="4"/>
  <c r="S58" i="4"/>
  <c r="W58" i="4"/>
  <c r="AY32" i="7"/>
  <c r="AY33" i="7"/>
  <c r="AK36" i="7"/>
  <c r="AK37" i="7"/>
  <c r="AL37" i="7"/>
  <c r="G59" i="4"/>
  <c r="J28" i="6"/>
  <c r="AF51" i="7"/>
  <c r="AT46" i="7"/>
  <c r="P59" i="7"/>
  <c r="H20" i="6"/>
  <c r="H21" i="6"/>
  <c r="Q50" i="7"/>
  <c r="Q75" i="7"/>
  <c r="J38" i="7"/>
  <c r="K38" i="7"/>
  <c r="U24" i="7"/>
  <c r="O30" i="6"/>
  <c r="P30" i="6"/>
  <c r="D29" i="7"/>
  <c r="E29" i="7"/>
  <c r="U8" i="6"/>
  <c r="D9" i="6"/>
  <c r="H27" i="7"/>
  <c r="H6" i="6"/>
  <c r="O4" i="6"/>
  <c r="J34" i="7"/>
  <c r="D8" i="5"/>
  <c r="D9" i="5"/>
  <c r="D10" i="7"/>
  <c r="E10" i="7"/>
  <c r="R5" i="5"/>
  <c r="E27" i="5"/>
  <c r="F7" i="7"/>
  <c r="F6" i="5"/>
  <c r="F5" i="5"/>
  <c r="V20" i="8"/>
  <c r="V19" i="8"/>
  <c r="BK37" i="7"/>
  <c r="G19" i="4"/>
  <c r="G18" i="4"/>
  <c r="S18" i="4"/>
  <c r="S21" i="4"/>
  <c r="Q97" i="7"/>
  <c r="I21" i="4"/>
  <c r="I22" i="4"/>
  <c r="AC33" i="7"/>
  <c r="E26" i="5"/>
  <c r="F16" i="5"/>
  <c r="G29" i="5"/>
  <c r="H29" i="5"/>
  <c r="H18" i="5"/>
  <c r="H19" i="5"/>
  <c r="AC41" i="7"/>
  <c r="I28" i="5"/>
  <c r="J18" i="5"/>
  <c r="J17" i="5"/>
  <c r="R39" i="7"/>
  <c r="R64" i="7"/>
  <c r="L16" i="5"/>
  <c r="L17" i="5"/>
  <c r="K27" i="5"/>
  <c r="L27" i="5"/>
  <c r="N19" i="5"/>
  <c r="N20" i="5"/>
  <c r="M30" i="5"/>
  <c r="P18" i="5"/>
  <c r="P19" i="5"/>
  <c r="J35" i="4"/>
  <c r="U8" i="5"/>
  <c r="G31" i="6"/>
  <c r="H31" i="6"/>
  <c r="T49" i="7"/>
  <c r="T74" i="7"/>
  <c r="I49" i="7"/>
  <c r="AI46" i="7"/>
  <c r="AJ46" i="7"/>
  <c r="AX43" i="7"/>
  <c r="AY43" i="7"/>
  <c r="P41" i="7"/>
  <c r="P66" i="7"/>
  <c r="R32" i="7"/>
  <c r="P9" i="6"/>
  <c r="O31" i="6"/>
  <c r="J39" i="7"/>
  <c r="U25" i="7"/>
  <c r="R9" i="6"/>
  <c r="F10" i="6"/>
  <c r="F30" i="7"/>
  <c r="H26" i="7"/>
  <c r="I26" i="7"/>
  <c r="R5" i="6"/>
  <c r="H5" i="6"/>
  <c r="D25" i="7"/>
  <c r="D5" i="6"/>
  <c r="L28" i="5"/>
  <c r="AE44" i="7"/>
  <c r="H36" i="4"/>
  <c r="H36" i="7"/>
  <c r="I36" i="7"/>
  <c r="S35" i="7"/>
  <c r="AG35" i="7"/>
  <c r="AG36" i="7"/>
  <c r="S31" i="7"/>
  <c r="AG31" i="7"/>
  <c r="AH32" i="7"/>
  <c r="I32" i="5"/>
  <c r="J32" i="5"/>
  <c r="L38" i="4"/>
  <c r="R63" i="4"/>
  <c r="S63" i="4"/>
  <c r="T72" i="7"/>
  <c r="L31" i="6"/>
  <c r="I8" i="7"/>
  <c r="AH33" i="7"/>
  <c r="I57" i="7"/>
  <c r="AL52" i="7"/>
  <c r="AY52" i="7"/>
  <c r="AI50" i="7"/>
  <c r="AF33" i="7"/>
  <c r="AJ32" i="7"/>
  <c r="AJ33" i="7"/>
  <c r="AW41" i="7"/>
  <c r="AW42" i="7"/>
  <c r="I11" i="7"/>
  <c r="M29" i="6"/>
  <c r="G27" i="6"/>
  <c r="H27" i="6"/>
  <c r="AG53" i="7"/>
  <c r="L21" i="6"/>
  <c r="S51" i="7"/>
  <c r="S76" i="7"/>
  <c r="T82" i="7"/>
  <c r="K32" i="6"/>
  <c r="L32" i="6"/>
  <c r="J16" i="6"/>
  <c r="I27" i="6"/>
  <c r="J27" i="6"/>
  <c r="H37" i="7"/>
  <c r="T23" i="7"/>
  <c r="N7" i="6"/>
  <c r="H7" i="6"/>
  <c r="F35" i="7"/>
  <c r="G35" i="7"/>
  <c r="L5" i="6"/>
  <c r="K27" i="6"/>
  <c r="L27" i="6"/>
  <c r="K21" i="4"/>
  <c r="K10" i="4"/>
  <c r="O60" i="4"/>
  <c r="P60" i="4"/>
  <c r="K11" i="4"/>
  <c r="R9" i="7"/>
  <c r="J51" i="7"/>
  <c r="Q9" i="4"/>
  <c r="P36" i="4"/>
  <c r="V59" i="4"/>
  <c r="W59" i="4"/>
  <c r="U8" i="7"/>
  <c r="I9" i="4"/>
  <c r="J59" i="4"/>
  <c r="K59" i="4"/>
  <c r="H50" i="7"/>
  <c r="I50" i="7"/>
  <c r="Q8" i="7"/>
  <c r="P97" i="7"/>
  <c r="R97" i="7"/>
  <c r="O8" i="4"/>
  <c r="T58" i="4"/>
  <c r="U58" i="4"/>
  <c r="N35" i="4"/>
  <c r="G8" i="4"/>
  <c r="F35" i="4"/>
  <c r="F58" i="4"/>
  <c r="G58" i="4"/>
  <c r="P7" i="7"/>
  <c r="P57" i="7"/>
  <c r="S8" i="4"/>
  <c r="M7" i="4"/>
  <c r="L34" i="4"/>
  <c r="F57" i="7"/>
  <c r="AT50" i="7"/>
  <c r="AX31" i="7"/>
  <c r="T56" i="7"/>
  <c r="N17" i="6"/>
  <c r="AI49" i="7"/>
  <c r="S75" i="7"/>
  <c r="AV52" i="7"/>
  <c r="E29" i="6"/>
  <c r="F29" i="6"/>
  <c r="R7" i="6"/>
  <c r="P23" i="7"/>
  <c r="P73" i="7"/>
  <c r="U3" i="6"/>
  <c r="N5" i="5"/>
  <c r="N6" i="5"/>
  <c r="M27" i="5"/>
  <c r="H16" i="7"/>
  <c r="I16" i="7"/>
  <c r="K29" i="7"/>
  <c r="AA34" i="7"/>
  <c r="AB34" i="7"/>
  <c r="S22" i="4"/>
  <c r="G23" i="4"/>
  <c r="I18" i="4"/>
  <c r="H32" i="4"/>
  <c r="Q93" i="7"/>
  <c r="R93" i="7"/>
  <c r="F20" i="5"/>
  <c r="E30" i="5"/>
  <c r="F30" i="5"/>
  <c r="K31" i="5"/>
  <c r="AG43" i="7"/>
  <c r="AH43" i="7"/>
  <c r="M26" i="5"/>
  <c r="N16" i="5"/>
  <c r="AJ35" i="7"/>
  <c r="T5" i="4"/>
  <c r="G22" i="4"/>
  <c r="AI51" i="7"/>
  <c r="AJ51" i="7"/>
  <c r="AE40" i="7"/>
  <c r="AF41" i="7"/>
  <c r="E11" i="7"/>
  <c r="T57" i="7"/>
  <c r="S56" i="7"/>
  <c r="AV31" i="7"/>
  <c r="AW32" i="7"/>
  <c r="Q49" i="7"/>
  <c r="Q74" i="7"/>
  <c r="AC51" i="7"/>
  <c r="AD51" i="7"/>
  <c r="Q48" i="7"/>
  <c r="Q73" i="7"/>
  <c r="G29" i="6"/>
  <c r="I29" i="6"/>
  <c r="J29" i="6"/>
  <c r="J28" i="7"/>
  <c r="J7" i="6"/>
  <c r="R43" i="7"/>
  <c r="R68" i="7"/>
  <c r="T59" i="7"/>
  <c r="S19" i="4"/>
  <c r="G30" i="6"/>
  <c r="F9" i="6"/>
  <c r="AY35" i="7"/>
  <c r="AI53" i="7"/>
  <c r="P50" i="7"/>
  <c r="P75" i="7"/>
  <c r="AA42" i="7"/>
  <c r="AB42" i="7"/>
  <c r="S42" i="7"/>
  <c r="S67" i="7"/>
  <c r="BQ36" i="7"/>
  <c r="BQ37" i="7"/>
  <c r="BG36" i="7"/>
  <c r="P34" i="7"/>
  <c r="Q33" i="7"/>
  <c r="AZ43" i="7"/>
  <c r="U67" i="7"/>
  <c r="AZ42" i="7"/>
  <c r="U66" i="7"/>
  <c r="AU41" i="7"/>
  <c r="T64" i="7"/>
  <c r="AX40" i="7"/>
  <c r="AY41" i="7"/>
  <c r="M28" i="6"/>
  <c r="N28" i="6"/>
  <c r="P17" i="6"/>
  <c r="O28" i="6"/>
  <c r="U47" i="7"/>
  <c r="U72" i="7"/>
  <c r="G28" i="6"/>
  <c r="H28" i="6"/>
  <c r="J31" i="7"/>
  <c r="K31" i="7"/>
  <c r="J10" i="6"/>
  <c r="R26" i="7"/>
  <c r="I32" i="6"/>
  <c r="J32" i="6"/>
  <c r="P8" i="6"/>
  <c r="J8" i="6"/>
  <c r="R24" i="7"/>
  <c r="I30" i="6"/>
  <c r="D8" i="6"/>
  <c r="R22" i="7"/>
  <c r="J6" i="6"/>
  <c r="J27" i="7"/>
  <c r="K27" i="7"/>
  <c r="J35" i="7"/>
  <c r="O27" i="6"/>
  <c r="Q10" i="7"/>
  <c r="Q60" i="7"/>
  <c r="R80" i="7"/>
  <c r="H52" i="7"/>
  <c r="I52" i="7"/>
  <c r="P99" i="7"/>
  <c r="R99" i="7"/>
  <c r="R102" i="7"/>
  <c r="S9" i="4"/>
  <c r="P33" i="4"/>
  <c r="Q6" i="4"/>
  <c r="I6" i="4"/>
  <c r="H33" i="4"/>
  <c r="H47" i="7"/>
  <c r="I47" i="7"/>
  <c r="O5" i="4"/>
  <c r="N32" i="4"/>
  <c r="G5" i="4"/>
  <c r="F32" i="4"/>
  <c r="G6" i="4"/>
  <c r="AF52" i="7"/>
  <c r="AW50" i="7"/>
  <c r="U73" i="7"/>
  <c r="K28" i="6"/>
  <c r="S47" i="7"/>
  <c r="S72" i="7"/>
  <c r="F16" i="6"/>
  <c r="E27" i="6"/>
  <c r="F27" i="6"/>
  <c r="I31" i="6"/>
  <c r="R25" i="7"/>
  <c r="H38" i="7"/>
  <c r="I38" i="7"/>
  <c r="N8" i="6"/>
  <c r="M30" i="6"/>
  <c r="N9" i="6"/>
  <c r="F27" i="7"/>
  <c r="G27" i="7"/>
  <c r="R6" i="6"/>
  <c r="E28" i="6"/>
  <c r="F6" i="6"/>
  <c r="U59" i="4"/>
  <c r="J30" i="7"/>
  <c r="K30" i="7"/>
  <c r="AJ52" i="7"/>
  <c r="I51" i="7"/>
  <c r="G17" i="7"/>
  <c r="G18" i="7"/>
  <c r="P58" i="7"/>
  <c r="P56" i="7"/>
  <c r="AK53" i="7"/>
  <c r="P21" i="6"/>
  <c r="J20" i="6"/>
  <c r="R50" i="7"/>
  <c r="P18" i="6"/>
  <c r="J18" i="6"/>
  <c r="R48" i="7"/>
  <c r="R73" i="7"/>
  <c r="AE50" i="7"/>
  <c r="AF50" i="7"/>
  <c r="J17" i="6"/>
  <c r="F38" i="7"/>
  <c r="L8" i="6"/>
  <c r="L9" i="6"/>
  <c r="K30" i="6"/>
  <c r="L30" i="6"/>
  <c r="F29" i="7"/>
  <c r="G29" i="7"/>
  <c r="F8" i="6"/>
  <c r="E30" i="6"/>
  <c r="F31" i="6"/>
  <c r="R8" i="6"/>
  <c r="S8" i="6"/>
  <c r="D27" i="7"/>
  <c r="E27" i="7"/>
  <c r="D6" i="6"/>
  <c r="E26" i="7"/>
  <c r="F25" i="7"/>
  <c r="R4" i="6"/>
  <c r="S4" i="6"/>
  <c r="F4" i="6"/>
  <c r="R3" i="6"/>
  <c r="D10" i="5"/>
  <c r="D12" i="7"/>
  <c r="E12" i="7"/>
  <c r="J9" i="5"/>
  <c r="R9" i="5"/>
  <c r="J10" i="5"/>
  <c r="R17" i="7"/>
  <c r="D4" i="5"/>
  <c r="W60" i="4"/>
  <c r="I20" i="7"/>
  <c r="N20" i="6"/>
  <c r="J19" i="6"/>
  <c r="F18" i="6"/>
  <c r="G31" i="7"/>
  <c r="F36" i="7"/>
  <c r="G36" i="7"/>
  <c r="L6" i="6"/>
  <c r="N9" i="5"/>
  <c r="N10" i="5"/>
  <c r="S60" i="4"/>
  <c r="O10" i="4"/>
  <c r="T60" i="4"/>
  <c r="U60" i="4"/>
  <c r="O11" i="4"/>
  <c r="G10" i="4"/>
  <c r="S10" i="4"/>
  <c r="F37" i="4"/>
  <c r="F60" i="4"/>
  <c r="G60" i="4"/>
  <c r="M9" i="4"/>
  <c r="R59" i="4"/>
  <c r="S59" i="4"/>
  <c r="S8" i="7"/>
  <c r="K8" i="4"/>
  <c r="O58" i="4"/>
  <c r="R7" i="7"/>
  <c r="Q7" i="4"/>
  <c r="O6" i="4"/>
  <c r="S6" i="4"/>
  <c r="G26" i="7"/>
  <c r="I39" i="7"/>
  <c r="I30" i="7"/>
  <c r="E30" i="7"/>
  <c r="I28" i="7"/>
  <c r="E28" i="7"/>
  <c r="H30" i="5"/>
  <c r="N28" i="5"/>
  <c r="J5" i="5"/>
  <c r="J6" i="5"/>
  <c r="R3" i="5"/>
  <c r="S4" i="5"/>
  <c r="E10" i="4"/>
  <c r="K9" i="4"/>
  <c r="S7" i="4"/>
  <c r="S4" i="4"/>
  <c r="V4" i="4"/>
  <c r="G11" i="4"/>
  <c r="M10" i="4"/>
  <c r="O7" i="4"/>
  <c r="G7" i="4"/>
  <c r="F38" i="4"/>
  <c r="G48" i="4"/>
  <c r="H60" i="4"/>
  <c r="AT43" i="7"/>
  <c r="R67" i="7"/>
  <c r="S6" i="6"/>
  <c r="U6" i="6"/>
  <c r="AI54" i="7"/>
  <c r="AJ53" i="7"/>
  <c r="AG54" i="7"/>
  <c r="AH53" i="7"/>
  <c r="J28" i="5"/>
  <c r="J29" i="5"/>
  <c r="AZ51" i="7"/>
  <c r="BA51" i="7"/>
  <c r="U74" i="7"/>
  <c r="AL36" i="7"/>
  <c r="AV33" i="7"/>
  <c r="S58" i="7"/>
  <c r="G38" i="7"/>
  <c r="G39" i="7"/>
  <c r="L28" i="6"/>
  <c r="L29" i="6"/>
  <c r="H29" i="6"/>
  <c r="AW52" i="7"/>
  <c r="AW53" i="7"/>
  <c r="U4" i="6"/>
  <c r="U9" i="6"/>
  <c r="S9" i="6"/>
  <c r="K60" i="4"/>
  <c r="V10" i="4"/>
  <c r="T10" i="4"/>
  <c r="U3" i="5"/>
  <c r="F31" i="5"/>
  <c r="AK54" i="7"/>
  <c r="AL54" i="7"/>
  <c r="AL53" i="7"/>
  <c r="AT52" i="7"/>
  <c r="R75" i="7"/>
  <c r="J30" i="6"/>
  <c r="H30" i="6"/>
  <c r="N27" i="5"/>
  <c r="G58" i="7"/>
  <c r="G57" i="7"/>
  <c r="Q58" i="7"/>
  <c r="AZ33" i="7"/>
  <c r="U58" i="7"/>
  <c r="K51" i="7"/>
  <c r="I37" i="7"/>
  <c r="AV54" i="7"/>
  <c r="AW54" i="7"/>
  <c r="N29" i="6"/>
  <c r="AJ50" i="7"/>
  <c r="I50" i="4"/>
  <c r="L62" i="4"/>
  <c r="AZ52" i="7"/>
  <c r="BA52" i="7"/>
  <c r="U75" i="7"/>
  <c r="AB43" i="7"/>
  <c r="V9" i="4"/>
  <c r="T9" i="4"/>
  <c r="AT49" i="7"/>
  <c r="AU50" i="7"/>
  <c r="R72" i="7"/>
  <c r="R76" i="7"/>
  <c r="AT55" i="7"/>
  <c r="AT53" i="7"/>
  <c r="AU53" i="7"/>
  <c r="BA43" i="7"/>
  <c r="BA44" i="7"/>
  <c r="G49" i="4"/>
  <c r="H61" i="4"/>
  <c r="G51" i="4"/>
  <c r="H63" i="4"/>
  <c r="P31" i="6"/>
  <c r="F27" i="5"/>
  <c r="F28" i="5"/>
  <c r="T8" i="4"/>
  <c r="V8" i="4"/>
  <c r="T73" i="7"/>
  <c r="AX50" i="7"/>
  <c r="U5" i="6"/>
  <c r="S5" i="6"/>
  <c r="AD42" i="7"/>
  <c r="AD41" i="7"/>
  <c r="S5" i="5"/>
  <c r="S6" i="5"/>
  <c r="U5" i="5"/>
  <c r="R57" i="7"/>
  <c r="AT32" i="7"/>
  <c r="G37" i="7"/>
  <c r="U9" i="5"/>
  <c r="S9" i="5"/>
  <c r="V7" i="4"/>
  <c r="T7" i="4"/>
  <c r="P61" i="4"/>
  <c r="V6" i="4"/>
  <c r="T6" i="4"/>
  <c r="P58" i="4"/>
  <c r="P59" i="4"/>
  <c r="I17" i="7"/>
  <c r="F30" i="6"/>
  <c r="F28" i="6"/>
  <c r="N30" i="6"/>
  <c r="N31" i="6"/>
  <c r="J31" i="6"/>
  <c r="R74" i="7"/>
  <c r="AT51" i="7"/>
  <c r="AU51" i="7"/>
  <c r="K28" i="7"/>
  <c r="L31" i="5"/>
  <c r="R84" i="7"/>
  <c r="S7" i="6"/>
  <c r="U7" i="6"/>
  <c r="AT34" i="7"/>
  <c r="R59" i="7"/>
  <c r="R62" i="4"/>
  <c r="AH35" i="7"/>
  <c r="AE45" i="7"/>
  <c r="AF46" i="7"/>
  <c r="AF44" i="7"/>
  <c r="G30" i="7"/>
  <c r="K39" i="7"/>
  <c r="I48" i="7"/>
  <c r="N30" i="5"/>
  <c r="N31" i="5"/>
  <c r="AD33" i="7"/>
  <c r="AD34" i="7"/>
  <c r="G7" i="7"/>
  <c r="G8" i="7"/>
  <c r="I27" i="7"/>
  <c r="AD52" i="7"/>
  <c r="G28" i="7"/>
  <c r="AW33" i="7"/>
  <c r="AW34" i="7"/>
  <c r="AJ54" i="7"/>
  <c r="AI55" i="7"/>
  <c r="AU32" i="7"/>
  <c r="AU33" i="7"/>
  <c r="AF45" i="7"/>
  <c r="AU34" i="7"/>
  <c r="AR32" i="7"/>
  <c r="AR31" i="7"/>
  <c r="AY50" i="7"/>
  <c r="AY51" i="7"/>
  <c r="AT54" i="7"/>
  <c r="AU54" i="7"/>
  <c r="BA33" i="7"/>
  <c r="BA34" i="7"/>
  <c r="AU52" i="7"/>
  <c r="AH54" i="7"/>
  <c r="AG55" i="7"/>
  <c r="AU43" i="7"/>
  <c r="AS32" i="7"/>
  <c r="AH55" i="7"/>
  <c r="AJ55" i="7"/>
  <c r="V63" i="4"/>
  <c r="V62" i="4"/>
  <c r="W62" i="4"/>
  <c r="U60" i="7"/>
  <c r="BI36" i="7"/>
  <c r="T63" i="4"/>
  <c r="U63" i="4"/>
  <c r="U62" i="4"/>
  <c r="BH37" i="7"/>
  <c r="S61" i="4"/>
  <c r="S62" i="4"/>
  <c r="S10" i="7"/>
  <c r="AV35" i="7"/>
  <c r="AW35" i="7"/>
  <c r="F61" i="7"/>
  <c r="G61" i="7"/>
  <c r="S11" i="4"/>
  <c r="T11" i="4"/>
  <c r="J52" i="7"/>
  <c r="K52" i="7"/>
  <c r="AT35" i="7"/>
  <c r="AU35" i="7"/>
  <c r="I51" i="4"/>
  <c r="L63" i="4"/>
  <c r="I60" i="4"/>
  <c r="G47" i="4"/>
  <c r="H59" i="4"/>
  <c r="G50" i="4"/>
  <c r="H62" i="4"/>
  <c r="I62" i="4"/>
  <c r="G45" i="4"/>
  <c r="H57" i="4"/>
  <c r="V11" i="4"/>
  <c r="G46" i="4"/>
  <c r="H58" i="4"/>
  <c r="F52" i="7"/>
  <c r="G52" i="7"/>
  <c r="P10" i="7"/>
  <c r="P60" i="7"/>
  <c r="Q80" i="7"/>
  <c r="P10" i="6"/>
  <c r="O32" i="6"/>
  <c r="P32" i="6"/>
  <c r="U76" i="7"/>
  <c r="AZ54" i="7"/>
  <c r="BA54" i="7"/>
  <c r="U82" i="7"/>
  <c r="AX55" i="7"/>
  <c r="AX54" i="7"/>
  <c r="AY54" i="7"/>
  <c r="H40" i="7"/>
  <c r="I40" i="7"/>
  <c r="N10" i="6"/>
  <c r="BO37" i="7"/>
  <c r="AU55" i="7"/>
  <c r="S82" i="7"/>
  <c r="Q26" i="7"/>
  <c r="Q76" i="7"/>
  <c r="R82" i="7"/>
  <c r="AR52" i="7"/>
  <c r="H10" i="6"/>
  <c r="G32" i="6"/>
  <c r="H32" i="6"/>
  <c r="R10" i="6"/>
  <c r="U68" i="7"/>
  <c r="BM37" i="7"/>
  <c r="T68" i="7"/>
  <c r="AX44" i="7"/>
  <c r="AY44" i="7"/>
  <c r="M32" i="5"/>
  <c r="N32" i="5"/>
  <c r="S68" i="7"/>
  <c r="K32" i="5"/>
  <c r="L32" i="5"/>
  <c r="AP40" i="7"/>
  <c r="AP42" i="7"/>
  <c r="AP41" i="7"/>
  <c r="AP43" i="7"/>
  <c r="F10" i="5"/>
  <c r="R10" i="5"/>
  <c r="V82" i="7"/>
  <c r="AK55" i="7"/>
  <c r="AL55" i="7"/>
  <c r="AV55" i="7"/>
  <c r="AW55" i="7"/>
  <c r="AC54" i="7"/>
  <c r="E32" i="6"/>
  <c r="F32" i="6"/>
  <c r="AA53" i="7"/>
  <c r="P51" i="7"/>
  <c r="P76" i="7"/>
  <c r="Q82" i="7"/>
  <c r="V81" i="7"/>
  <c r="O32" i="5"/>
  <c r="P32" i="5"/>
  <c r="P21" i="5"/>
  <c r="AK44" i="7"/>
  <c r="AX46" i="7"/>
  <c r="T81" i="7"/>
  <c r="L21" i="5"/>
  <c r="AG44" i="7"/>
  <c r="S81" i="7"/>
  <c r="AT45" i="7"/>
  <c r="AC46" i="7"/>
  <c r="AD46" i="7"/>
  <c r="AD45" i="7"/>
  <c r="AR41" i="7"/>
  <c r="AR44" i="7"/>
  <c r="AR42" i="7"/>
  <c r="AR45" i="7"/>
  <c r="AR40" i="7"/>
  <c r="AR43" i="7"/>
  <c r="AS43" i="7"/>
  <c r="AA45" i="7"/>
  <c r="AP44" i="7"/>
  <c r="AQ44" i="7"/>
  <c r="AZ37" i="7"/>
  <c r="AY37" i="7"/>
  <c r="AX36" i="7"/>
  <c r="AY36" i="7"/>
  <c r="U80" i="7"/>
  <c r="AG37" i="7"/>
  <c r="AH37" i="7"/>
  <c r="AH36" i="7"/>
  <c r="AE36" i="7"/>
  <c r="AF35" i="7"/>
  <c r="S80" i="7"/>
  <c r="AT36" i="7"/>
  <c r="O62" i="4"/>
  <c r="P62" i="4"/>
  <c r="AR35" i="7"/>
  <c r="AR33" i="7"/>
  <c r="AS33" i="7"/>
  <c r="AR37" i="7"/>
  <c r="AR34" i="7"/>
  <c r="AR36" i="7"/>
  <c r="M60" i="4"/>
  <c r="M63" i="4"/>
  <c r="I46" i="4"/>
  <c r="L58" i="4"/>
  <c r="I47" i="4"/>
  <c r="L59" i="4"/>
  <c r="I45" i="4"/>
  <c r="L57" i="4"/>
  <c r="I49" i="4"/>
  <c r="L61" i="4"/>
  <c r="M61" i="4"/>
  <c r="I59" i="4"/>
  <c r="I61" i="4"/>
  <c r="I63" i="4"/>
  <c r="AA37" i="7"/>
  <c r="AB36" i="7"/>
  <c r="AP33" i="7"/>
  <c r="AB35" i="7"/>
  <c r="AP32" i="7"/>
  <c r="AZ36" i="7"/>
  <c r="BA36" i="7"/>
  <c r="V80" i="7"/>
  <c r="W63" i="4"/>
  <c r="S60" i="7"/>
  <c r="AU36" i="7"/>
  <c r="M59" i="4"/>
  <c r="AS35" i="7"/>
  <c r="AQ32" i="7"/>
  <c r="AP36" i="7"/>
  <c r="AP31" i="7"/>
  <c r="AP35" i="7"/>
  <c r="AP34" i="7"/>
  <c r="AQ34" i="7"/>
  <c r="I58" i="4"/>
  <c r="AY55" i="7"/>
  <c r="AR54" i="7"/>
  <c r="AS54" i="7"/>
  <c r="AR51" i="7"/>
  <c r="AS51" i="7"/>
  <c r="AR49" i="7"/>
  <c r="AR53" i="7"/>
  <c r="AR50" i="7"/>
  <c r="U10" i="6"/>
  <c r="S10" i="6"/>
  <c r="AX45" i="7"/>
  <c r="AY45" i="7"/>
  <c r="U81" i="7"/>
  <c r="AS42" i="7"/>
  <c r="AQ42" i="7"/>
  <c r="AQ43" i="7"/>
  <c r="S10" i="5"/>
  <c r="U10" i="5"/>
  <c r="AQ41" i="7"/>
  <c r="AZ55" i="7"/>
  <c r="BA55" i="7"/>
  <c r="AD54" i="7"/>
  <c r="AC55" i="7"/>
  <c r="AS50" i="7"/>
  <c r="AS53" i="7"/>
  <c r="AP52" i="7"/>
  <c r="AP49" i="7"/>
  <c r="AP50" i="7"/>
  <c r="AQ50" i="7"/>
  <c r="AP51" i="7"/>
  <c r="AP53" i="7"/>
  <c r="AQ53" i="7"/>
  <c r="AB53" i="7"/>
  <c r="AA54" i="7"/>
  <c r="AL44" i="7"/>
  <c r="AK45" i="7"/>
  <c r="AG45" i="7"/>
  <c r="AH44" i="7"/>
  <c r="AU45" i="7"/>
  <c r="AU46" i="7"/>
  <c r="AR46" i="7"/>
  <c r="AS46" i="7"/>
  <c r="AS44" i="7"/>
  <c r="AS41" i="7"/>
  <c r="AS45" i="7"/>
  <c r="AA46" i="7"/>
  <c r="AB45" i="7"/>
  <c r="AP45" i="7"/>
  <c r="AQ45" i="7"/>
  <c r="AV37" i="7"/>
  <c r="AF36" i="7"/>
  <c r="AE37" i="7"/>
  <c r="P63" i="4"/>
  <c r="AS36" i="7"/>
  <c r="AS37" i="7"/>
  <c r="M58" i="4"/>
  <c r="AS34" i="7"/>
  <c r="M62" i="4"/>
  <c r="AQ33" i="7"/>
  <c r="AQ35" i="7"/>
  <c r="AB37" i="7"/>
  <c r="AP37" i="7"/>
  <c r="AQ37" i="7"/>
  <c r="BA37" i="7"/>
  <c r="AV36" i="7"/>
  <c r="AW36" i="7"/>
  <c r="T80" i="7"/>
  <c r="AQ36" i="7"/>
  <c r="AS52" i="7"/>
  <c r="AY46" i="7"/>
  <c r="AD55" i="7"/>
  <c r="AR55" i="7"/>
  <c r="AS55" i="7"/>
  <c r="AB54" i="7"/>
  <c r="AA55" i="7"/>
  <c r="AP54" i="7"/>
  <c r="AQ54" i="7"/>
  <c r="AQ51" i="7"/>
  <c r="AQ52" i="7"/>
  <c r="AK46" i="7"/>
  <c r="AL45" i="7"/>
  <c r="AZ45" i="7"/>
  <c r="BA45" i="7"/>
  <c r="AG46" i="7"/>
  <c r="AH45" i="7"/>
  <c r="AV45" i="7"/>
  <c r="AW45" i="7"/>
  <c r="AB46" i="7"/>
  <c r="AP46" i="7"/>
  <c r="AQ46" i="7"/>
  <c r="AF37" i="7"/>
  <c r="AT37" i="7"/>
  <c r="AU37" i="7"/>
  <c r="AW37" i="7"/>
  <c r="AB55" i="7"/>
  <c r="AP55" i="7"/>
  <c r="AQ55" i="7"/>
  <c r="AL46" i="7"/>
  <c r="AZ46" i="7"/>
  <c r="BA46" i="7"/>
  <c r="AH46" i="7"/>
  <c r="AV46" i="7"/>
  <c r="AW46" i="7"/>
  <c r="B11" i="9" l="1"/>
  <c r="A11" i="21"/>
  <c r="B23" i="9"/>
  <c r="A23" i="21"/>
  <c r="A23" i="22" s="1"/>
  <c r="B31" i="9"/>
  <c r="A31" i="21"/>
  <c r="B35" i="9"/>
  <c r="A35" i="21"/>
  <c r="A35" i="22" s="1"/>
  <c r="B72" i="9"/>
  <c r="A72" i="21"/>
  <c r="B60" i="9"/>
  <c r="A60" i="21"/>
  <c r="A60" i="22" s="1"/>
  <c r="B52" i="9"/>
  <c r="A52" i="21"/>
  <c r="B4" i="9"/>
  <c r="A4" i="21"/>
  <c r="A4" i="22" s="1"/>
  <c r="B8" i="9"/>
  <c r="A8" i="21"/>
  <c r="B12" i="9"/>
  <c r="A12" i="21"/>
  <c r="A12" i="22" s="1"/>
  <c r="B20" i="9"/>
  <c r="A20" i="21"/>
  <c r="B24" i="9"/>
  <c r="A24" i="21"/>
  <c r="A24" i="22" s="1"/>
  <c r="B28" i="9"/>
  <c r="A28" i="21"/>
  <c r="B32" i="9"/>
  <c r="A32" i="21"/>
  <c r="A32" i="22" s="1"/>
  <c r="B36" i="9"/>
  <c r="A36" i="21"/>
  <c r="B83" i="9"/>
  <c r="A83" i="21"/>
  <c r="A83" i="22" s="1"/>
  <c r="B79" i="9"/>
  <c r="A79" i="21"/>
  <c r="B75" i="9"/>
  <c r="A75" i="21"/>
  <c r="A75" i="22" s="1"/>
  <c r="B71" i="9"/>
  <c r="A71" i="21"/>
  <c r="B67" i="9"/>
  <c r="A67" i="21"/>
  <c r="A67" i="22" s="1"/>
  <c r="B55" i="9"/>
  <c r="A55" i="21"/>
  <c r="B51" i="9"/>
  <c r="A51" i="21"/>
  <c r="A51" i="22" s="1"/>
  <c r="B43" i="9"/>
  <c r="A43" i="21"/>
  <c r="B39" i="9"/>
  <c r="A39" i="21"/>
  <c r="A39" i="22" s="1"/>
  <c r="B3" i="9"/>
  <c r="A3" i="21"/>
  <c r="B15" i="9"/>
  <c r="A15" i="21"/>
  <c r="A15" i="22" s="1"/>
  <c r="B27" i="9"/>
  <c r="A27" i="21"/>
  <c r="B80" i="9"/>
  <c r="A80" i="21"/>
  <c r="A80" i="22" s="1"/>
  <c r="B68" i="9"/>
  <c r="A68" i="21"/>
  <c r="B48" i="9"/>
  <c r="A48" i="21"/>
  <c r="A48" i="22" s="1"/>
  <c r="B5" i="9"/>
  <c r="A5" i="21"/>
  <c r="B13" i="9"/>
  <c r="A13" i="21"/>
  <c r="A13" i="22" s="1"/>
  <c r="B25" i="9"/>
  <c r="A25" i="21"/>
  <c r="B37" i="9"/>
  <c r="A37" i="21"/>
  <c r="A37" i="22" s="1"/>
  <c r="B82" i="9"/>
  <c r="A82" i="21"/>
  <c r="B74" i="9"/>
  <c r="A74" i="21"/>
  <c r="A74" i="22" s="1"/>
  <c r="B58" i="9"/>
  <c r="A58" i="21"/>
  <c r="B7" i="9"/>
  <c r="A7" i="21"/>
  <c r="A7" i="22" s="1"/>
  <c r="B19" i="9"/>
  <c r="A19" i="21"/>
  <c r="B84" i="9"/>
  <c r="A84" i="21"/>
  <c r="A84" i="22" s="1"/>
  <c r="B76" i="9"/>
  <c r="A76" i="21"/>
  <c r="B64" i="9"/>
  <c r="A64" i="21"/>
  <c r="A64" i="22" s="1"/>
  <c r="B56" i="9"/>
  <c r="A56" i="21"/>
  <c r="B44" i="9"/>
  <c r="A44" i="21"/>
  <c r="A44" i="22" s="1"/>
  <c r="B40" i="9"/>
  <c r="A40" i="21"/>
  <c r="B34" i="9"/>
  <c r="A34" i="21"/>
  <c r="A34" i="22" s="1"/>
  <c r="B81" i="9"/>
  <c r="A81" i="21"/>
  <c r="B73" i="9"/>
  <c r="A73" i="21"/>
  <c r="A73" i="22" s="1"/>
  <c r="B69" i="9"/>
  <c r="A69" i="21"/>
  <c r="B61" i="9"/>
  <c r="A61" i="21"/>
  <c r="A61" i="22" s="1"/>
  <c r="B57" i="9"/>
  <c r="A57" i="21"/>
  <c r="B53" i="9"/>
  <c r="A53" i="21"/>
  <c r="A53" i="22" s="1"/>
  <c r="B45" i="9"/>
  <c r="A45" i="21"/>
  <c r="G3" i="18"/>
  <c r="K3" i="18"/>
  <c r="I3" i="18"/>
  <c r="C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2" i="18"/>
  <c r="C1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I105" i="22"/>
  <c r="X104" i="22"/>
  <c r="E34" i="22"/>
  <c r="T22" i="22"/>
  <c r="E39" i="22"/>
  <c r="T27" i="22"/>
  <c r="E41" i="22"/>
  <c r="T29" i="22"/>
  <c r="D34" i="22"/>
  <c r="S22" i="22"/>
  <c r="E32" i="22"/>
  <c r="T20" i="22"/>
  <c r="D35" i="22"/>
  <c r="S23" i="22"/>
  <c r="D27" i="22"/>
  <c r="S15" i="22"/>
  <c r="D36" i="22"/>
  <c r="S24" i="22"/>
  <c r="D32" i="22"/>
  <c r="S20" i="22"/>
  <c r="D28" i="22"/>
  <c r="S16" i="22"/>
  <c r="E35" i="22"/>
  <c r="T23" i="22"/>
  <c r="E31" i="22"/>
  <c r="T19" i="22"/>
  <c r="D33" i="22"/>
  <c r="S21" i="22"/>
  <c r="D29" i="22"/>
  <c r="S17" i="22"/>
  <c r="E30" i="22"/>
  <c r="T18" i="22"/>
  <c r="E36" i="22"/>
  <c r="T24" i="22"/>
  <c r="D30" i="22"/>
  <c r="S18" i="22"/>
  <c r="E33" i="22"/>
  <c r="T21" i="22"/>
  <c r="D31" i="22"/>
  <c r="S19" i="22"/>
  <c r="S14" i="22"/>
  <c r="D26" i="22"/>
  <c r="E38" i="22"/>
  <c r="T26" i="22"/>
  <c r="E40" i="22"/>
  <c r="T28" i="22"/>
  <c r="D49" i="22"/>
  <c r="S37" i="22"/>
  <c r="B10" i="9"/>
  <c r="B18" i="9"/>
  <c r="B26" i="9"/>
  <c r="B85" i="9"/>
  <c r="B65" i="9"/>
  <c r="B6" i="9"/>
  <c r="B77" i="9"/>
  <c r="A16" i="22"/>
  <c r="B16" i="9"/>
  <c r="B63" i="9"/>
  <c r="B59" i="9"/>
  <c r="B47" i="9"/>
  <c r="B2" i="9"/>
  <c r="B14" i="9"/>
  <c r="B22" i="9"/>
  <c r="B30" i="9"/>
  <c r="B49" i="9"/>
  <c r="B41" i="9"/>
  <c r="B9" i="9"/>
  <c r="B17" i="9"/>
  <c r="B21" i="9"/>
  <c r="B29" i="9"/>
  <c r="B33" i="9"/>
  <c r="B78" i="9"/>
  <c r="B70" i="9"/>
  <c r="B66" i="9"/>
  <c r="B62" i="9"/>
  <c r="B54" i="9"/>
  <c r="B50" i="9"/>
  <c r="B46" i="9"/>
  <c r="B42" i="9"/>
  <c r="B38" i="9"/>
  <c r="A71" i="22"/>
  <c r="A55" i="22"/>
  <c r="A43" i="22"/>
  <c r="A3" i="22"/>
  <c r="A11" i="22"/>
  <c r="A27" i="22"/>
  <c r="A72" i="22"/>
  <c r="A52" i="22"/>
  <c r="A40" i="22"/>
  <c r="A20" i="22"/>
  <c r="A28" i="22"/>
  <c r="A19" i="22"/>
  <c r="A76" i="22"/>
  <c r="A68" i="22"/>
  <c r="A56" i="22"/>
  <c r="A1" i="22"/>
  <c r="A31" i="22"/>
  <c r="A36" i="22"/>
  <c r="A41" i="22"/>
  <c r="A2" i="22"/>
  <c r="A6" i="22"/>
  <c r="A10" i="22"/>
  <c r="A14" i="22"/>
  <c r="A18" i="22"/>
  <c r="A22" i="22"/>
  <c r="A26" i="22"/>
  <c r="A30" i="22"/>
  <c r="A85" i="22"/>
  <c r="A81" i="22"/>
  <c r="A77" i="22"/>
  <c r="A69" i="22"/>
  <c r="A65" i="22"/>
  <c r="A57" i="22"/>
  <c r="A49" i="22"/>
  <c r="A45" i="22"/>
  <c r="A8" i="22"/>
  <c r="A9" i="22"/>
  <c r="A17" i="22"/>
  <c r="A79" i="22"/>
  <c r="A59" i="22"/>
  <c r="A25" i="22"/>
  <c r="A47" i="22"/>
  <c r="A63" i="22"/>
  <c r="A29" i="22"/>
  <c r="A33" i="22"/>
  <c r="A82" i="22"/>
  <c r="A78" i="22"/>
  <c r="A70" i="22"/>
  <c r="A66" i="22"/>
  <c r="A62" i="22"/>
  <c r="A58" i="22"/>
  <c r="A54" i="22"/>
  <c r="A50" i="22"/>
  <c r="A46" i="22"/>
  <c r="A42" i="22"/>
  <c r="A38" i="22"/>
  <c r="A5" i="22"/>
  <c r="A21" i="22"/>
  <c r="B2" i="21" l="1"/>
  <c r="M8" i="25"/>
  <c r="M4" i="25"/>
  <c r="E10" i="27"/>
  <c r="E6" i="27"/>
  <c r="J9" i="27"/>
  <c r="J5" i="27"/>
  <c r="U9" i="26"/>
  <c r="U5" i="26"/>
  <c r="AA7" i="26"/>
  <c r="U4" i="26"/>
  <c r="U7" i="26"/>
  <c r="M5" i="25"/>
  <c r="E11" i="27"/>
  <c r="J6" i="27"/>
  <c r="U6" i="26"/>
  <c r="AA4" i="26"/>
  <c r="M7" i="25"/>
  <c r="E9" i="27"/>
  <c r="E5" i="27"/>
  <c r="J8" i="27"/>
  <c r="U8" i="26"/>
  <c r="AA10" i="26"/>
  <c r="AA6" i="26"/>
  <c r="AA9" i="26"/>
  <c r="AA5" i="26"/>
  <c r="M9" i="25"/>
  <c r="E7" i="27"/>
  <c r="J10" i="27"/>
  <c r="U10" i="26"/>
  <c r="AA8" i="26"/>
  <c r="M10" i="25"/>
  <c r="M6" i="25"/>
  <c r="E8" i="27"/>
  <c r="J11" i="27"/>
  <c r="J7" i="27"/>
  <c r="B50" i="21"/>
  <c r="B50" i="22" s="1"/>
  <c r="B21" i="21"/>
  <c r="B21" i="22" s="1"/>
  <c r="B16" i="21"/>
  <c r="B16" i="22" s="1"/>
  <c r="B38" i="21"/>
  <c r="B38" i="22" s="1"/>
  <c r="B54" i="21"/>
  <c r="B54" i="22" s="1"/>
  <c r="B78" i="21"/>
  <c r="B78" i="22" s="1"/>
  <c r="B17" i="21"/>
  <c r="B17" i="22" s="1"/>
  <c r="B30" i="21"/>
  <c r="B30" i="22" s="1"/>
  <c r="B47" i="21"/>
  <c r="B47" i="22" s="1"/>
  <c r="B85" i="21"/>
  <c r="B85" i="22" s="1"/>
  <c r="B53" i="21"/>
  <c r="B53" i="22" s="1"/>
  <c r="B61" i="21"/>
  <c r="B61" i="22" s="1"/>
  <c r="B73" i="21"/>
  <c r="B73" i="22" s="1"/>
  <c r="B34" i="21"/>
  <c r="B34" i="22" s="1"/>
  <c r="B44" i="21"/>
  <c r="B44" i="22" s="1"/>
  <c r="B64" i="21"/>
  <c r="B64" i="22" s="1"/>
  <c r="B84" i="21"/>
  <c r="B84" i="22" s="1"/>
  <c r="B7" i="21"/>
  <c r="B7" i="22" s="1"/>
  <c r="B74" i="21"/>
  <c r="B74" i="22" s="1"/>
  <c r="B37" i="21"/>
  <c r="B37" i="22" s="1"/>
  <c r="B13" i="21"/>
  <c r="B13" i="22" s="1"/>
  <c r="B48" i="21"/>
  <c r="B48" i="22" s="1"/>
  <c r="B80" i="21"/>
  <c r="B80" i="22" s="1"/>
  <c r="B15" i="21"/>
  <c r="B15" i="22" s="1"/>
  <c r="B39" i="21"/>
  <c r="B39" i="22" s="1"/>
  <c r="B51" i="21"/>
  <c r="B51" i="22" s="1"/>
  <c r="B67" i="21"/>
  <c r="B67" i="22" s="1"/>
  <c r="B75" i="21"/>
  <c r="B75" i="22" s="1"/>
  <c r="B83" i="21"/>
  <c r="B83" i="22" s="1"/>
  <c r="B32" i="21"/>
  <c r="B32" i="22" s="1"/>
  <c r="B24" i="21"/>
  <c r="B24" i="22" s="1"/>
  <c r="B12" i="21"/>
  <c r="B12" i="22" s="1"/>
  <c r="B4" i="21"/>
  <c r="B4" i="22" s="1"/>
  <c r="B60" i="21"/>
  <c r="B60" i="22" s="1"/>
  <c r="B35" i="21"/>
  <c r="B35" i="22" s="1"/>
  <c r="B23" i="21"/>
  <c r="B23" i="22" s="1"/>
  <c r="B10" i="21"/>
  <c r="B10" i="22" s="1"/>
  <c r="B42" i="21"/>
  <c r="B42" i="22" s="1"/>
  <c r="B33" i="21"/>
  <c r="B33" i="22" s="1"/>
  <c r="B9" i="21"/>
  <c r="B9" i="22" s="1"/>
  <c r="B22" i="21"/>
  <c r="B22" i="22" s="1"/>
  <c r="B59" i="21"/>
  <c r="B59" i="22" s="1"/>
  <c r="B77" i="21"/>
  <c r="B77" i="22" s="1"/>
  <c r="B26" i="21"/>
  <c r="B26" i="22" s="1"/>
  <c r="B70" i="21"/>
  <c r="B70" i="22" s="1"/>
  <c r="B49" i="21"/>
  <c r="B49" i="22" s="1"/>
  <c r="B65" i="21"/>
  <c r="B65" i="22" s="1"/>
  <c r="B62" i="21"/>
  <c r="B62" i="22" s="1"/>
  <c r="B46" i="21"/>
  <c r="B46" i="22" s="1"/>
  <c r="B66" i="21"/>
  <c r="B66" i="22" s="1"/>
  <c r="B29" i="21"/>
  <c r="B29" i="22" s="1"/>
  <c r="B41" i="21"/>
  <c r="B41" i="22" s="1"/>
  <c r="B14" i="21"/>
  <c r="B14" i="22" s="1"/>
  <c r="B63" i="21"/>
  <c r="B63" i="22" s="1"/>
  <c r="B6" i="21"/>
  <c r="B6" i="22" s="1"/>
  <c r="B18" i="21"/>
  <c r="B18" i="22" s="1"/>
  <c r="B45" i="21"/>
  <c r="B45" i="22" s="1"/>
  <c r="B57" i="21"/>
  <c r="B57" i="22" s="1"/>
  <c r="B69" i="21"/>
  <c r="B69" i="22" s="1"/>
  <c r="B81" i="21"/>
  <c r="B81" i="22" s="1"/>
  <c r="B40" i="21"/>
  <c r="B40" i="22" s="1"/>
  <c r="B56" i="21"/>
  <c r="B56" i="22" s="1"/>
  <c r="B76" i="21"/>
  <c r="B76" i="22" s="1"/>
  <c r="B19" i="21"/>
  <c r="B19" i="22" s="1"/>
  <c r="B58" i="21"/>
  <c r="B58" i="22" s="1"/>
  <c r="B82" i="21"/>
  <c r="B82" i="22" s="1"/>
  <c r="B25" i="21"/>
  <c r="B25" i="22" s="1"/>
  <c r="B5" i="21"/>
  <c r="B5" i="22" s="1"/>
  <c r="B68" i="21"/>
  <c r="B68" i="22" s="1"/>
  <c r="B27" i="21"/>
  <c r="B27" i="22" s="1"/>
  <c r="B3" i="21"/>
  <c r="B3" i="22" s="1"/>
  <c r="B43" i="21"/>
  <c r="B43" i="22" s="1"/>
  <c r="B55" i="21"/>
  <c r="B55" i="22" s="1"/>
  <c r="B71" i="21"/>
  <c r="B71" i="22" s="1"/>
  <c r="B79" i="21"/>
  <c r="B79" i="22" s="1"/>
  <c r="B36" i="21"/>
  <c r="B36" i="22" s="1"/>
  <c r="B28" i="21"/>
  <c r="B28" i="22" s="1"/>
  <c r="B20" i="21"/>
  <c r="B20" i="22" s="1"/>
  <c r="B8" i="21"/>
  <c r="B8" i="22" s="1"/>
  <c r="B52" i="21"/>
  <c r="B52" i="22" s="1"/>
  <c r="B72" i="21"/>
  <c r="B72" i="22" s="1"/>
  <c r="B31" i="21"/>
  <c r="B31" i="22" s="1"/>
  <c r="B11" i="21"/>
  <c r="B11" i="22" s="1"/>
  <c r="T11" i="27"/>
  <c r="T7" i="27"/>
  <c r="O10" i="27"/>
  <c r="O6" i="27"/>
  <c r="AQ8" i="26"/>
  <c r="AR8" i="26" s="1"/>
  <c r="AL7" i="26"/>
  <c r="AE10" i="25"/>
  <c r="AE6" i="25"/>
  <c r="Z10" i="25"/>
  <c r="Z6" i="25"/>
  <c r="U10" i="25"/>
  <c r="U6" i="25"/>
  <c r="H10" i="25"/>
  <c r="H6" i="25"/>
  <c r="C9" i="25"/>
  <c r="C5" i="25"/>
  <c r="T8" i="27"/>
  <c r="AQ9" i="26"/>
  <c r="C10" i="25"/>
  <c r="T10" i="27"/>
  <c r="T6" i="27"/>
  <c r="O9" i="27"/>
  <c r="O5" i="27"/>
  <c r="AQ7" i="26"/>
  <c r="AR7" i="26" s="1"/>
  <c r="AL10" i="26"/>
  <c r="AL6" i="26"/>
  <c r="AE9" i="25"/>
  <c r="AE5" i="25"/>
  <c r="Z9" i="25"/>
  <c r="Z5" i="25"/>
  <c r="U9" i="25"/>
  <c r="U5" i="25"/>
  <c r="H9" i="25"/>
  <c r="H5" i="25"/>
  <c r="C8" i="25"/>
  <c r="C4" i="25"/>
  <c r="H8" i="25"/>
  <c r="C7" i="25"/>
  <c r="O11" i="27"/>
  <c r="AL8" i="26"/>
  <c r="T9" i="27"/>
  <c r="T5" i="27"/>
  <c r="O8" i="27"/>
  <c r="AQ10" i="26"/>
  <c r="AQ6" i="26"/>
  <c r="AR6" i="26" s="1"/>
  <c r="AL9" i="26"/>
  <c r="AE8" i="25"/>
  <c r="AE4" i="25"/>
  <c r="Z8" i="25"/>
  <c r="Z4" i="25"/>
  <c r="U8" i="25"/>
  <c r="U4" i="25"/>
  <c r="H4" i="25"/>
  <c r="O7" i="27"/>
  <c r="AE7" i="25"/>
  <c r="Z7" i="25"/>
  <c r="U7" i="25"/>
  <c r="V7" i="25" s="1"/>
  <c r="W7" i="25" s="1"/>
  <c r="H7" i="25"/>
  <c r="C6" i="25"/>
  <c r="I4" i="26"/>
  <c r="O4" i="26"/>
  <c r="I8" i="26"/>
  <c r="O9" i="26"/>
  <c r="I9" i="26"/>
  <c r="I7" i="26"/>
  <c r="O8" i="26"/>
  <c r="I5" i="26"/>
  <c r="O7" i="26"/>
  <c r="O10" i="26"/>
  <c r="I10" i="26"/>
  <c r="I6" i="26"/>
  <c r="O6" i="26"/>
  <c r="AG6" i="26"/>
  <c r="AG10" i="26"/>
  <c r="O5" i="26"/>
  <c r="AG9" i="26"/>
  <c r="AG7" i="26"/>
  <c r="AG8" i="26"/>
  <c r="AG4" i="26"/>
  <c r="AL4" i="26"/>
  <c r="AG5" i="26"/>
  <c r="AL5" i="26"/>
  <c r="AQ4" i="26"/>
  <c r="AR4" i="26" s="1"/>
  <c r="AQ5" i="26"/>
  <c r="AR5" i="26" s="1"/>
  <c r="C4" i="18"/>
  <c r="K4" i="18"/>
  <c r="C5" i="18"/>
  <c r="K5" i="18"/>
  <c r="K6" i="18"/>
  <c r="C6" i="18"/>
  <c r="K7" i="18"/>
  <c r="C7" i="18"/>
  <c r="K8" i="18"/>
  <c r="C8" i="18"/>
  <c r="K9" i="18"/>
  <c r="C9" i="18"/>
  <c r="K10" i="18"/>
  <c r="C10" i="18"/>
  <c r="I106" i="22"/>
  <c r="X105" i="22"/>
  <c r="D47" i="22"/>
  <c r="S35" i="22"/>
  <c r="D61" i="22"/>
  <c r="S49" i="22"/>
  <c r="E50" i="22"/>
  <c r="T38" i="22"/>
  <c r="E51" i="22"/>
  <c r="T39" i="22"/>
  <c r="E45" i="22"/>
  <c r="T33" i="22"/>
  <c r="E48" i="22"/>
  <c r="T36" i="22"/>
  <c r="E43" i="22"/>
  <c r="T31" i="22"/>
  <c r="D48" i="22"/>
  <c r="S36" i="22"/>
  <c r="D46" i="22"/>
  <c r="S34" i="22"/>
  <c r="D43" i="22"/>
  <c r="S31" i="22"/>
  <c r="D42" i="22"/>
  <c r="S30" i="22"/>
  <c r="E42" i="22"/>
  <c r="T30" i="22"/>
  <c r="D45" i="22"/>
  <c r="S33" i="22"/>
  <c r="E47" i="22"/>
  <c r="T35" i="22"/>
  <c r="D44" i="22"/>
  <c r="S32" i="22"/>
  <c r="D39" i="22"/>
  <c r="S27" i="22"/>
  <c r="E44" i="22"/>
  <c r="T32" i="22"/>
  <c r="D41" i="22"/>
  <c r="S29" i="22"/>
  <c r="D40" i="22"/>
  <c r="S28" i="22"/>
  <c r="E52" i="22"/>
  <c r="T40" i="22"/>
  <c r="D38" i="22"/>
  <c r="S26" i="22"/>
  <c r="E53" i="22"/>
  <c r="T41" i="22"/>
  <c r="E46" i="22"/>
  <c r="T34" i="22"/>
  <c r="M8" i="18"/>
  <c r="M10" i="18"/>
  <c r="M9" i="18"/>
  <c r="G9" i="18"/>
  <c r="G8" i="18"/>
  <c r="M5" i="18"/>
  <c r="G5" i="18"/>
  <c r="G4" i="18"/>
  <c r="I6" i="18"/>
  <c r="J6" i="18" s="1"/>
  <c r="I4" i="18"/>
  <c r="G10" i="18"/>
  <c r="H10" i="18" s="1"/>
  <c r="I9" i="18"/>
  <c r="I8" i="18"/>
  <c r="J8" i="18" s="1"/>
  <c r="M6" i="18"/>
  <c r="I5" i="18"/>
  <c r="M4" i="18"/>
  <c r="I7" i="18"/>
  <c r="I10" i="18"/>
  <c r="J10" i="18" s="1"/>
  <c r="M7" i="18"/>
  <c r="G7" i="18"/>
  <c r="G6" i="18"/>
  <c r="H6" i="18" s="1"/>
  <c r="H8" i="18" l="1"/>
  <c r="N4" i="18"/>
  <c r="H7" i="27"/>
  <c r="I7" i="27" s="1"/>
  <c r="N9" i="18"/>
  <c r="N7" i="18"/>
  <c r="L5" i="18"/>
  <c r="AS5" i="26"/>
  <c r="D26" i="31"/>
  <c r="H9" i="27"/>
  <c r="D6" i="31"/>
  <c r="H11" i="27"/>
  <c r="I11" i="27" s="1"/>
  <c r="I15" i="27" s="1"/>
  <c r="I16" i="27" s="1"/>
  <c r="I5" i="27"/>
  <c r="N5" i="18"/>
  <c r="H6" i="27"/>
  <c r="I6" i="27" s="1"/>
  <c r="H8" i="27"/>
  <c r="I9" i="27"/>
  <c r="N10" i="18"/>
  <c r="N8" i="18"/>
  <c r="N6" i="18"/>
  <c r="I10" i="27"/>
  <c r="C26" i="31"/>
  <c r="H10" i="27"/>
  <c r="C6" i="31"/>
  <c r="I8" i="27"/>
  <c r="H5" i="27"/>
  <c r="L10" i="18"/>
  <c r="J5" i="18"/>
  <c r="H5" i="18"/>
  <c r="I7" i="25"/>
  <c r="J7" i="25" s="1"/>
  <c r="AS8" i="26"/>
  <c r="N6" i="25"/>
  <c r="O6" i="25" s="1"/>
  <c r="I6" i="25"/>
  <c r="J6" i="25" s="1"/>
  <c r="AF6" i="25"/>
  <c r="AG6" i="25" s="1"/>
  <c r="D6" i="25"/>
  <c r="E6" i="25" s="1"/>
  <c r="AA7" i="25"/>
  <c r="AB7" i="25" s="1"/>
  <c r="L8" i="18"/>
  <c r="L6" i="18"/>
  <c r="AH7" i="26"/>
  <c r="M8" i="27"/>
  <c r="N8" i="27" s="1"/>
  <c r="AH6" i="26"/>
  <c r="M7" i="27"/>
  <c r="N7" i="27" s="1"/>
  <c r="C4" i="31"/>
  <c r="D27" i="31"/>
  <c r="I9" i="25"/>
  <c r="J9" i="25" s="1"/>
  <c r="C42" i="31"/>
  <c r="AA5" i="25"/>
  <c r="AB5" i="25" s="1"/>
  <c r="AR9" i="26"/>
  <c r="AS9" i="26" s="1"/>
  <c r="C9" i="31"/>
  <c r="V10" i="25"/>
  <c r="W10" i="25" s="1"/>
  <c r="D45" i="31"/>
  <c r="C10" i="27"/>
  <c r="D10" i="27" s="1"/>
  <c r="C5" i="31"/>
  <c r="AA8" i="25"/>
  <c r="AB8" i="25" s="1"/>
  <c r="C8" i="31"/>
  <c r="R10" i="27"/>
  <c r="AM9" i="26"/>
  <c r="D7" i="25"/>
  <c r="E7" i="25" s="1"/>
  <c r="AA9" i="25"/>
  <c r="AB9" i="25" s="1"/>
  <c r="C46" i="31"/>
  <c r="C25" i="31"/>
  <c r="N10" i="25"/>
  <c r="O10" i="25" s="1"/>
  <c r="D43" i="31"/>
  <c r="L9" i="18"/>
  <c r="L7" i="18"/>
  <c r="R6" i="27"/>
  <c r="S6" i="27" s="1"/>
  <c r="AM5" i="26"/>
  <c r="M9" i="27"/>
  <c r="N9" i="27" s="1"/>
  <c r="AH8" i="26"/>
  <c r="C9" i="27"/>
  <c r="D9" i="27" s="1"/>
  <c r="C7" i="27"/>
  <c r="D7" i="27" s="1"/>
  <c r="N7" i="25"/>
  <c r="O7" i="25" s="1"/>
  <c r="V8" i="25"/>
  <c r="W8" i="25" s="1"/>
  <c r="AS6" i="26"/>
  <c r="I8" i="25"/>
  <c r="J8" i="25" s="1"/>
  <c r="N5" i="25"/>
  <c r="O5" i="25" s="1"/>
  <c r="V9" i="25"/>
  <c r="W9" i="25" s="1"/>
  <c r="C45" i="31"/>
  <c r="R11" i="27"/>
  <c r="S11" i="27" s="1"/>
  <c r="S15" i="27" s="1"/>
  <c r="S16" i="27" s="1"/>
  <c r="D8" i="31"/>
  <c r="AM10" i="26"/>
  <c r="D41" i="31"/>
  <c r="D10" i="25"/>
  <c r="E10" i="25" s="1"/>
  <c r="D5" i="25"/>
  <c r="E5" i="25" s="1"/>
  <c r="I10" i="25"/>
  <c r="J10" i="25" s="1"/>
  <c r="D42" i="31"/>
  <c r="AA6" i="25"/>
  <c r="AB6" i="25" s="1"/>
  <c r="AF10" i="25"/>
  <c r="AG10" i="25" s="1"/>
  <c r="D47" i="31"/>
  <c r="D25" i="31"/>
  <c r="D28" i="31"/>
  <c r="AM4" i="26"/>
  <c r="R5" i="27"/>
  <c r="S5" i="27" s="1"/>
  <c r="C5" i="27"/>
  <c r="D4" i="31"/>
  <c r="AF9" i="25"/>
  <c r="AG9" i="25" s="1"/>
  <c r="C47" i="31"/>
  <c r="C27" i="31"/>
  <c r="J4" i="18"/>
  <c r="B2" i="22"/>
  <c r="M5" i="27"/>
  <c r="N5" i="27" s="1"/>
  <c r="AH4" i="26"/>
  <c r="M10" i="27"/>
  <c r="N10" i="27" s="1"/>
  <c r="C7" i="31"/>
  <c r="AH9" i="26"/>
  <c r="C11" i="27"/>
  <c r="D11" i="27" s="1"/>
  <c r="D15" i="27" s="1"/>
  <c r="D16" i="27" s="1"/>
  <c r="D5" i="31"/>
  <c r="AF8" i="25"/>
  <c r="AG8" i="25" s="1"/>
  <c r="AF7" i="25"/>
  <c r="AG7" i="25" s="1"/>
  <c r="D8" i="25"/>
  <c r="E8" i="25" s="1"/>
  <c r="V5" i="25"/>
  <c r="W5" i="25" s="1"/>
  <c r="R7" i="27"/>
  <c r="S7" i="27" s="1"/>
  <c r="AM6" i="26"/>
  <c r="C28" i="31"/>
  <c r="S10" i="27"/>
  <c r="H7" i="18"/>
  <c r="J7" i="18"/>
  <c r="J9" i="18"/>
  <c r="H4" i="18"/>
  <c r="H9" i="18"/>
  <c r="L4" i="18"/>
  <c r="M6" i="27"/>
  <c r="N6" i="27" s="1"/>
  <c r="AH5" i="26"/>
  <c r="C6" i="27"/>
  <c r="D6" i="27" s="1"/>
  <c r="AH10" i="26"/>
  <c r="E7" i="31" s="1"/>
  <c r="D7" i="31"/>
  <c r="M11" i="27"/>
  <c r="N11" i="27" s="1"/>
  <c r="N15" i="27" s="1"/>
  <c r="N16" i="27" s="1"/>
  <c r="C8" i="27"/>
  <c r="D8" i="27" s="1"/>
  <c r="D3" i="31"/>
  <c r="C3" i="31"/>
  <c r="N8" i="25"/>
  <c r="O8" i="25" s="1"/>
  <c r="D9" i="31"/>
  <c r="AR10" i="26"/>
  <c r="AM8" i="26"/>
  <c r="R9" i="27"/>
  <c r="S9" i="27" s="1"/>
  <c r="I5" i="25"/>
  <c r="J5" i="25" s="1"/>
  <c r="N9" i="25"/>
  <c r="O9" i="25" s="1"/>
  <c r="C43" i="31"/>
  <c r="AF5" i="25"/>
  <c r="AG5" i="25" s="1"/>
  <c r="AS7" i="26"/>
  <c r="C41" i="31"/>
  <c r="D9" i="25"/>
  <c r="E9" i="25" s="1"/>
  <c r="V6" i="25"/>
  <c r="W6" i="25" s="1"/>
  <c r="AA10" i="25"/>
  <c r="AB10" i="25" s="1"/>
  <c r="D46" i="31"/>
  <c r="AM7" i="26"/>
  <c r="R8" i="27"/>
  <c r="S8" i="27" s="1"/>
  <c r="I107" i="22"/>
  <c r="X106" i="22"/>
  <c r="E60" i="22"/>
  <c r="T48" i="22"/>
  <c r="D73" i="22"/>
  <c r="S61" i="22"/>
  <c r="E58" i="22"/>
  <c r="T46" i="22"/>
  <c r="E64" i="22"/>
  <c r="T52" i="22"/>
  <c r="D51" i="22"/>
  <c r="S39" i="22"/>
  <c r="E54" i="22"/>
  <c r="T42" i="22"/>
  <c r="D55" i="22"/>
  <c r="S43" i="22"/>
  <c r="D60" i="22"/>
  <c r="S48" i="22"/>
  <c r="E63" i="22"/>
  <c r="T51" i="22"/>
  <c r="E65" i="22"/>
  <c r="T53" i="22"/>
  <c r="D50" i="22"/>
  <c r="S38" i="22"/>
  <c r="D52" i="22"/>
  <c r="S40" i="22"/>
  <c r="E56" i="22"/>
  <c r="T44" i="22"/>
  <c r="D56" i="22"/>
  <c r="S44" i="22"/>
  <c r="D57" i="22"/>
  <c r="S45" i="22"/>
  <c r="D54" i="22"/>
  <c r="S42" i="22"/>
  <c r="D58" i="22"/>
  <c r="S46" i="22"/>
  <c r="E55" i="22"/>
  <c r="T43" i="22"/>
  <c r="E57" i="22"/>
  <c r="T45" i="22"/>
  <c r="D53" i="22"/>
  <c r="S41" i="22"/>
  <c r="E59" i="22"/>
  <c r="T47" i="22"/>
  <c r="E62" i="22"/>
  <c r="T50" i="22"/>
  <c r="D59" i="22"/>
  <c r="S47" i="22"/>
  <c r="AU23" i="9"/>
  <c r="AU14" i="9"/>
  <c r="AU19" i="9"/>
  <c r="AU15" i="9"/>
  <c r="AU22" i="9"/>
  <c r="AU18" i="9"/>
  <c r="AN6" i="26" l="1"/>
  <c r="N11" i="18"/>
  <c r="AG11" i="25"/>
  <c r="AF11" i="25" s="1"/>
  <c r="AE11" i="25" s="1"/>
  <c r="AN7" i="26"/>
  <c r="D29" i="31"/>
  <c r="J11" i="25"/>
  <c r="I11" i="25" s="1"/>
  <c r="I12" i="25" s="1"/>
  <c r="W11" i="25"/>
  <c r="V11" i="25" s="1"/>
  <c r="AH11" i="26" s="1"/>
  <c r="E11" i="25"/>
  <c r="D11" i="25" s="1"/>
  <c r="D12" i="25" s="1"/>
  <c r="AB11" i="25"/>
  <c r="AA11" i="25" s="1"/>
  <c r="AM11" i="26" s="1"/>
  <c r="O11" i="25"/>
  <c r="N11" i="25" s="1"/>
  <c r="N12" i="25" s="1"/>
  <c r="D48" i="31"/>
  <c r="AR11" i="26"/>
  <c r="O2" i="22"/>
  <c r="AD2" i="22" s="1"/>
  <c r="AD2" i="21"/>
  <c r="Z10" i="21"/>
  <c r="K10" i="22"/>
  <c r="Z10" i="22" s="1"/>
  <c r="Z12" i="21"/>
  <c r="K12" i="22"/>
  <c r="Z12" i="22" s="1"/>
  <c r="L11" i="22"/>
  <c r="AA11" i="22" s="1"/>
  <c r="AA11" i="21"/>
  <c r="M3" i="22"/>
  <c r="AB3" i="22" s="1"/>
  <c r="AB3" i="21"/>
  <c r="M13" i="22"/>
  <c r="AB13" i="22" s="1"/>
  <c r="AB13" i="21"/>
  <c r="AC12" i="21"/>
  <c r="N12" i="22"/>
  <c r="AC12" i="22" s="1"/>
  <c r="AA12" i="25"/>
  <c r="C29" i="31"/>
  <c r="K13" i="22"/>
  <c r="Z13" i="22" s="1"/>
  <c r="Z13" i="21"/>
  <c r="AB5" i="21"/>
  <c r="M5" i="22"/>
  <c r="AB5" i="22" s="1"/>
  <c r="O8" i="22"/>
  <c r="AD8" i="22" s="1"/>
  <c r="AD8" i="21"/>
  <c r="N5" i="22"/>
  <c r="AC5" i="22" s="1"/>
  <c r="AC5" i="21"/>
  <c r="N7" i="22"/>
  <c r="AC7" i="22" s="1"/>
  <c r="AC7" i="21"/>
  <c r="AC11" i="21"/>
  <c r="N11" i="22"/>
  <c r="AC11" i="22" s="1"/>
  <c r="O6" i="22"/>
  <c r="AD6" i="22" s="1"/>
  <c r="AD6" i="21"/>
  <c r="Z11" i="25"/>
  <c r="AN9" i="26"/>
  <c r="O5" i="22"/>
  <c r="AD5" i="22" s="1"/>
  <c r="AD5" i="21"/>
  <c r="K8" i="22"/>
  <c r="Z8" i="22" s="1"/>
  <c r="Z8" i="21"/>
  <c r="M11" i="22"/>
  <c r="AB11" i="22" s="1"/>
  <c r="AB11" i="21"/>
  <c r="AC13" i="21"/>
  <c r="N13" i="22"/>
  <c r="AC13" i="22" s="1"/>
  <c r="O11" i="22"/>
  <c r="AD11" i="22" s="1"/>
  <c r="AD11" i="21"/>
  <c r="AA4" i="21"/>
  <c r="L4" i="22"/>
  <c r="AA4" i="22" s="1"/>
  <c r="AB2" i="21"/>
  <c r="M2" i="22"/>
  <c r="AB2" i="22" s="1"/>
  <c r="O9" i="22"/>
  <c r="AD9" i="22" s="1"/>
  <c r="AD9" i="21"/>
  <c r="K3" i="22"/>
  <c r="Z3" i="22" s="1"/>
  <c r="Z3" i="21"/>
  <c r="M9" i="22"/>
  <c r="AB9" i="22" s="1"/>
  <c r="AB9" i="21"/>
  <c r="AD7" i="21"/>
  <c r="O7" i="22"/>
  <c r="AD7" i="22" s="1"/>
  <c r="Z11" i="21"/>
  <c r="K11" i="22"/>
  <c r="Z11" i="22" s="1"/>
  <c r="K9" i="22"/>
  <c r="Z9" i="22" s="1"/>
  <c r="Z9" i="21"/>
  <c r="L10" i="22"/>
  <c r="AA10" i="22" s="1"/>
  <c r="AA10" i="21"/>
  <c r="M8" i="22"/>
  <c r="AB8" i="22" s="1"/>
  <c r="AB8" i="21"/>
  <c r="AB12" i="21"/>
  <c r="M12" i="22"/>
  <c r="AB12" i="22" s="1"/>
  <c r="E8" i="31"/>
  <c r="AN10" i="26"/>
  <c r="C48" i="31"/>
  <c r="N8" i="22"/>
  <c r="AC8" i="22" s="1"/>
  <c r="AC8" i="21"/>
  <c r="N10" i="22"/>
  <c r="AC10" i="22" s="1"/>
  <c r="AC10" i="21"/>
  <c r="AC3" i="21"/>
  <c r="N3" i="22"/>
  <c r="AC3" i="22" s="1"/>
  <c r="Z4" i="21"/>
  <c r="K4" i="22"/>
  <c r="Z4" i="22" s="1"/>
  <c r="AD4" i="21"/>
  <c r="O4" i="22"/>
  <c r="AD4" i="22" s="1"/>
  <c r="K6" i="22"/>
  <c r="Z6" i="22" s="1"/>
  <c r="Z6" i="21"/>
  <c r="Z2" i="21"/>
  <c r="K2" i="22"/>
  <c r="Z2" i="22" s="1"/>
  <c r="L12" i="22"/>
  <c r="AA12" i="22" s="1"/>
  <c r="AA12" i="21"/>
  <c r="N6" i="22"/>
  <c r="AC6" i="22" s="1"/>
  <c r="AC6" i="21"/>
  <c r="L8" i="22"/>
  <c r="AA8" i="22" s="1"/>
  <c r="AA8" i="21"/>
  <c r="M4" i="22"/>
  <c r="AB4" i="22" s="1"/>
  <c r="AB4" i="21"/>
  <c r="D10" i="31"/>
  <c r="C8" i="26"/>
  <c r="AB8" i="26" s="1"/>
  <c r="C6" i="26"/>
  <c r="AB6" i="26" s="1"/>
  <c r="C4" i="26"/>
  <c r="AB4" i="26" s="1"/>
  <c r="C9" i="26"/>
  <c r="AB9" i="26" s="1"/>
  <c r="C7" i="26"/>
  <c r="AB7" i="26" s="1"/>
  <c r="C5" i="26"/>
  <c r="AB5" i="26" s="1"/>
  <c r="C10" i="26"/>
  <c r="AB10" i="26" s="1"/>
  <c r="AB11" i="26" s="1"/>
  <c r="AB12" i="26" s="1"/>
  <c r="L3" i="22"/>
  <c r="AA3" i="22" s="1"/>
  <c r="AA3" i="21"/>
  <c r="AA5" i="21"/>
  <c r="L5" i="22"/>
  <c r="AA5" i="22" s="1"/>
  <c r="AC9" i="21"/>
  <c r="N9" i="22"/>
  <c r="AC9" i="22" s="1"/>
  <c r="L7" i="22"/>
  <c r="AA7" i="22" s="1"/>
  <c r="AA7" i="21"/>
  <c r="L9" i="22"/>
  <c r="AA9" i="22" s="1"/>
  <c r="AA9" i="21"/>
  <c r="AN8" i="26"/>
  <c r="C10" i="31"/>
  <c r="AA6" i="21"/>
  <c r="L6" i="22"/>
  <c r="AA6" i="22" s="1"/>
  <c r="AD12" i="21"/>
  <c r="O12" i="22"/>
  <c r="AD12" i="22" s="1"/>
  <c r="AA13" i="21"/>
  <c r="L13" i="22"/>
  <c r="AA13" i="22" s="1"/>
  <c r="N4" i="22"/>
  <c r="AC4" i="22" s="1"/>
  <c r="AC4" i="21"/>
  <c r="AB6" i="21"/>
  <c r="M6" i="22"/>
  <c r="AB6" i="22" s="1"/>
  <c r="O13" i="22"/>
  <c r="AD13" i="22" s="1"/>
  <c r="AD13" i="21"/>
  <c r="K5" i="22"/>
  <c r="Z5" i="22" s="1"/>
  <c r="Z5" i="21"/>
  <c r="K7" i="22"/>
  <c r="Z7" i="22" s="1"/>
  <c r="Z7" i="21"/>
  <c r="O3" i="22"/>
  <c r="AD3" i="22" s="1"/>
  <c r="AD3" i="21"/>
  <c r="M10" i="22"/>
  <c r="AB10" i="22" s="1"/>
  <c r="AB10" i="21"/>
  <c r="M7" i="22"/>
  <c r="AB7" i="22" s="1"/>
  <c r="AB7" i="21"/>
  <c r="AD10" i="21"/>
  <c r="O10" i="22"/>
  <c r="AD10" i="22" s="1"/>
  <c r="AA2" i="21"/>
  <c r="L2" i="22"/>
  <c r="AA2" i="22" s="1"/>
  <c r="N2" i="22"/>
  <c r="AC2" i="22" s="1"/>
  <c r="AC2" i="21"/>
  <c r="E9" i="31"/>
  <c r="AS10" i="26"/>
  <c r="AN5" i="26"/>
  <c r="I108" i="22"/>
  <c r="X107" i="22"/>
  <c r="D71" i="22"/>
  <c r="S59" i="22"/>
  <c r="D66" i="22"/>
  <c r="S54" i="22"/>
  <c r="D68" i="22"/>
  <c r="S56" i="22"/>
  <c r="E77" i="22"/>
  <c r="T65" i="22"/>
  <c r="D72" i="22"/>
  <c r="S60" i="22"/>
  <c r="E66" i="22"/>
  <c r="T54" i="22"/>
  <c r="D85" i="22"/>
  <c r="S73" i="22"/>
  <c r="E71" i="22"/>
  <c r="T59" i="22"/>
  <c r="E67" i="22"/>
  <c r="T55" i="22"/>
  <c r="D64" i="22"/>
  <c r="S52" i="22"/>
  <c r="E76" i="22"/>
  <c r="T64" i="22"/>
  <c r="E74" i="22"/>
  <c r="T62" i="22"/>
  <c r="E69" i="22"/>
  <c r="T57" i="22"/>
  <c r="D70" i="22"/>
  <c r="S58" i="22"/>
  <c r="D69" i="22"/>
  <c r="S57" i="22"/>
  <c r="E68" i="22"/>
  <c r="T56" i="22"/>
  <c r="D62" i="22"/>
  <c r="S50" i="22"/>
  <c r="E75" i="22"/>
  <c r="T63" i="22"/>
  <c r="D67" i="22"/>
  <c r="S55" i="22"/>
  <c r="D63" i="22"/>
  <c r="S51" i="22"/>
  <c r="E70" i="22"/>
  <c r="T58" i="22"/>
  <c r="D65" i="22"/>
  <c r="S53" i="22"/>
  <c r="E72" i="22"/>
  <c r="T60" i="22"/>
  <c r="AT22" i="9"/>
  <c r="N22" i="21" s="1"/>
  <c r="AK25" i="9"/>
  <c r="AR22" i="9"/>
  <c r="AJ20" i="9"/>
  <c r="AL22" i="9"/>
  <c r="AN23" i="9"/>
  <c r="AL17" i="9"/>
  <c r="AR20" i="9"/>
  <c r="AL23" i="9"/>
  <c r="AX18" i="9"/>
  <c r="AJ18" i="9"/>
  <c r="AX19" i="9"/>
  <c r="AM24" i="9"/>
  <c r="K24" i="21" s="1"/>
  <c r="AK18" i="9"/>
  <c r="AL20" i="9"/>
  <c r="AV23" i="9"/>
  <c r="AM20" i="9"/>
  <c r="K20" i="21" s="1"/>
  <c r="AN15" i="9"/>
  <c r="AW16" i="9"/>
  <c r="O16" i="21" s="1"/>
  <c r="AN18" i="9"/>
  <c r="AT19" i="9"/>
  <c r="N19" i="21" s="1"/>
  <c r="AL21" i="9"/>
  <c r="AX23" i="9"/>
  <c r="AO19" i="9"/>
  <c r="L19" i="21" s="1"/>
  <c r="AP18" i="9"/>
  <c r="AO21" i="9"/>
  <c r="L21" i="21" s="1"/>
  <c r="AR14" i="9"/>
  <c r="AL15" i="9"/>
  <c r="AP15" i="9"/>
  <c r="AK16" i="9"/>
  <c r="AJ24" i="9"/>
  <c r="AJ22" i="9"/>
  <c r="AR18" i="9"/>
  <c r="AQ16" i="9"/>
  <c r="AV16" i="9"/>
  <c r="AX22" i="9"/>
  <c r="AQ22" i="9"/>
  <c r="AU25" i="9"/>
  <c r="AJ19" i="9"/>
  <c r="AX17" i="9"/>
  <c r="AR21" i="9"/>
  <c r="AJ21" i="9"/>
  <c r="AN16" i="9"/>
  <c r="AU17" i="9"/>
  <c r="AO15" i="9"/>
  <c r="L15" i="21" s="1"/>
  <c r="AX25" i="9"/>
  <c r="AS17" i="9"/>
  <c r="M17" i="21" s="1"/>
  <c r="AQ15" i="9"/>
  <c r="AW20" i="9"/>
  <c r="O20" i="21" s="1"/>
  <c r="AX24" i="9"/>
  <c r="AL18" i="9"/>
  <c r="AS18" i="9"/>
  <c r="M18" i="21" s="1"/>
  <c r="AV19" i="9"/>
  <c r="AN21" i="9"/>
  <c r="AU16" i="9"/>
  <c r="AV24" i="9"/>
  <c r="AW25" i="9"/>
  <c r="O25" i="21" s="1"/>
  <c r="AK24" i="9"/>
  <c r="AP21" i="9"/>
  <c r="AQ25" i="9"/>
  <c r="AT17" i="9"/>
  <c r="N17" i="21" s="1"/>
  <c r="AK23" i="9"/>
  <c r="AU30" i="9"/>
  <c r="AS15" i="9"/>
  <c r="M15" i="21" s="1"/>
  <c r="AM18" i="9"/>
  <c r="K18" i="21" s="1"/>
  <c r="AQ14" i="9"/>
  <c r="AU27" i="9"/>
  <c r="AL25" i="9"/>
  <c r="AJ14" i="9"/>
  <c r="AM14" i="9"/>
  <c r="K14" i="21" s="1"/>
  <c r="AU31" i="9"/>
  <c r="AV17" i="9"/>
  <c r="AN22" i="9"/>
  <c r="AM15" i="9"/>
  <c r="K15" i="21" s="1"/>
  <c r="AS21" i="9"/>
  <c r="M21" i="21" s="1"/>
  <c r="AW19" i="9"/>
  <c r="O19" i="21" s="1"/>
  <c r="AP16" i="9"/>
  <c r="AP20" i="9"/>
  <c r="AK21" i="9"/>
  <c r="AK15" i="9"/>
  <c r="AP14" i="9"/>
  <c r="AU35" i="9"/>
  <c r="AO20" i="9"/>
  <c r="L20" i="21" s="1"/>
  <c r="AP24" i="9"/>
  <c r="AS16" i="9"/>
  <c r="M16" i="21" s="1"/>
  <c r="AT24" i="9"/>
  <c r="N24" i="21" s="1"/>
  <c r="AW17" i="9"/>
  <c r="O17" i="21" s="1"/>
  <c r="AJ17" i="9"/>
  <c r="AL24" i="9"/>
  <c r="AP25" i="9"/>
  <c r="AX15" i="9"/>
  <c r="AO18" i="9"/>
  <c r="L18" i="21" s="1"/>
  <c r="AK17" i="9"/>
  <c r="AW14" i="9"/>
  <c r="O14" i="21" s="1"/>
  <c r="AN25" i="9"/>
  <c r="AQ24" i="9"/>
  <c r="AU21" i="9"/>
  <c r="AT15" i="9"/>
  <c r="N15" i="21" s="1"/>
  <c r="AM22" i="9"/>
  <c r="K22" i="21" s="1"/>
  <c r="AK19" i="9"/>
  <c r="AP17" i="9"/>
  <c r="AQ21" i="9"/>
  <c r="AQ19" i="9"/>
  <c r="AP22" i="9"/>
  <c r="AP23" i="9"/>
  <c r="AK20" i="9"/>
  <c r="AM16" i="9"/>
  <c r="K16" i="21" s="1"/>
  <c r="AO23" i="9"/>
  <c r="L23" i="21" s="1"/>
  <c r="AJ16" i="9"/>
  <c r="AS23" i="9"/>
  <c r="M23" i="21" s="1"/>
  <c r="AT25" i="9"/>
  <c r="N25" i="21" s="1"/>
  <c r="AX21" i="9"/>
  <c r="AU34" i="9"/>
  <c r="AM19" i="9"/>
  <c r="K19" i="21" s="1"/>
  <c r="AQ20" i="9"/>
  <c r="AQ18" i="9"/>
  <c r="AW15" i="9"/>
  <c r="O15" i="21" s="1"/>
  <c r="AN17" i="9"/>
  <c r="AS22" i="9"/>
  <c r="M22" i="21" s="1"/>
  <c r="AJ25" i="9"/>
  <c r="AS19" i="9"/>
  <c r="M19" i="21" s="1"/>
  <c r="AT23" i="9"/>
  <c r="N23" i="21" s="1"/>
  <c r="AX14" i="9"/>
  <c r="AN14" i="9"/>
  <c r="AW18" i="9"/>
  <c r="O18" i="21" s="1"/>
  <c r="AJ15" i="9"/>
  <c r="AV21" i="9"/>
  <c r="AW22" i="9"/>
  <c r="O22" i="21" s="1"/>
  <c r="AO14" i="9"/>
  <c r="L14" i="21" s="1"/>
  <c r="AV18" i="9"/>
  <c r="AT14" i="9"/>
  <c r="N14" i="21" s="1"/>
  <c r="AJ23" i="9"/>
  <c r="AT20" i="9"/>
  <c r="N20" i="21" s="1"/>
  <c r="AL14" i="9"/>
  <c r="AK14" i="9"/>
  <c r="AX20" i="9"/>
  <c r="AQ17" i="9"/>
  <c r="AM25" i="9"/>
  <c r="K25" i="21" s="1"/>
  <c r="AR16" i="9"/>
  <c r="AW24" i="9"/>
  <c r="O24" i="21" s="1"/>
  <c r="AO25" i="9"/>
  <c r="L25" i="21" s="1"/>
  <c r="AN20" i="9"/>
  <c r="AX16" i="9"/>
  <c r="AP19" i="9"/>
  <c r="AR24" i="9"/>
  <c r="AT16" i="9"/>
  <c r="N16" i="21" s="1"/>
  <c r="AR19" i="9"/>
  <c r="AV15" i="9"/>
  <c r="AV25" i="9"/>
  <c r="AV14" i="9"/>
  <c r="AO17" i="9"/>
  <c r="L17" i="21" s="1"/>
  <c r="AR15" i="9"/>
  <c r="AN24" i="9"/>
  <c r="AV22" i="9"/>
  <c r="AM17" i="9"/>
  <c r="K17" i="21" s="1"/>
  <c r="AR25" i="9"/>
  <c r="AT21" i="9"/>
  <c r="N21" i="21" s="1"/>
  <c r="AN19" i="9"/>
  <c r="AW23" i="9"/>
  <c r="O23" i="21" s="1"/>
  <c r="AR17" i="9"/>
  <c r="AR23" i="9"/>
  <c r="AO16" i="9"/>
  <c r="L16" i="21" s="1"/>
  <c r="AS14" i="9"/>
  <c r="M14" i="21" s="1"/>
  <c r="AV20" i="9"/>
  <c r="AQ23" i="9"/>
  <c r="AU20" i="9"/>
  <c r="AW21" i="9"/>
  <c r="O21" i="21" s="1"/>
  <c r="AL19" i="9"/>
  <c r="AU26" i="9"/>
  <c r="AO24" i="9"/>
  <c r="L24" i="21" s="1"/>
  <c r="AU24" i="9"/>
  <c r="AS25" i="9"/>
  <c r="M25" i="21" s="1"/>
  <c r="AT18" i="9"/>
  <c r="N18" i="21" s="1"/>
  <c r="AK22" i="9"/>
  <c r="AM23" i="9"/>
  <c r="K23" i="21" s="1"/>
  <c r="AM21" i="9"/>
  <c r="K21" i="21" s="1"/>
  <c r="AL16" i="9"/>
  <c r="AO22" i="9"/>
  <c r="L22" i="21" s="1"/>
  <c r="AS20" i="9"/>
  <c r="M20" i="21" s="1"/>
  <c r="AS24" i="9"/>
  <c r="M24" i="21" s="1"/>
  <c r="AF12" i="25" l="1"/>
  <c r="O4" i="18"/>
  <c r="P4" i="18" s="1"/>
  <c r="Q4" i="18" s="1"/>
  <c r="O5" i="18"/>
  <c r="P5" i="18" s="1"/>
  <c r="Q5" i="18" s="1"/>
  <c r="O9" i="18"/>
  <c r="P9" i="18" s="1"/>
  <c r="Q9" i="18" s="1"/>
  <c r="O8" i="18"/>
  <c r="P8" i="18" s="1"/>
  <c r="Q8" i="18" s="1"/>
  <c r="O7" i="18"/>
  <c r="P7" i="18" s="1"/>
  <c r="Q7" i="18" s="1"/>
  <c r="O10" i="18"/>
  <c r="P10" i="18" s="1"/>
  <c r="Q10" i="18" s="1"/>
  <c r="O6" i="18"/>
  <c r="P6" i="18" s="1"/>
  <c r="Q6" i="18" s="1"/>
  <c r="V12" i="25"/>
  <c r="U11" i="25"/>
  <c r="M11" i="25"/>
  <c r="M12" i="25" s="1"/>
  <c r="F43" i="31" s="1"/>
  <c r="H11" i="25"/>
  <c r="H12" i="25" s="1"/>
  <c r="F42" i="31" s="1"/>
  <c r="C11" i="25"/>
  <c r="E41" i="31" s="1"/>
  <c r="L16" i="22"/>
  <c r="AA16" i="22" s="1"/>
  <c r="AA16" i="21"/>
  <c r="AC16" i="21"/>
  <c r="N16" i="22"/>
  <c r="AC16" i="22" s="1"/>
  <c r="AB22" i="21"/>
  <c r="M22" i="22"/>
  <c r="AB22" i="22" s="1"/>
  <c r="N25" i="22"/>
  <c r="AC25" i="22" s="1"/>
  <c r="AC25" i="21"/>
  <c r="N24" i="22"/>
  <c r="AC24" i="22" s="1"/>
  <c r="AC24" i="21"/>
  <c r="M15" i="22"/>
  <c r="AB15" i="22" s="1"/>
  <c r="AB15" i="21"/>
  <c r="L19" i="22"/>
  <c r="AA19" i="22" s="1"/>
  <c r="AA19" i="21"/>
  <c r="Z24" i="21"/>
  <c r="K24" i="22"/>
  <c r="Z24" i="22" s="1"/>
  <c r="D7" i="26"/>
  <c r="V7" i="26"/>
  <c r="J7" i="26"/>
  <c r="P7" i="26"/>
  <c r="Z12" i="25"/>
  <c r="F46" i="31" s="1"/>
  <c r="E46" i="31"/>
  <c r="F9" i="31"/>
  <c r="AR12" i="26"/>
  <c r="AS11" i="26"/>
  <c r="K21" i="22"/>
  <c r="Z21" i="22" s="1"/>
  <c r="Z21" i="21"/>
  <c r="N21" i="22"/>
  <c r="AC21" i="22" s="1"/>
  <c r="AC21" i="21"/>
  <c r="N23" i="22"/>
  <c r="AC23" i="22" s="1"/>
  <c r="AC23" i="21"/>
  <c r="K19" i="22"/>
  <c r="Z19" i="22" s="1"/>
  <c r="Z19" i="21"/>
  <c r="M21" i="22"/>
  <c r="AB21" i="22" s="1"/>
  <c r="AB21" i="21"/>
  <c r="O25" i="22"/>
  <c r="AD25" i="22" s="1"/>
  <c r="AD25" i="21"/>
  <c r="L15" i="22"/>
  <c r="AA15" i="22" s="1"/>
  <c r="AA15" i="21"/>
  <c r="O16" i="22"/>
  <c r="AD16" i="22" s="1"/>
  <c r="AD16" i="21"/>
  <c r="D9" i="26"/>
  <c r="P9" i="26"/>
  <c r="V9" i="26"/>
  <c r="J9" i="26"/>
  <c r="AB20" i="21"/>
  <c r="M20" i="22"/>
  <c r="AB20" i="22" s="1"/>
  <c r="K23" i="22"/>
  <c r="Z23" i="22" s="1"/>
  <c r="Z23" i="21"/>
  <c r="M25" i="22"/>
  <c r="AB25" i="22" s="1"/>
  <c r="AB25" i="21"/>
  <c r="O24" i="22"/>
  <c r="AD24" i="22" s="1"/>
  <c r="AD24" i="21"/>
  <c r="N20" i="22"/>
  <c r="AC20" i="22" s="1"/>
  <c r="AC20" i="21"/>
  <c r="L14" i="22"/>
  <c r="AA14" i="22" s="1"/>
  <c r="AA14" i="21"/>
  <c r="O18" i="22"/>
  <c r="AD18" i="22" s="1"/>
  <c r="AD18" i="21"/>
  <c r="M19" i="22"/>
  <c r="AB19" i="22" s="1"/>
  <c r="AB19" i="21"/>
  <c r="AD15" i="21"/>
  <c r="O15" i="22"/>
  <c r="AD15" i="22" s="1"/>
  <c r="Z22" i="21"/>
  <c r="K22" i="22"/>
  <c r="Z22" i="22" s="1"/>
  <c r="AA18" i="21"/>
  <c r="L18" i="22"/>
  <c r="AA18" i="22" s="1"/>
  <c r="Z15" i="21"/>
  <c r="K15" i="22"/>
  <c r="Z15" i="22" s="1"/>
  <c r="Z14" i="21"/>
  <c r="K14" i="22"/>
  <c r="Z14" i="22" s="1"/>
  <c r="AB18" i="21"/>
  <c r="M18" i="22"/>
  <c r="AB18" i="22" s="1"/>
  <c r="L21" i="22"/>
  <c r="AA21" i="22" s="1"/>
  <c r="AA21" i="21"/>
  <c r="E45" i="31"/>
  <c r="U12" i="25"/>
  <c r="F45" i="31" s="1"/>
  <c r="D10" i="26"/>
  <c r="P10" i="26"/>
  <c r="P11" i="26" s="1"/>
  <c r="P12" i="26" s="1"/>
  <c r="V10" i="26"/>
  <c r="V11" i="26" s="1"/>
  <c r="V12" i="26" s="1"/>
  <c r="J10" i="26"/>
  <c r="J11" i="26" s="1"/>
  <c r="J12" i="26" s="1"/>
  <c r="J4" i="26"/>
  <c r="P4" i="26"/>
  <c r="V4" i="26"/>
  <c r="AH12" i="26"/>
  <c r="AM12" i="26"/>
  <c r="AE12" i="25"/>
  <c r="F47" i="31" s="1"/>
  <c r="E47" i="31"/>
  <c r="L24" i="22"/>
  <c r="AA24" i="22" s="1"/>
  <c r="AA24" i="21"/>
  <c r="K25" i="22"/>
  <c r="Z25" i="22" s="1"/>
  <c r="Z25" i="21"/>
  <c r="N14" i="22"/>
  <c r="AC14" i="22" s="1"/>
  <c r="AC14" i="21"/>
  <c r="Z16" i="21"/>
  <c r="K16" i="22"/>
  <c r="Z16" i="22" s="1"/>
  <c r="AD19" i="21"/>
  <c r="O19" i="22"/>
  <c r="AD19" i="22" s="1"/>
  <c r="N17" i="22"/>
  <c r="AC17" i="22" s="1"/>
  <c r="AC17" i="21"/>
  <c r="D8" i="26"/>
  <c r="P8" i="26"/>
  <c r="V8" i="26"/>
  <c r="J8" i="26"/>
  <c r="M24" i="22"/>
  <c r="AB24" i="22" s="1"/>
  <c r="AB24" i="21"/>
  <c r="N18" i="22"/>
  <c r="AC18" i="22" s="1"/>
  <c r="AC18" i="21"/>
  <c r="AA25" i="21"/>
  <c r="L25" i="22"/>
  <c r="AA25" i="22" s="1"/>
  <c r="M23" i="22"/>
  <c r="AB23" i="22" s="1"/>
  <c r="AB23" i="21"/>
  <c r="M16" i="22"/>
  <c r="AB16" i="22" s="1"/>
  <c r="AB16" i="21"/>
  <c r="O20" i="22"/>
  <c r="AD20" i="22" s="1"/>
  <c r="AD20" i="21"/>
  <c r="N22" i="22"/>
  <c r="AC22" i="22" s="1"/>
  <c r="AC22" i="21"/>
  <c r="AA22" i="21"/>
  <c r="L22" i="22"/>
  <c r="AA22" i="22" s="1"/>
  <c r="O21" i="22"/>
  <c r="AD21" i="22" s="1"/>
  <c r="AD21" i="21"/>
  <c r="M14" i="22"/>
  <c r="AB14" i="22" s="1"/>
  <c r="AB14" i="21"/>
  <c r="AD23" i="21"/>
  <c r="O23" i="22"/>
  <c r="AD23" i="22" s="1"/>
  <c r="K17" i="22"/>
  <c r="Z17" i="22" s="1"/>
  <c r="Z17" i="21"/>
  <c r="AA17" i="21"/>
  <c r="L17" i="22"/>
  <c r="AA17" i="22" s="1"/>
  <c r="AD22" i="21"/>
  <c r="O22" i="22"/>
  <c r="AD22" i="22" s="1"/>
  <c r="L23" i="22"/>
  <c r="AA23" i="22" s="1"/>
  <c r="AA23" i="21"/>
  <c r="AC15" i="21"/>
  <c r="N15" i="22"/>
  <c r="AC15" i="22" s="1"/>
  <c r="O14" i="22"/>
  <c r="AD14" i="22" s="1"/>
  <c r="AD14" i="21"/>
  <c r="AD17" i="21"/>
  <c r="O17" i="22"/>
  <c r="AD17" i="22" s="1"/>
  <c r="L20" i="22"/>
  <c r="AA20" i="22" s="1"/>
  <c r="AA20" i="21"/>
  <c r="Z18" i="21"/>
  <c r="K18" i="22"/>
  <c r="Z18" i="22" s="1"/>
  <c r="M17" i="22"/>
  <c r="AB17" i="22" s="1"/>
  <c r="AB17" i="21"/>
  <c r="N19" i="22"/>
  <c r="AC19" i="22" s="1"/>
  <c r="AC19" i="21"/>
  <c r="K20" i="22"/>
  <c r="Z20" i="22" s="1"/>
  <c r="Z20" i="21"/>
  <c r="D5" i="26"/>
  <c r="P5" i="26"/>
  <c r="V5" i="26"/>
  <c r="J5" i="26"/>
  <c r="D6" i="26"/>
  <c r="V6" i="26"/>
  <c r="P6" i="26"/>
  <c r="J6" i="26"/>
  <c r="F7" i="31"/>
  <c r="M15" i="27"/>
  <c r="O15" i="27" s="1"/>
  <c r="E27" i="31" s="1"/>
  <c r="F8" i="31"/>
  <c r="AN11" i="26"/>
  <c r="R15" i="27"/>
  <c r="T15" i="27" s="1"/>
  <c r="E28" i="31" s="1"/>
  <c r="I109" i="22"/>
  <c r="X109" i="22" s="1"/>
  <c r="X108" i="22"/>
  <c r="E82" i="22"/>
  <c r="T70" i="22"/>
  <c r="D79" i="22"/>
  <c r="S67" i="22"/>
  <c r="D74" i="22"/>
  <c r="S62" i="22"/>
  <c r="D81" i="22"/>
  <c r="S69" i="22"/>
  <c r="E81" i="22"/>
  <c r="T69" i="22"/>
  <c r="E88" i="22"/>
  <c r="T76" i="22"/>
  <c r="E79" i="22"/>
  <c r="T67" i="22"/>
  <c r="E83" i="22"/>
  <c r="T71" i="22"/>
  <c r="E78" i="22"/>
  <c r="T66" i="22"/>
  <c r="E89" i="22"/>
  <c r="T77" i="22"/>
  <c r="D78" i="22"/>
  <c r="S66" i="22"/>
  <c r="E84" i="22"/>
  <c r="T72" i="22"/>
  <c r="D77" i="22"/>
  <c r="S65" i="22"/>
  <c r="D75" i="22"/>
  <c r="S63" i="22"/>
  <c r="E87" i="22"/>
  <c r="T75" i="22"/>
  <c r="E80" i="22"/>
  <c r="T68" i="22"/>
  <c r="D82" i="22"/>
  <c r="S70" i="22"/>
  <c r="E86" i="22"/>
  <c r="T74" i="22"/>
  <c r="D76" i="22"/>
  <c r="S64" i="22"/>
  <c r="D97" i="22"/>
  <c r="S85" i="22"/>
  <c r="D84" i="22"/>
  <c r="S72" i="22"/>
  <c r="D80" i="22"/>
  <c r="S68" i="22"/>
  <c r="D83" i="22"/>
  <c r="S71" i="22"/>
  <c r="AL28" i="9"/>
  <c r="AR37" i="9"/>
  <c r="AV27" i="9"/>
  <c r="AW36" i="9"/>
  <c r="O36" i="21" s="1"/>
  <c r="AK26" i="9"/>
  <c r="AT26" i="9"/>
  <c r="N26" i="21" s="1"/>
  <c r="AV33" i="9"/>
  <c r="AX26" i="9"/>
  <c r="AS34" i="9"/>
  <c r="M34" i="21" s="1"/>
  <c r="AT37" i="9"/>
  <c r="N37" i="21" s="1"/>
  <c r="AK32" i="9"/>
  <c r="AO32" i="9"/>
  <c r="L32" i="21" s="1"/>
  <c r="AN34" i="9"/>
  <c r="AM30" i="9"/>
  <c r="K30" i="21" s="1"/>
  <c r="AQ37" i="9"/>
  <c r="AU28" i="9"/>
  <c r="AS29" i="9"/>
  <c r="M29" i="21" s="1"/>
  <c r="AN28" i="9"/>
  <c r="AX29" i="9"/>
  <c r="AX34" i="9"/>
  <c r="AJ34" i="9"/>
  <c r="AL27" i="9"/>
  <c r="AV35" i="9"/>
  <c r="AJ30" i="9"/>
  <c r="AR34" i="9"/>
  <c r="AO34" i="9"/>
  <c r="L34" i="21" s="1"/>
  <c r="AU38" i="9"/>
  <c r="AR35" i="9"/>
  <c r="AN36" i="9"/>
  <c r="AR36" i="9"/>
  <c r="AQ29" i="9"/>
  <c r="AJ35" i="9"/>
  <c r="AN26" i="9"/>
  <c r="AO35" i="9"/>
  <c r="L35" i="21" s="1"/>
  <c r="AQ31" i="9"/>
  <c r="AK29" i="9"/>
  <c r="AM26" i="9"/>
  <c r="K26" i="21" s="1"/>
  <c r="AQ27" i="9"/>
  <c r="AU29" i="9"/>
  <c r="AQ34" i="9"/>
  <c r="AR30" i="9"/>
  <c r="AP27" i="9"/>
  <c r="AP30" i="9"/>
  <c r="AT31" i="9"/>
  <c r="N31" i="21" s="1"/>
  <c r="AM32" i="9"/>
  <c r="K32" i="21" s="1"/>
  <c r="AX31" i="9"/>
  <c r="AR32" i="9"/>
  <c r="AJ32" i="9"/>
  <c r="AS32" i="9"/>
  <c r="M32" i="21" s="1"/>
  <c r="AM35" i="9"/>
  <c r="K35" i="21" s="1"/>
  <c r="AK34" i="9"/>
  <c r="AO36" i="9"/>
  <c r="L36" i="21" s="1"/>
  <c r="AU32" i="9"/>
  <c r="AO28" i="9"/>
  <c r="L28" i="21" s="1"/>
  <c r="AN31" i="9"/>
  <c r="AV34" i="9"/>
  <c r="AV26" i="9"/>
  <c r="AT28" i="9"/>
  <c r="N28" i="21" s="1"/>
  <c r="AN32" i="9"/>
  <c r="AM37" i="9"/>
  <c r="K37" i="21" s="1"/>
  <c r="AT32" i="9"/>
  <c r="N32" i="21" s="1"/>
  <c r="AO26" i="9"/>
  <c r="L26" i="21" s="1"/>
  <c r="AW30" i="9"/>
  <c r="O30" i="21" s="1"/>
  <c r="AS31" i="9"/>
  <c r="M31" i="21" s="1"/>
  <c r="AW27" i="9"/>
  <c r="O27" i="21" s="1"/>
  <c r="AU46" i="9"/>
  <c r="AJ28" i="9"/>
  <c r="AP34" i="9"/>
  <c r="AM34" i="9"/>
  <c r="K34" i="21" s="1"/>
  <c r="AN37" i="9"/>
  <c r="AP37" i="9"/>
  <c r="AS28" i="9"/>
  <c r="M28" i="21" s="1"/>
  <c r="AP26" i="9"/>
  <c r="AK27" i="9"/>
  <c r="AK33" i="9"/>
  <c r="AS33" i="9"/>
  <c r="M33" i="21" s="1"/>
  <c r="AU43" i="9"/>
  <c r="AU39" i="9"/>
  <c r="AU42" i="9"/>
  <c r="AK35" i="9"/>
  <c r="AW37" i="9"/>
  <c r="O37" i="21" s="1"/>
  <c r="AV31" i="9"/>
  <c r="AW32" i="9"/>
  <c r="O32" i="21" s="1"/>
  <c r="AO27" i="9"/>
  <c r="L27" i="21" s="1"/>
  <c r="AR33" i="9"/>
  <c r="AU37" i="9"/>
  <c r="AQ28" i="9"/>
  <c r="AK28" i="9"/>
  <c r="AO33" i="9"/>
  <c r="L33" i="21" s="1"/>
  <c r="AL33" i="9"/>
  <c r="AN27" i="9"/>
  <c r="AM36" i="9"/>
  <c r="K36" i="21" s="1"/>
  <c r="AL35" i="9"/>
  <c r="AL34" i="9"/>
  <c r="AS37" i="9"/>
  <c r="M37" i="21" s="1"/>
  <c r="AL31" i="9"/>
  <c r="AV32" i="9"/>
  <c r="AR29" i="9"/>
  <c r="AR27" i="9"/>
  <c r="AP31" i="9"/>
  <c r="AX32" i="9"/>
  <c r="AQ32" i="9"/>
  <c r="AM28" i="9"/>
  <c r="K28" i="21" s="1"/>
  <c r="AQ33" i="9"/>
  <c r="AU33" i="9"/>
  <c r="AO30" i="9"/>
  <c r="L30" i="21" s="1"/>
  <c r="AJ29" i="9"/>
  <c r="AP28" i="9"/>
  <c r="AJ26" i="9"/>
  <c r="AL30" i="9"/>
  <c r="AO31" i="9"/>
  <c r="L31" i="21" s="1"/>
  <c r="AN30" i="9"/>
  <c r="AL29" i="9"/>
  <c r="AK37" i="9"/>
  <c r="AT30" i="9"/>
  <c r="N30" i="21" s="1"/>
  <c r="AQ35" i="9"/>
  <c r="AT33" i="9"/>
  <c r="N33" i="21" s="1"/>
  <c r="AV37" i="9"/>
  <c r="AO37" i="9"/>
  <c r="L37" i="21" s="1"/>
  <c r="AW34" i="9"/>
  <c r="O34" i="21" s="1"/>
  <c r="AJ37" i="9"/>
  <c r="AQ30" i="9"/>
  <c r="AX33" i="9"/>
  <c r="AT27" i="9"/>
  <c r="N27" i="21" s="1"/>
  <c r="AW26" i="9"/>
  <c r="O26" i="21" s="1"/>
  <c r="AL36" i="9"/>
  <c r="AP36" i="9"/>
  <c r="AP32" i="9"/>
  <c r="AM27" i="9"/>
  <c r="K27" i="21" s="1"/>
  <c r="AQ26" i="9"/>
  <c r="AT29" i="9"/>
  <c r="N29" i="21" s="1"/>
  <c r="AV36" i="9"/>
  <c r="AS30" i="9"/>
  <c r="M30" i="21" s="1"/>
  <c r="AS36" i="9"/>
  <c r="M36" i="21" s="1"/>
  <c r="AM33" i="9"/>
  <c r="K33" i="21" s="1"/>
  <c r="AU36" i="9"/>
  <c r="AW33" i="9"/>
  <c r="O33" i="21" s="1"/>
  <c r="AS26" i="9"/>
  <c r="M26" i="21" s="1"/>
  <c r="AW35" i="9"/>
  <c r="O35" i="21" s="1"/>
  <c r="AM29" i="9"/>
  <c r="K29" i="21" s="1"/>
  <c r="AO29" i="9"/>
  <c r="L29" i="21" s="1"/>
  <c r="AR31" i="9"/>
  <c r="AX28" i="9"/>
  <c r="AR28" i="9"/>
  <c r="AL26" i="9"/>
  <c r="AV30" i="9"/>
  <c r="AJ27" i="9"/>
  <c r="AT35" i="9"/>
  <c r="N35" i="21" s="1"/>
  <c r="AN29" i="9"/>
  <c r="AM31" i="9"/>
  <c r="K31" i="21" s="1"/>
  <c r="AS35" i="9"/>
  <c r="M35" i="21" s="1"/>
  <c r="AP35" i="9"/>
  <c r="AP29" i="9"/>
  <c r="AK31" i="9"/>
  <c r="AQ36" i="9"/>
  <c r="AX27" i="9"/>
  <c r="AW29" i="9"/>
  <c r="O29" i="21" s="1"/>
  <c r="AT36" i="9"/>
  <c r="N36" i="21" s="1"/>
  <c r="AU47" i="9"/>
  <c r="AW31" i="9"/>
  <c r="O31" i="21" s="1"/>
  <c r="AV29" i="9"/>
  <c r="AL37" i="9"/>
  <c r="AS27" i="9"/>
  <c r="M27" i="21" s="1"/>
  <c r="AP33" i="9"/>
  <c r="AK36" i="9"/>
  <c r="AN33" i="9"/>
  <c r="AX36" i="9"/>
  <c r="AX37" i="9"/>
  <c r="AJ33" i="9"/>
  <c r="AJ31" i="9"/>
  <c r="AV28" i="9"/>
  <c r="AJ36" i="9"/>
  <c r="AR26" i="9"/>
  <c r="AX35" i="9"/>
  <c r="AW28" i="9"/>
  <c r="O28" i="21" s="1"/>
  <c r="AL32" i="9"/>
  <c r="AK30" i="9"/>
  <c r="AX30" i="9"/>
  <c r="AN35" i="9"/>
  <c r="AT34" i="9"/>
  <c r="N34" i="21" s="1"/>
  <c r="E43" i="31" l="1"/>
  <c r="C12" i="25"/>
  <c r="F41" i="31" s="1"/>
  <c r="E42" i="31"/>
  <c r="AD28" i="21"/>
  <c r="O28" i="22"/>
  <c r="AD28" i="22" s="1"/>
  <c r="AA29" i="21"/>
  <c r="L29" i="22"/>
  <c r="AA29" i="22" s="1"/>
  <c r="AB30" i="21"/>
  <c r="M30" i="22"/>
  <c r="AB30" i="22" s="1"/>
  <c r="L30" i="22"/>
  <c r="AA30" i="22" s="1"/>
  <c r="AA30" i="21"/>
  <c r="AC31" i="21"/>
  <c r="N31" i="22"/>
  <c r="AC31" i="22" s="1"/>
  <c r="AB29" i="21"/>
  <c r="M29" i="22"/>
  <c r="AB29" i="22" s="1"/>
  <c r="N37" i="22"/>
  <c r="AC37" i="22" s="1"/>
  <c r="AC37" i="21"/>
  <c r="M27" i="22"/>
  <c r="AB27" i="22" s="1"/>
  <c r="AB27" i="21"/>
  <c r="AC35" i="21"/>
  <c r="N35" i="22"/>
  <c r="AC35" i="22" s="1"/>
  <c r="K29" i="22"/>
  <c r="Z29" i="22" s="1"/>
  <c r="Z29" i="21"/>
  <c r="AC27" i="21"/>
  <c r="N27" i="22"/>
  <c r="AC27" i="22" s="1"/>
  <c r="O34" i="22"/>
  <c r="AD34" i="22" s="1"/>
  <c r="AD34" i="21"/>
  <c r="L33" i="22"/>
  <c r="AA33" i="22" s="1"/>
  <c r="AA33" i="21"/>
  <c r="AD32" i="21"/>
  <c r="O32" i="22"/>
  <c r="AD32" i="22" s="1"/>
  <c r="M33" i="22"/>
  <c r="AB33" i="22" s="1"/>
  <c r="AB33" i="21"/>
  <c r="AA26" i="21"/>
  <c r="L26" i="22"/>
  <c r="AA26" i="22" s="1"/>
  <c r="AC28" i="21"/>
  <c r="N28" i="22"/>
  <c r="AC28" i="22" s="1"/>
  <c r="L28" i="22"/>
  <c r="AA28" i="22" s="1"/>
  <c r="AA28" i="21"/>
  <c r="AA32" i="21"/>
  <c r="L32" i="22"/>
  <c r="AA32" i="22" s="1"/>
  <c r="M34" i="22"/>
  <c r="AB34" i="22" s="1"/>
  <c r="AB34" i="21"/>
  <c r="AS12" i="26"/>
  <c r="G9" i="31"/>
  <c r="C20" i="31" s="1"/>
  <c r="E20" i="31" s="1"/>
  <c r="K27" i="22"/>
  <c r="Z27" i="22" s="1"/>
  <c r="Z27" i="21"/>
  <c r="AC33" i="21"/>
  <c r="N33" i="22"/>
  <c r="AC33" i="22" s="1"/>
  <c r="R16" i="27"/>
  <c r="T16" i="27" s="1"/>
  <c r="F28" i="31" s="1"/>
  <c r="C36" i="31" s="1"/>
  <c r="AN12" i="26"/>
  <c r="G8" i="31"/>
  <c r="C19" i="31" s="1"/>
  <c r="N34" i="22"/>
  <c r="AC34" i="22" s="1"/>
  <c r="AC34" i="21"/>
  <c r="N36" i="22"/>
  <c r="AC36" i="22" s="1"/>
  <c r="AC36" i="21"/>
  <c r="M35" i="22"/>
  <c r="AB35" i="22" s="1"/>
  <c r="AB35" i="21"/>
  <c r="AD35" i="21"/>
  <c r="O35" i="22"/>
  <c r="AD35" i="22" s="1"/>
  <c r="K33" i="22"/>
  <c r="Z33" i="22" s="1"/>
  <c r="Z33" i="21"/>
  <c r="AC29" i="21"/>
  <c r="N29" i="22"/>
  <c r="AC29" i="22" s="1"/>
  <c r="AA37" i="21"/>
  <c r="L37" i="22"/>
  <c r="AA37" i="22" s="1"/>
  <c r="N30" i="22"/>
  <c r="AC30" i="22" s="1"/>
  <c r="AC30" i="21"/>
  <c r="Z36" i="21"/>
  <c r="K36" i="22"/>
  <c r="Z36" i="22" s="1"/>
  <c r="K34" i="22"/>
  <c r="Z34" i="22" s="1"/>
  <c r="Z34" i="21"/>
  <c r="O27" i="22"/>
  <c r="AD27" i="22" s="1"/>
  <c r="AD27" i="21"/>
  <c r="N32" i="22"/>
  <c r="AC32" i="22" s="1"/>
  <c r="AC32" i="21"/>
  <c r="K35" i="22"/>
  <c r="Z35" i="22" s="1"/>
  <c r="Z35" i="21"/>
  <c r="G7" i="31"/>
  <c r="M16" i="27"/>
  <c r="O16" i="27" s="1"/>
  <c r="AD31" i="21"/>
  <c r="O31" i="22"/>
  <c r="AD31" i="22" s="1"/>
  <c r="AD33" i="21"/>
  <c r="O33" i="22"/>
  <c r="AD33" i="22" s="1"/>
  <c r="AD26" i="21"/>
  <c r="O26" i="22"/>
  <c r="AD26" i="22" s="1"/>
  <c r="L27" i="22"/>
  <c r="AA27" i="22" s="1"/>
  <c r="AA27" i="21"/>
  <c r="AD30" i="21"/>
  <c r="O30" i="22"/>
  <c r="AD30" i="22" s="1"/>
  <c r="N26" i="22"/>
  <c r="AC26" i="22" s="1"/>
  <c r="AC26" i="21"/>
  <c r="O29" i="22"/>
  <c r="AD29" i="22" s="1"/>
  <c r="AD29" i="21"/>
  <c r="K31" i="22"/>
  <c r="Z31" i="22" s="1"/>
  <c r="Z31" i="21"/>
  <c r="AB26" i="21"/>
  <c r="M26" i="22"/>
  <c r="AB26" i="22" s="1"/>
  <c r="AB36" i="21"/>
  <c r="M36" i="22"/>
  <c r="AB36" i="22" s="1"/>
  <c r="L31" i="22"/>
  <c r="AA31" i="22" s="1"/>
  <c r="AA31" i="21"/>
  <c r="Z28" i="21"/>
  <c r="K28" i="22"/>
  <c r="Z28" i="22" s="1"/>
  <c r="M37" i="22"/>
  <c r="AB37" i="22" s="1"/>
  <c r="AB37" i="21"/>
  <c r="AD37" i="21"/>
  <c r="O37" i="22"/>
  <c r="AD37" i="22" s="1"/>
  <c r="AB28" i="21"/>
  <c r="M28" i="22"/>
  <c r="AB28" i="22" s="1"/>
  <c r="M31" i="22"/>
  <c r="AB31" i="22" s="1"/>
  <c r="AB31" i="21"/>
  <c r="K37" i="22"/>
  <c r="Z37" i="22" s="1"/>
  <c r="Z37" i="21"/>
  <c r="L36" i="22"/>
  <c r="AA36" i="22" s="1"/>
  <c r="AA36" i="21"/>
  <c r="M32" i="22"/>
  <c r="AB32" i="22" s="1"/>
  <c r="AB32" i="21"/>
  <c r="K32" i="22"/>
  <c r="Z32" i="22" s="1"/>
  <c r="Z32" i="21"/>
  <c r="Z26" i="21"/>
  <c r="K26" i="22"/>
  <c r="Z26" i="22" s="1"/>
  <c r="L35" i="22"/>
  <c r="AA35" i="22" s="1"/>
  <c r="AA35" i="21"/>
  <c r="L34" i="22"/>
  <c r="AA34" i="22" s="1"/>
  <c r="AA34" i="21"/>
  <c r="K30" i="22"/>
  <c r="Z30" i="22" s="1"/>
  <c r="Z30" i="21"/>
  <c r="AD36" i="21"/>
  <c r="O36" i="22"/>
  <c r="AD36" i="22" s="1"/>
  <c r="F48" i="31"/>
  <c r="D109" i="22"/>
  <c r="S109" i="22" s="1"/>
  <c r="S97" i="22"/>
  <c r="E101" i="22"/>
  <c r="T101" i="22" s="1"/>
  <c r="T89" i="22"/>
  <c r="E100" i="22"/>
  <c r="T100" i="22" s="1"/>
  <c r="T88" i="22"/>
  <c r="E98" i="22"/>
  <c r="T98" i="22" s="1"/>
  <c r="T86" i="22"/>
  <c r="E99" i="22"/>
  <c r="T99" i="22" s="1"/>
  <c r="T87" i="22"/>
  <c r="D92" i="22"/>
  <c r="S80" i="22"/>
  <c r="E92" i="22"/>
  <c r="T80" i="22"/>
  <c r="D87" i="22"/>
  <c r="S75" i="22"/>
  <c r="E96" i="22"/>
  <c r="T84" i="22"/>
  <c r="E95" i="22"/>
  <c r="T83" i="22"/>
  <c r="D93" i="22"/>
  <c r="S81" i="22"/>
  <c r="D91" i="22"/>
  <c r="S79" i="22"/>
  <c r="D95" i="22"/>
  <c r="S83" i="22"/>
  <c r="D96" i="22"/>
  <c r="S84" i="22"/>
  <c r="D88" i="22"/>
  <c r="S76" i="22"/>
  <c r="D94" i="22"/>
  <c r="S82" i="22"/>
  <c r="D89" i="22"/>
  <c r="S77" i="22"/>
  <c r="D90" i="22"/>
  <c r="S78" i="22"/>
  <c r="E90" i="22"/>
  <c r="T78" i="22"/>
  <c r="E91" i="22"/>
  <c r="T79" i="22"/>
  <c r="E93" i="22"/>
  <c r="T81" i="22"/>
  <c r="D86" i="22"/>
  <c r="S74" i="22"/>
  <c r="E94" i="22"/>
  <c r="T82" i="22"/>
  <c r="AO43" i="9"/>
  <c r="L43" i="21" s="1"/>
  <c r="AJ41" i="9"/>
  <c r="AR39" i="9"/>
  <c r="AS49" i="9"/>
  <c r="M49" i="21" s="1"/>
  <c r="AN39" i="9"/>
  <c r="AQ40" i="9"/>
  <c r="AP46" i="9"/>
  <c r="AU58" i="9"/>
  <c r="AS43" i="9"/>
  <c r="M43" i="21" s="1"/>
  <c r="AM49" i="9"/>
  <c r="K49" i="21" s="1"/>
  <c r="AV46" i="9"/>
  <c r="AO48" i="9"/>
  <c r="L48" i="21" s="1"/>
  <c r="AK46" i="9"/>
  <c r="AR44" i="9"/>
  <c r="AP42" i="9"/>
  <c r="AU41" i="9"/>
  <c r="AO47" i="9"/>
  <c r="L47" i="21" s="1"/>
  <c r="AR48" i="9"/>
  <c r="AO46" i="9"/>
  <c r="L46" i="21" s="1"/>
  <c r="AL39" i="9"/>
  <c r="AN40" i="9"/>
  <c r="AM42" i="9"/>
  <c r="K42" i="21" s="1"/>
  <c r="AS46" i="9"/>
  <c r="M46" i="21" s="1"/>
  <c r="AW48" i="9"/>
  <c r="O48" i="21" s="1"/>
  <c r="AL44" i="9"/>
  <c r="AJ48" i="9"/>
  <c r="AX49" i="9"/>
  <c r="AS39" i="9"/>
  <c r="M39" i="21" s="1"/>
  <c r="AQ48" i="9"/>
  <c r="AK43" i="9"/>
  <c r="AM43" i="9"/>
  <c r="K43" i="21" s="1"/>
  <c r="AV42" i="9"/>
  <c r="AR43" i="9"/>
  <c r="AS38" i="9"/>
  <c r="M38" i="21" s="1"/>
  <c r="AS48" i="9"/>
  <c r="M48" i="21" s="1"/>
  <c r="AQ38" i="9"/>
  <c r="AL48" i="9"/>
  <c r="AQ42" i="9"/>
  <c r="AV49" i="9"/>
  <c r="AL41" i="9"/>
  <c r="AJ38" i="9"/>
  <c r="AU45" i="9"/>
  <c r="AX44" i="9"/>
  <c r="AV44" i="9"/>
  <c r="AL47" i="9"/>
  <c r="AO45" i="9"/>
  <c r="L45" i="21" s="1"/>
  <c r="AK40" i="9"/>
  <c r="AR45" i="9"/>
  <c r="AW49" i="9"/>
  <c r="O49" i="21" s="1"/>
  <c r="AK47" i="9"/>
  <c r="AS45" i="9"/>
  <c r="M45" i="21" s="1"/>
  <c r="AK45" i="9"/>
  <c r="AK39" i="9"/>
  <c r="AN49" i="9"/>
  <c r="AO38" i="9"/>
  <c r="L38" i="21" s="1"/>
  <c r="AT40" i="9"/>
  <c r="N40" i="21" s="1"/>
  <c r="AO40" i="9"/>
  <c r="L40" i="21" s="1"/>
  <c r="AS44" i="9"/>
  <c r="M44" i="21" s="1"/>
  <c r="AM44" i="9"/>
  <c r="K44" i="21" s="1"/>
  <c r="AR42" i="9"/>
  <c r="AM38" i="9"/>
  <c r="K38" i="21" s="1"/>
  <c r="AK41" i="9"/>
  <c r="AJ47" i="9"/>
  <c r="AR47" i="9"/>
  <c r="AJ42" i="9"/>
  <c r="AX46" i="9"/>
  <c r="AU40" i="9"/>
  <c r="AO44" i="9"/>
  <c r="L44" i="21" s="1"/>
  <c r="AK44" i="9"/>
  <c r="AV45" i="9"/>
  <c r="AR49" i="9"/>
  <c r="AX42" i="9"/>
  <c r="AK42" i="9"/>
  <c r="AR38" i="9"/>
  <c r="AJ45" i="9"/>
  <c r="AP45" i="9"/>
  <c r="AW43" i="9"/>
  <c r="O43" i="21" s="1"/>
  <c r="AX39" i="9"/>
  <c r="AS47" i="9"/>
  <c r="M47" i="21" s="1"/>
  <c r="AJ39" i="9"/>
  <c r="AX40" i="9"/>
  <c r="AW47" i="9"/>
  <c r="O47" i="21" s="1"/>
  <c r="AM45" i="9"/>
  <c r="K45" i="21" s="1"/>
  <c r="AT41" i="9"/>
  <c r="N41" i="21" s="1"/>
  <c r="AP48" i="9"/>
  <c r="AX45" i="9"/>
  <c r="AO49" i="9"/>
  <c r="L49" i="21" s="1"/>
  <c r="AT42" i="9"/>
  <c r="N42" i="21" s="1"/>
  <c r="AK49" i="9"/>
  <c r="AL42" i="9"/>
  <c r="AO42" i="9"/>
  <c r="L42" i="21" s="1"/>
  <c r="AQ44" i="9"/>
  <c r="AR41" i="9"/>
  <c r="AL46" i="9"/>
  <c r="AL45" i="9"/>
  <c r="AU49" i="9"/>
  <c r="AV43" i="9"/>
  <c r="AU54" i="9"/>
  <c r="AU51" i="9"/>
  <c r="AP49" i="9"/>
  <c r="AJ40" i="9"/>
  <c r="AW42" i="9"/>
  <c r="O42" i="21" s="1"/>
  <c r="AN44" i="9"/>
  <c r="AN43" i="9"/>
  <c r="AM47" i="9"/>
  <c r="K47" i="21" s="1"/>
  <c r="AX43" i="9"/>
  <c r="AP39" i="9"/>
  <c r="AQ39" i="9"/>
  <c r="AN38" i="9"/>
  <c r="AN48" i="9"/>
  <c r="AU50" i="9"/>
  <c r="AR46" i="9"/>
  <c r="AJ46" i="9"/>
  <c r="AS41" i="9"/>
  <c r="M41" i="21" s="1"/>
  <c r="AN46" i="9"/>
  <c r="AX38" i="9"/>
  <c r="AV39" i="9"/>
  <c r="AN47" i="9"/>
  <c r="AX47" i="9"/>
  <c r="AJ43" i="9"/>
  <c r="AN45" i="9"/>
  <c r="AK48" i="9"/>
  <c r="AV41" i="9"/>
  <c r="AU59" i="9"/>
  <c r="AW41" i="9"/>
  <c r="O41" i="21" s="1"/>
  <c r="AP47" i="9"/>
  <c r="AT47" i="9"/>
  <c r="N47" i="21" s="1"/>
  <c r="AR40" i="9"/>
  <c r="AM41" i="9"/>
  <c r="K41" i="21" s="1"/>
  <c r="AU48" i="9"/>
  <c r="AV48" i="9"/>
  <c r="AP44" i="9"/>
  <c r="AT39" i="9"/>
  <c r="N39" i="21" s="1"/>
  <c r="AW46" i="9"/>
  <c r="O46" i="21" s="1"/>
  <c r="AQ47" i="9"/>
  <c r="AM40" i="9"/>
  <c r="K40" i="21" s="1"/>
  <c r="AW44" i="9"/>
  <c r="O44" i="21" s="1"/>
  <c r="AS40" i="9"/>
  <c r="M40" i="21" s="1"/>
  <c r="AT46" i="9"/>
  <c r="N46" i="21" s="1"/>
  <c r="AW40" i="9"/>
  <c r="O40" i="21" s="1"/>
  <c r="AV40" i="9"/>
  <c r="AX48" i="9"/>
  <c r="AL49" i="9"/>
  <c r="AT48" i="9"/>
  <c r="N48" i="21" s="1"/>
  <c r="AP41" i="9"/>
  <c r="AN41" i="9"/>
  <c r="AL38" i="9"/>
  <c r="AO41" i="9"/>
  <c r="L41" i="21" s="1"/>
  <c r="AW45" i="9"/>
  <c r="O45" i="21" s="1"/>
  <c r="AS42" i="9"/>
  <c r="M42" i="21" s="1"/>
  <c r="AM39" i="9"/>
  <c r="K39" i="21" s="1"/>
  <c r="AW38" i="9"/>
  <c r="O38" i="21" s="1"/>
  <c r="AJ49" i="9"/>
  <c r="AT45" i="9"/>
  <c r="N45" i="21" s="1"/>
  <c r="AN42" i="9"/>
  <c r="AP40" i="9"/>
  <c r="AQ45" i="9"/>
  <c r="AP43" i="9"/>
  <c r="AL43" i="9"/>
  <c r="AM48" i="9"/>
  <c r="K48" i="21" s="1"/>
  <c r="AO39" i="9"/>
  <c r="L39" i="21" s="1"/>
  <c r="AU55" i="9"/>
  <c r="AP38" i="9"/>
  <c r="AM46" i="9"/>
  <c r="K46" i="21" s="1"/>
  <c r="AW39" i="9"/>
  <c r="O39" i="21" s="1"/>
  <c r="AT44" i="9"/>
  <c r="N44" i="21" s="1"/>
  <c r="AV38" i="9"/>
  <c r="AU44" i="9"/>
  <c r="AJ44" i="9"/>
  <c r="AT43" i="9"/>
  <c r="N43" i="21" s="1"/>
  <c r="AQ46" i="9"/>
  <c r="AQ43" i="9"/>
  <c r="AQ41" i="9"/>
  <c r="AV47" i="9"/>
  <c r="AX41" i="9"/>
  <c r="AQ49" i="9"/>
  <c r="AT49" i="9"/>
  <c r="N49" i="21" s="1"/>
  <c r="AT38" i="9"/>
  <c r="N38" i="21" s="1"/>
  <c r="AK38" i="9"/>
  <c r="AL40" i="9"/>
  <c r="E48" i="31" l="1"/>
  <c r="F27" i="31"/>
  <c r="C35" i="31" s="1"/>
  <c r="AC16" i="30"/>
  <c r="AC7" i="30"/>
  <c r="C18" i="31"/>
  <c r="X9" i="30"/>
  <c r="Z46" i="21"/>
  <c r="K46" i="22"/>
  <c r="Z46" i="22" s="1"/>
  <c r="O44" i="22"/>
  <c r="AD44" i="22" s="1"/>
  <c r="AD44" i="21"/>
  <c r="K45" i="22"/>
  <c r="Z45" i="22" s="1"/>
  <c r="Z45" i="21"/>
  <c r="AB44" i="21"/>
  <c r="M44" i="22"/>
  <c r="AB44" i="22" s="1"/>
  <c r="O49" i="22"/>
  <c r="AD49" i="22" s="1"/>
  <c r="AD49" i="21"/>
  <c r="K48" i="22"/>
  <c r="Z48" i="22" s="1"/>
  <c r="Z48" i="21"/>
  <c r="O38" i="22"/>
  <c r="AD38" i="22" s="1"/>
  <c r="AD38" i="21"/>
  <c r="L41" i="22"/>
  <c r="AA41" i="22" s="1"/>
  <c r="AA41" i="21"/>
  <c r="AC48" i="21"/>
  <c r="N48" i="22"/>
  <c r="AC48" i="22" s="1"/>
  <c r="O40" i="22"/>
  <c r="AD40" i="22" s="1"/>
  <c r="AD40" i="21"/>
  <c r="K40" i="22"/>
  <c r="Z40" i="22" s="1"/>
  <c r="Z40" i="21"/>
  <c r="Z47" i="21"/>
  <c r="K47" i="22"/>
  <c r="Z47" i="22" s="1"/>
  <c r="O47" i="22"/>
  <c r="AD47" i="22" s="1"/>
  <c r="AD47" i="21"/>
  <c r="L44" i="22"/>
  <c r="AA44" i="22" s="1"/>
  <c r="AA44" i="21"/>
  <c r="Z38" i="21"/>
  <c r="K38" i="22"/>
  <c r="Z38" i="22" s="1"/>
  <c r="L40" i="22"/>
  <c r="AA40" i="22" s="1"/>
  <c r="AA40" i="21"/>
  <c r="AB45" i="21"/>
  <c r="M45" i="22"/>
  <c r="AB45" i="22" s="1"/>
  <c r="Z42" i="21"/>
  <c r="K42" i="22"/>
  <c r="Z42" i="22" s="1"/>
  <c r="AC39" i="21"/>
  <c r="N39" i="22"/>
  <c r="AC39" i="22" s="1"/>
  <c r="AD41" i="21"/>
  <c r="O41" i="22"/>
  <c r="AD41" i="22" s="1"/>
  <c r="M41" i="22"/>
  <c r="AB41" i="22" s="1"/>
  <c r="AB41" i="21"/>
  <c r="L49" i="22"/>
  <c r="AA49" i="22" s="1"/>
  <c r="AA49" i="21"/>
  <c r="AB46" i="21"/>
  <c r="M46" i="22"/>
  <c r="AB46" i="22" s="1"/>
  <c r="L48" i="22"/>
  <c r="AA48" i="22" s="1"/>
  <c r="AA48" i="21"/>
  <c r="N38" i="22"/>
  <c r="AC38" i="22" s="1"/>
  <c r="AC38" i="21"/>
  <c r="N43" i="22"/>
  <c r="AC43" i="22" s="1"/>
  <c r="AC43" i="21"/>
  <c r="AC44" i="21"/>
  <c r="N44" i="22"/>
  <c r="AC44" i="22" s="1"/>
  <c r="K39" i="22"/>
  <c r="Z39" i="22" s="1"/>
  <c r="Z39" i="21"/>
  <c r="N46" i="22"/>
  <c r="AC46" i="22" s="1"/>
  <c r="AC46" i="21"/>
  <c r="N47" i="22"/>
  <c r="AC47" i="22" s="1"/>
  <c r="AC47" i="21"/>
  <c r="AD43" i="21"/>
  <c r="O43" i="22"/>
  <c r="AD43" i="22" s="1"/>
  <c r="N40" i="22"/>
  <c r="AC40" i="22" s="1"/>
  <c r="AC40" i="21"/>
  <c r="L47" i="22"/>
  <c r="AA47" i="22" s="1"/>
  <c r="AA47" i="21"/>
  <c r="K49" i="22"/>
  <c r="Z49" i="22" s="1"/>
  <c r="Z49" i="21"/>
  <c r="O45" i="22"/>
  <c r="AD45" i="22" s="1"/>
  <c r="AD45" i="21"/>
  <c r="K41" i="22"/>
  <c r="Z41" i="22" s="1"/>
  <c r="Z41" i="21"/>
  <c r="AD42" i="21"/>
  <c r="O42" i="22"/>
  <c r="AD42" i="22" s="1"/>
  <c r="M47" i="22"/>
  <c r="AB47" i="22" s="1"/>
  <c r="AB47" i="21"/>
  <c r="AA45" i="21"/>
  <c r="L45" i="22"/>
  <c r="AA45" i="22" s="1"/>
  <c r="AB38" i="21"/>
  <c r="M38" i="22"/>
  <c r="AB38" i="22" s="1"/>
  <c r="L46" i="22"/>
  <c r="AA46" i="22" s="1"/>
  <c r="AA46" i="21"/>
  <c r="M49" i="22"/>
  <c r="AB49" i="22" s="1"/>
  <c r="AB49" i="21"/>
  <c r="AC49" i="21"/>
  <c r="N49" i="22"/>
  <c r="AC49" i="22" s="1"/>
  <c r="O39" i="22"/>
  <c r="AD39" i="22" s="1"/>
  <c r="AD39" i="21"/>
  <c r="L39" i="22"/>
  <c r="AA39" i="22" s="1"/>
  <c r="AA39" i="21"/>
  <c r="AC45" i="21"/>
  <c r="N45" i="22"/>
  <c r="AC45" i="22" s="1"/>
  <c r="AB42" i="21"/>
  <c r="M42" i="22"/>
  <c r="AB42" i="22" s="1"/>
  <c r="M40" i="22"/>
  <c r="AB40" i="22" s="1"/>
  <c r="AB40" i="21"/>
  <c r="O46" i="22"/>
  <c r="AD46" i="22" s="1"/>
  <c r="AD46" i="21"/>
  <c r="L42" i="22"/>
  <c r="AA42" i="22" s="1"/>
  <c r="AA42" i="21"/>
  <c r="N42" i="22"/>
  <c r="AC42" i="22" s="1"/>
  <c r="AC42" i="21"/>
  <c r="AC41" i="21"/>
  <c r="N41" i="22"/>
  <c r="AC41" i="22" s="1"/>
  <c r="K44" i="22"/>
  <c r="Z44" i="22" s="1"/>
  <c r="Z44" i="21"/>
  <c r="AA38" i="21"/>
  <c r="L38" i="22"/>
  <c r="AA38" i="22" s="1"/>
  <c r="AB48" i="21"/>
  <c r="M48" i="22"/>
  <c r="AB48" i="22" s="1"/>
  <c r="Z43" i="21"/>
  <c r="K43" i="22"/>
  <c r="Z43" i="22" s="1"/>
  <c r="M39" i="22"/>
  <c r="AB39" i="22" s="1"/>
  <c r="AB39" i="21"/>
  <c r="O48" i="22"/>
  <c r="AD48" i="22" s="1"/>
  <c r="AD48" i="21"/>
  <c r="M43" i="22"/>
  <c r="AB43" i="22" s="1"/>
  <c r="AB43" i="21"/>
  <c r="L43" i="22"/>
  <c r="AA43" i="22" s="1"/>
  <c r="AA43" i="21"/>
  <c r="E105" i="22"/>
  <c r="T105" i="22" s="1"/>
  <c r="T93" i="22"/>
  <c r="D101" i="22"/>
  <c r="S101" i="22" s="1"/>
  <c r="S89" i="22"/>
  <c r="D107" i="22"/>
  <c r="S107" i="22" s="1"/>
  <c r="S95" i="22"/>
  <c r="D103" i="22"/>
  <c r="S103" i="22" s="1"/>
  <c r="S91" i="22"/>
  <c r="E107" i="22"/>
  <c r="T107" i="22" s="1"/>
  <c r="T95" i="22"/>
  <c r="D99" i="22"/>
  <c r="S99" i="22" s="1"/>
  <c r="S87" i="22"/>
  <c r="D104" i="22"/>
  <c r="S104" i="22" s="1"/>
  <c r="S92" i="22"/>
  <c r="D98" i="22"/>
  <c r="S98" i="22" s="1"/>
  <c r="S86" i="22"/>
  <c r="E103" i="22"/>
  <c r="T103" i="22" s="1"/>
  <c r="T91" i="22"/>
  <c r="D102" i="22"/>
  <c r="S102" i="22" s="1"/>
  <c r="S90" i="22"/>
  <c r="D106" i="22"/>
  <c r="S106" i="22" s="1"/>
  <c r="S94" i="22"/>
  <c r="D108" i="22"/>
  <c r="S108" i="22" s="1"/>
  <c r="S96" i="22"/>
  <c r="E106" i="22"/>
  <c r="T106" i="22" s="1"/>
  <c r="T94" i="22"/>
  <c r="E102" i="22"/>
  <c r="T102" i="22" s="1"/>
  <c r="T90" i="22"/>
  <c r="D100" i="22"/>
  <c r="S100" i="22" s="1"/>
  <c r="S88" i="22"/>
  <c r="D105" i="22"/>
  <c r="S105" i="22" s="1"/>
  <c r="S93" i="22"/>
  <c r="E108" i="22"/>
  <c r="T108" i="22" s="1"/>
  <c r="T96" i="22"/>
  <c r="E104" i="22"/>
  <c r="T104" i="22" s="1"/>
  <c r="T92" i="22"/>
  <c r="AK50" i="9"/>
  <c r="AV59" i="9"/>
  <c r="AJ56" i="9"/>
  <c r="AT56" i="9"/>
  <c r="N56" i="21" s="1"/>
  <c r="AX60" i="9"/>
  <c r="AT59" i="9"/>
  <c r="N59" i="21" s="1"/>
  <c r="AV51" i="9"/>
  <c r="AS53" i="9"/>
  <c r="M53" i="21" s="1"/>
  <c r="AN50" i="9"/>
  <c r="AW54" i="9"/>
  <c r="O54" i="21" s="1"/>
  <c r="AK61" i="9"/>
  <c r="AT53" i="9"/>
  <c r="N53" i="21" s="1"/>
  <c r="AJ51" i="9"/>
  <c r="AK54" i="9"/>
  <c r="AS56" i="9"/>
  <c r="M56" i="21" s="1"/>
  <c r="AK51" i="9"/>
  <c r="AS57" i="9"/>
  <c r="M57" i="21" s="1"/>
  <c r="AK52" i="9"/>
  <c r="AS50" i="9"/>
  <c r="M50" i="21" s="1"/>
  <c r="AQ60" i="9"/>
  <c r="AL56" i="9"/>
  <c r="AO60" i="9"/>
  <c r="L60" i="21" s="1"/>
  <c r="AQ58" i="9"/>
  <c r="AP50" i="9"/>
  <c r="AM60" i="9"/>
  <c r="K60" i="21" s="1"/>
  <c r="AN54" i="9"/>
  <c r="AW50" i="9"/>
  <c r="O50" i="21" s="1"/>
  <c r="AW52" i="9"/>
  <c r="O52" i="21" s="1"/>
  <c r="AQ59" i="9"/>
  <c r="AX59" i="9"/>
  <c r="AL57" i="9"/>
  <c r="AL54" i="9"/>
  <c r="AP60" i="9"/>
  <c r="AW55" i="9"/>
  <c r="O55" i="21" s="1"/>
  <c r="AO56" i="9"/>
  <c r="L56" i="21" s="1"/>
  <c r="AO50" i="9"/>
  <c r="L50" i="21" s="1"/>
  <c r="AR57" i="9"/>
  <c r="AK55" i="9"/>
  <c r="AJ60" i="9"/>
  <c r="AN52" i="9"/>
  <c r="AR60" i="9"/>
  <c r="AS61" i="9"/>
  <c r="M61" i="21" s="1"/>
  <c r="AL52" i="9"/>
  <c r="AQ61" i="9"/>
  <c r="AU56" i="9"/>
  <c r="AV50" i="9"/>
  <c r="AM58" i="9"/>
  <c r="K58" i="21" s="1"/>
  <c r="AU67" i="9"/>
  <c r="AQ57" i="9"/>
  <c r="AP52" i="9"/>
  <c r="AJ61" i="9"/>
  <c r="AW57" i="9"/>
  <c r="O57" i="21" s="1"/>
  <c r="AO53" i="9"/>
  <c r="L53" i="21" s="1"/>
  <c r="AW56" i="9"/>
  <c r="O56" i="21" s="1"/>
  <c r="AT51" i="9"/>
  <c r="N51" i="21" s="1"/>
  <c r="AP56" i="9"/>
  <c r="AJ55" i="9"/>
  <c r="AX50" i="9"/>
  <c r="AN58" i="9"/>
  <c r="AN55" i="9"/>
  <c r="AN56" i="9"/>
  <c r="AP61" i="9"/>
  <c r="AU66" i="9"/>
  <c r="AQ56" i="9"/>
  <c r="AW59" i="9"/>
  <c r="O59" i="21" s="1"/>
  <c r="AJ57" i="9"/>
  <c r="AR50" i="9"/>
  <c r="AV57" i="9"/>
  <c r="AW61" i="9"/>
  <c r="O61" i="21" s="1"/>
  <c r="AV56" i="9"/>
  <c r="AX56" i="9"/>
  <c r="AQ50" i="9"/>
  <c r="AX61" i="9"/>
  <c r="AS58" i="9"/>
  <c r="M58" i="21" s="1"/>
  <c r="AO58" i="9"/>
  <c r="L58" i="21" s="1"/>
  <c r="AP54" i="9"/>
  <c r="AR56" i="9"/>
  <c r="AS55" i="9"/>
  <c r="M55" i="21" s="1"/>
  <c r="AU70" i="9"/>
  <c r="AQ52" i="9"/>
  <c r="AN51" i="9"/>
  <c r="AJ53" i="9"/>
  <c r="AO55" i="9"/>
  <c r="L55" i="21" s="1"/>
  <c r="AQ53" i="9"/>
  <c r="AT55" i="9"/>
  <c r="N55" i="21" s="1"/>
  <c r="AW51" i="9"/>
  <c r="O51" i="21" s="1"/>
  <c r="AO51" i="9"/>
  <c r="L51" i="21" s="1"/>
  <c r="AL55" i="9"/>
  <c r="AL61" i="9"/>
  <c r="AV53" i="9"/>
  <c r="AN59" i="9"/>
  <c r="AJ58" i="9"/>
  <c r="AX55" i="9"/>
  <c r="AT54" i="9"/>
  <c r="N54" i="21" s="1"/>
  <c r="AX54" i="9"/>
  <c r="AU52" i="9"/>
  <c r="AJ59" i="9"/>
  <c r="AN61" i="9"/>
  <c r="AK57" i="9"/>
  <c r="AO57" i="9"/>
  <c r="L57" i="21" s="1"/>
  <c r="AJ50" i="9"/>
  <c r="AQ54" i="9"/>
  <c r="AS51" i="9"/>
  <c r="M51" i="21" s="1"/>
  <c r="AU53" i="9"/>
  <c r="AK58" i="9"/>
  <c r="AV58" i="9"/>
  <c r="AR51" i="9"/>
  <c r="AT50" i="9"/>
  <c r="N50" i="21" s="1"/>
  <c r="AX53" i="9"/>
  <c r="AM51" i="9"/>
  <c r="K51" i="21" s="1"/>
  <c r="AL50" i="9"/>
  <c r="AT60" i="9"/>
  <c r="N60" i="21" s="1"/>
  <c r="AT58" i="9"/>
  <c r="N58" i="21" s="1"/>
  <c r="AM52" i="9"/>
  <c r="K52" i="21" s="1"/>
  <c r="AV60" i="9"/>
  <c r="AR52" i="9"/>
  <c r="AN60" i="9"/>
  <c r="AP51" i="9"/>
  <c r="AL58" i="9"/>
  <c r="AO54" i="9"/>
  <c r="L54" i="21" s="1"/>
  <c r="AX57" i="9"/>
  <c r="AX52" i="9"/>
  <c r="AX51" i="9"/>
  <c r="AK56" i="9"/>
  <c r="AR59" i="9"/>
  <c r="AM56" i="9"/>
  <c r="K56" i="21" s="1"/>
  <c r="AU57" i="9"/>
  <c r="AV61" i="9"/>
  <c r="AS60" i="9"/>
  <c r="M60" i="21" s="1"/>
  <c r="AM55" i="9"/>
  <c r="K55" i="21" s="1"/>
  <c r="AM54" i="9"/>
  <c r="K54" i="21" s="1"/>
  <c r="AO59" i="9"/>
  <c r="L59" i="21" s="1"/>
  <c r="AT61" i="9"/>
  <c r="N61" i="21" s="1"/>
  <c r="AQ55" i="9"/>
  <c r="AP55" i="9"/>
  <c r="AT57" i="9"/>
  <c r="N57" i="21" s="1"/>
  <c r="AS54" i="9"/>
  <c r="M54" i="21" s="1"/>
  <c r="AN53" i="9"/>
  <c r="AP53" i="9"/>
  <c r="AV52" i="9"/>
  <c r="AS52" i="9"/>
  <c r="M52" i="21" s="1"/>
  <c r="AW58" i="9"/>
  <c r="O58" i="21" s="1"/>
  <c r="AU60" i="9"/>
  <c r="AM53" i="9"/>
  <c r="K53" i="21" s="1"/>
  <c r="AP59" i="9"/>
  <c r="AW53" i="9"/>
  <c r="O53" i="21" s="1"/>
  <c r="AU71" i="9"/>
  <c r="AK60" i="9"/>
  <c r="AN57" i="9"/>
  <c r="AR58" i="9"/>
  <c r="AU62" i="9"/>
  <c r="AQ51" i="9"/>
  <c r="AM59" i="9"/>
  <c r="K59" i="21" s="1"/>
  <c r="AJ52" i="9"/>
  <c r="AU63" i="9"/>
  <c r="AV55" i="9"/>
  <c r="AU61" i="9"/>
  <c r="AR53" i="9"/>
  <c r="AO61" i="9"/>
  <c r="L61" i="21" s="1"/>
  <c r="AM57" i="9"/>
  <c r="K57" i="21" s="1"/>
  <c r="AS59" i="9"/>
  <c r="M59" i="21" s="1"/>
  <c r="AP57" i="9"/>
  <c r="AR61" i="9"/>
  <c r="AX58" i="9"/>
  <c r="AJ54" i="9"/>
  <c r="AK53" i="9"/>
  <c r="AM50" i="9"/>
  <c r="K50" i="21" s="1"/>
  <c r="AR54" i="9"/>
  <c r="AO52" i="9"/>
  <c r="L52" i="21" s="1"/>
  <c r="AT52" i="9"/>
  <c r="N52" i="21" s="1"/>
  <c r="AK59" i="9"/>
  <c r="AL59" i="9"/>
  <c r="AL53" i="9"/>
  <c r="AL60" i="9"/>
  <c r="AR55" i="9"/>
  <c r="AV54" i="9"/>
  <c r="AW60" i="9"/>
  <c r="O60" i="21" s="1"/>
  <c r="AL51" i="9"/>
  <c r="AM61" i="9"/>
  <c r="K61" i="21" s="1"/>
  <c r="AP58" i="9"/>
  <c r="AD7" i="30" l="1"/>
  <c r="AE7" i="30" s="1"/>
  <c r="Z9" i="30"/>
  <c r="X18" i="30"/>
  <c r="AD16" i="30" s="1"/>
  <c r="K57" i="22"/>
  <c r="Z57" i="22" s="1"/>
  <c r="Z57" i="21"/>
  <c r="AB52" i="21"/>
  <c r="M52" i="22"/>
  <c r="AB52" i="22" s="1"/>
  <c r="N61" i="22"/>
  <c r="AC61" i="22" s="1"/>
  <c r="AC61" i="21"/>
  <c r="K52" i="22"/>
  <c r="Z52" i="22" s="1"/>
  <c r="Z52" i="21"/>
  <c r="AA61" i="21"/>
  <c r="L61" i="22"/>
  <c r="AA61" i="22" s="1"/>
  <c r="L51" i="22"/>
  <c r="AA51" i="22" s="1"/>
  <c r="AA51" i="21"/>
  <c r="L55" i="22"/>
  <c r="AA55" i="22" s="1"/>
  <c r="AA55" i="21"/>
  <c r="AA58" i="21"/>
  <c r="L58" i="22"/>
  <c r="AA58" i="22" s="1"/>
  <c r="AC51" i="21"/>
  <c r="N51" i="22"/>
  <c r="AC51" i="22" s="1"/>
  <c r="Z58" i="21"/>
  <c r="K58" i="22"/>
  <c r="Z58" i="22" s="1"/>
  <c r="L50" i="22"/>
  <c r="AA50" i="22" s="1"/>
  <c r="AA50" i="21"/>
  <c r="AD52" i="21"/>
  <c r="O52" i="22"/>
  <c r="AD52" i="22" s="1"/>
  <c r="M57" i="22"/>
  <c r="AB57" i="22" s="1"/>
  <c r="AB57" i="21"/>
  <c r="M53" i="22"/>
  <c r="AB53" i="22" s="1"/>
  <c r="AB53" i="21"/>
  <c r="K50" i="22"/>
  <c r="Z50" i="22" s="1"/>
  <c r="Z50" i="21"/>
  <c r="M54" i="22"/>
  <c r="AB54" i="22" s="1"/>
  <c r="AB54" i="21"/>
  <c r="M60" i="22"/>
  <c r="AB60" i="22" s="1"/>
  <c r="AB60" i="21"/>
  <c r="K51" i="22"/>
  <c r="Z51" i="22" s="1"/>
  <c r="Z51" i="21"/>
  <c r="O57" i="22"/>
  <c r="AD57" i="22" s="1"/>
  <c r="AD57" i="21"/>
  <c r="AC53" i="21"/>
  <c r="N53" i="22"/>
  <c r="AC53" i="22" s="1"/>
  <c r="AD60" i="21"/>
  <c r="O60" i="22"/>
  <c r="AD60" i="22" s="1"/>
  <c r="N52" i="22"/>
  <c r="AC52" i="22" s="1"/>
  <c r="AC52" i="21"/>
  <c r="L59" i="22"/>
  <c r="AA59" i="22" s="1"/>
  <c r="AA59" i="21"/>
  <c r="N58" i="22"/>
  <c r="AC58" i="22" s="1"/>
  <c r="AC58" i="21"/>
  <c r="L52" i="22"/>
  <c r="AA52" i="22" s="1"/>
  <c r="AA52" i="21"/>
  <c r="Z54" i="21"/>
  <c r="K54" i="22"/>
  <c r="Z54" i="22" s="1"/>
  <c r="L54" i="22"/>
  <c r="AA54" i="22" s="1"/>
  <c r="AA54" i="21"/>
  <c r="N60" i="22"/>
  <c r="AC60" i="22" s="1"/>
  <c r="AC60" i="21"/>
  <c r="N50" i="22"/>
  <c r="AC50" i="22" s="1"/>
  <c r="AC50" i="21"/>
  <c r="N54" i="22"/>
  <c r="AC54" i="22" s="1"/>
  <c r="AC54" i="21"/>
  <c r="O51" i="22"/>
  <c r="AD51" i="22" s="1"/>
  <c r="AD51" i="21"/>
  <c r="M55" i="22"/>
  <c r="AB55" i="22" s="1"/>
  <c r="AB55" i="21"/>
  <c r="AB58" i="21"/>
  <c r="M58" i="22"/>
  <c r="AB58" i="22" s="1"/>
  <c r="O56" i="22"/>
  <c r="AD56" i="22" s="1"/>
  <c r="AD56" i="21"/>
  <c r="M61" i="22"/>
  <c r="AB61" i="22" s="1"/>
  <c r="AB61" i="21"/>
  <c r="AA56" i="21"/>
  <c r="L56" i="22"/>
  <c r="AA56" i="22" s="1"/>
  <c r="O50" i="22"/>
  <c r="AD50" i="22" s="1"/>
  <c r="AD50" i="21"/>
  <c r="M50" i="22"/>
  <c r="AB50" i="22" s="1"/>
  <c r="AB50" i="21"/>
  <c r="N56" i="22"/>
  <c r="AC56" i="22" s="1"/>
  <c r="AC56" i="21"/>
  <c r="M51" i="22"/>
  <c r="AB51" i="22" s="1"/>
  <c r="AB51" i="21"/>
  <c r="Z60" i="21"/>
  <c r="K60" i="22"/>
  <c r="Z60" i="22" s="1"/>
  <c r="M56" i="22"/>
  <c r="AB56" i="22" s="1"/>
  <c r="AB56" i="21"/>
  <c r="K53" i="22"/>
  <c r="Z53" i="22" s="1"/>
  <c r="Z53" i="21"/>
  <c r="N57" i="22"/>
  <c r="AC57" i="22" s="1"/>
  <c r="AC57" i="21"/>
  <c r="K61" i="22"/>
  <c r="Z61" i="22" s="1"/>
  <c r="Z61" i="21"/>
  <c r="M59" i="22"/>
  <c r="AB59" i="22" s="1"/>
  <c r="AB59" i="21"/>
  <c r="K59" i="22"/>
  <c r="Z59" i="22" s="1"/>
  <c r="Z59" i="21"/>
  <c r="AD53" i="21"/>
  <c r="O53" i="22"/>
  <c r="AD53" i="22" s="1"/>
  <c r="AD58" i="21"/>
  <c r="O58" i="22"/>
  <c r="AD58" i="22" s="1"/>
  <c r="K55" i="22"/>
  <c r="Z55" i="22" s="1"/>
  <c r="Z55" i="21"/>
  <c r="K56" i="22"/>
  <c r="Z56" i="22" s="1"/>
  <c r="Z56" i="21"/>
  <c r="AA57" i="21"/>
  <c r="L57" i="22"/>
  <c r="AA57" i="22" s="1"/>
  <c r="N55" i="22"/>
  <c r="AC55" i="22" s="1"/>
  <c r="AC55" i="21"/>
  <c r="O61" i="22"/>
  <c r="AD61" i="22" s="1"/>
  <c r="AD61" i="21"/>
  <c r="AD59" i="21"/>
  <c r="O59" i="22"/>
  <c r="AD59" i="22" s="1"/>
  <c r="L53" i="22"/>
  <c r="AA53" i="22" s="1"/>
  <c r="AA53" i="21"/>
  <c r="O55" i="22"/>
  <c r="AD55" i="22" s="1"/>
  <c r="AD55" i="21"/>
  <c r="AA60" i="21"/>
  <c r="L60" i="22"/>
  <c r="AA60" i="22" s="1"/>
  <c r="AD54" i="21"/>
  <c r="O54" i="22"/>
  <c r="AD54" i="22" s="1"/>
  <c r="AC59" i="21"/>
  <c r="N59" i="22"/>
  <c r="AC59" i="22" s="1"/>
  <c r="AR66" i="9"/>
  <c r="AQ67" i="9"/>
  <c r="AN72" i="9"/>
  <c r="AT70" i="9"/>
  <c r="N70" i="21" s="1"/>
  <c r="AO69" i="9"/>
  <c r="L69" i="21" s="1"/>
  <c r="AN71" i="9"/>
  <c r="AU82" i="9"/>
  <c r="AU78" i="9"/>
  <c r="AJ72" i="9"/>
  <c r="AW67" i="9"/>
  <c r="O67" i="21" s="1"/>
  <c r="AL63" i="9"/>
  <c r="AL72" i="9"/>
  <c r="AO64" i="9"/>
  <c r="L64" i="21" s="1"/>
  <c r="AX70" i="9"/>
  <c r="AM69" i="9"/>
  <c r="K69" i="21" s="1"/>
  <c r="AV67" i="9"/>
  <c r="AQ63" i="9"/>
  <c r="AU83" i="9"/>
  <c r="AU72" i="9"/>
  <c r="AP65" i="9"/>
  <c r="AP67" i="9"/>
  <c r="AM66" i="9"/>
  <c r="K66" i="21" s="1"/>
  <c r="AU69" i="9"/>
  <c r="AX64" i="9"/>
  <c r="AP63" i="9"/>
  <c r="AM64" i="9"/>
  <c r="K64" i="21" s="1"/>
  <c r="AM63" i="9"/>
  <c r="K63" i="21" s="1"/>
  <c r="AV70" i="9"/>
  <c r="AK70" i="9"/>
  <c r="AJ62" i="9"/>
  <c r="AU64" i="9"/>
  <c r="AJ70" i="9"/>
  <c r="AL67" i="9"/>
  <c r="AQ65" i="9"/>
  <c r="AQ64" i="9"/>
  <c r="AP66" i="9"/>
  <c r="AQ62" i="9"/>
  <c r="AV69" i="9"/>
  <c r="AQ68" i="9"/>
  <c r="AN67" i="9"/>
  <c r="AP68" i="9"/>
  <c r="AW69" i="9"/>
  <c r="O69" i="21" s="1"/>
  <c r="AU79" i="9"/>
  <c r="AQ73" i="9"/>
  <c r="AN64" i="9"/>
  <c r="AO68" i="9"/>
  <c r="L68" i="21" s="1"/>
  <c r="AL69" i="9"/>
  <c r="AW62" i="9"/>
  <c r="O62" i="21" s="1"/>
  <c r="AQ70" i="9"/>
  <c r="AS62" i="9"/>
  <c r="M62" i="21" s="1"/>
  <c r="AK64" i="9"/>
  <c r="AT65" i="9"/>
  <c r="N65" i="21" s="1"/>
  <c r="AK73" i="9"/>
  <c r="AV63" i="9"/>
  <c r="AT68" i="9"/>
  <c r="N68" i="21" s="1"/>
  <c r="AR73" i="9"/>
  <c r="AO73" i="9"/>
  <c r="L73" i="21" s="1"/>
  <c r="AU75" i="9"/>
  <c r="AU74" i="9"/>
  <c r="AN65" i="9"/>
  <c r="AX65" i="9"/>
  <c r="AU65" i="9"/>
  <c r="AX66" i="9"/>
  <c r="AO67" i="9"/>
  <c r="L67" i="21" s="1"/>
  <c r="AO70" i="9"/>
  <c r="L70" i="21" s="1"/>
  <c r="AN70" i="9"/>
  <c r="AT63" i="9"/>
  <c r="N63" i="21" s="1"/>
  <c r="AJ73" i="9"/>
  <c r="AM70" i="9"/>
  <c r="K70" i="21" s="1"/>
  <c r="AK67" i="9"/>
  <c r="AO72" i="9"/>
  <c r="L72" i="21" s="1"/>
  <c r="AS69" i="9"/>
  <c r="M69" i="21" s="1"/>
  <c r="AM73" i="9"/>
  <c r="K73" i="21" s="1"/>
  <c r="AR67" i="9"/>
  <c r="AT64" i="9"/>
  <c r="N64" i="21" s="1"/>
  <c r="AJ66" i="9"/>
  <c r="AS71" i="9"/>
  <c r="M71" i="21" s="1"/>
  <c r="AU73" i="9"/>
  <c r="AM71" i="9"/>
  <c r="K71" i="21" s="1"/>
  <c r="AN69" i="9"/>
  <c r="AK72" i="9"/>
  <c r="AM65" i="9"/>
  <c r="K65" i="21" s="1"/>
  <c r="AV64" i="9"/>
  <c r="AT69" i="9"/>
  <c r="N69" i="21" s="1"/>
  <c r="AO71" i="9"/>
  <c r="L71" i="21" s="1"/>
  <c r="AV73" i="9"/>
  <c r="AX63" i="9"/>
  <c r="AL70" i="9"/>
  <c r="AV72" i="9"/>
  <c r="AL62" i="9"/>
  <c r="AR63" i="9"/>
  <c r="AQ66" i="9"/>
  <c r="AJ71" i="9"/>
  <c r="AX67" i="9"/>
  <c r="AL73" i="9"/>
  <c r="AT67" i="9"/>
  <c r="N67" i="21" s="1"/>
  <c r="AN63" i="9"/>
  <c r="AR68" i="9"/>
  <c r="AX73" i="9"/>
  <c r="AW73" i="9"/>
  <c r="O73" i="21" s="1"/>
  <c r="AW71" i="9"/>
  <c r="O71" i="21" s="1"/>
  <c r="AN68" i="9"/>
  <c r="AJ67" i="9"/>
  <c r="AO65" i="9"/>
  <c r="L65" i="21" s="1"/>
  <c r="AQ69" i="9"/>
  <c r="AU68" i="9"/>
  <c r="AR72" i="9"/>
  <c r="AO62" i="9"/>
  <c r="L62" i="21" s="1"/>
  <c r="AL66" i="9"/>
  <c r="AW64" i="9"/>
  <c r="O64" i="21" s="1"/>
  <c r="AP62" i="9"/>
  <c r="AQ72" i="9"/>
  <c r="AJ63" i="9"/>
  <c r="AS65" i="9"/>
  <c r="M65" i="21" s="1"/>
  <c r="AW72" i="9"/>
  <c r="O72" i="21" s="1"/>
  <c r="AL65" i="9"/>
  <c r="AW65" i="9"/>
  <c r="O65" i="21" s="1"/>
  <c r="AW70" i="9"/>
  <c r="O70" i="21" s="1"/>
  <c r="AM67" i="9"/>
  <c r="K67" i="21" s="1"/>
  <c r="AM68" i="9"/>
  <c r="K68" i="21" s="1"/>
  <c r="AX69" i="9"/>
  <c r="AK69" i="9"/>
  <c r="AO63" i="9"/>
  <c r="L63" i="21" s="1"/>
  <c r="AX68" i="9"/>
  <c r="AR62" i="9"/>
  <c r="AL64" i="9"/>
  <c r="AX71" i="9"/>
  <c r="AN66" i="9"/>
  <c r="AK63" i="9"/>
  <c r="AW66" i="9"/>
  <c r="O66" i="21" s="1"/>
  <c r="AT71" i="9"/>
  <c r="N71" i="21" s="1"/>
  <c r="AJ68" i="9"/>
  <c r="AP70" i="9"/>
  <c r="AV66" i="9"/>
  <c r="AL71" i="9"/>
  <c r="AK71" i="9"/>
  <c r="AM62" i="9"/>
  <c r="K62" i="21" s="1"/>
  <c r="AK65" i="9"/>
  <c r="AP69" i="9"/>
  <c r="AR65" i="9"/>
  <c r="AJ64" i="9"/>
  <c r="AR70" i="9"/>
  <c r="AP71" i="9"/>
  <c r="AS64" i="9"/>
  <c r="M64" i="21" s="1"/>
  <c r="AS66" i="9"/>
  <c r="M66" i="21" s="1"/>
  <c r="AT73" i="9"/>
  <c r="N73" i="21" s="1"/>
  <c r="AS72" i="9"/>
  <c r="M72" i="21" s="1"/>
  <c r="AR71" i="9"/>
  <c r="AK68" i="9"/>
  <c r="AO66" i="9"/>
  <c r="L66" i="21" s="1"/>
  <c r="AR64" i="9"/>
  <c r="AT72" i="9"/>
  <c r="N72" i="21" s="1"/>
  <c r="AT62" i="9"/>
  <c r="N62" i="21" s="1"/>
  <c r="AS63" i="9"/>
  <c r="M63" i="21" s="1"/>
  <c r="AN73" i="9"/>
  <c r="AT66" i="9"/>
  <c r="N66" i="21" s="1"/>
  <c r="AV65" i="9"/>
  <c r="AW63" i="9"/>
  <c r="O63" i="21" s="1"/>
  <c r="AJ65" i="9"/>
  <c r="AS67" i="9"/>
  <c r="M67" i="21" s="1"/>
  <c r="AS70" i="9"/>
  <c r="M70" i="21" s="1"/>
  <c r="AV68" i="9"/>
  <c r="AJ69" i="9"/>
  <c r="AP73" i="9"/>
  <c r="AX62" i="9"/>
  <c r="AW68" i="9"/>
  <c r="O68" i="21" s="1"/>
  <c r="AP64" i="9"/>
  <c r="AV62" i="9"/>
  <c r="AS73" i="9"/>
  <c r="M73" i="21" s="1"/>
  <c r="AR69" i="9"/>
  <c r="AP72" i="9"/>
  <c r="AQ71" i="9"/>
  <c r="AM72" i="9"/>
  <c r="K72" i="21" s="1"/>
  <c r="AL68" i="9"/>
  <c r="AS68" i="9"/>
  <c r="M68" i="21" s="1"/>
  <c r="AK66" i="9"/>
  <c r="AN62" i="9"/>
  <c r="AX72" i="9"/>
  <c r="AV71" i="9"/>
  <c r="AK62" i="9"/>
  <c r="D35" i="31" l="1"/>
  <c r="M67" i="22"/>
  <c r="AB67" i="22" s="1"/>
  <c r="AB67" i="21"/>
  <c r="AD65" i="21"/>
  <c r="O65" i="22"/>
  <c r="AD65" i="22" s="1"/>
  <c r="K65" i="22"/>
  <c r="Z65" i="22" s="1"/>
  <c r="Z65" i="21"/>
  <c r="AA72" i="21"/>
  <c r="L72" i="22"/>
  <c r="AA72" i="22" s="1"/>
  <c r="Z63" i="21"/>
  <c r="K63" i="22"/>
  <c r="Z63" i="22" s="1"/>
  <c r="AB64" i="21"/>
  <c r="M64" i="22"/>
  <c r="AB64" i="22" s="1"/>
  <c r="K62" i="22"/>
  <c r="Z62" i="22" s="1"/>
  <c r="Z62" i="21"/>
  <c r="O66" i="22"/>
  <c r="AD66" i="22" s="1"/>
  <c r="AD66" i="21"/>
  <c r="L63" i="22"/>
  <c r="AA63" i="22" s="1"/>
  <c r="AA63" i="21"/>
  <c r="Z68" i="21"/>
  <c r="K68" i="22"/>
  <c r="Z68" i="22" s="1"/>
  <c r="AD71" i="21"/>
  <c r="O71" i="22"/>
  <c r="AD71" i="22" s="1"/>
  <c r="L71" i="22"/>
  <c r="AA71" i="22" s="1"/>
  <c r="AA71" i="21"/>
  <c r="AC63" i="21"/>
  <c r="N63" i="22"/>
  <c r="AC63" i="22" s="1"/>
  <c r="N68" i="22"/>
  <c r="AC68" i="22" s="1"/>
  <c r="AC68" i="21"/>
  <c r="AC65" i="21"/>
  <c r="N65" i="22"/>
  <c r="AC65" i="22" s="1"/>
  <c r="Z64" i="21"/>
  <c r="K64" i="22"/>
  <c r="Z64" i="22" s="1"/>
  <c r="K66" i="22"/>
  <c r="Z66" i="22" s="1"/>
  <c r="Z66" i="21"/>
  <c r="AD67" i="21"/>
  <c r="O67" i="22"/>
  <c r="AD67" i="22" s="1"/>
  <c r="N66" i="22"/>
  <c r="AC66" i="22" s="1"/>
  <c r="AC66" i="21"/>
  <c r="AB66" i="21"/>
  <c r="M66" i="22"/>
  <c r="AB66" i="22" s="1"/>
  <c r="AB65" i="21"/>
  <c r="M65" i="22"/>
  <c r="AB65" i="22" s="1"/>
  <c r="K71" i="22"/>
  <c r="Z71" i="22" s="1"/>
  <c r="Z71" i="21"/>
  <c r="AB62" i="21"/>
  <c r="M62" i="22"/>
  <c r="AB62" i="22" s="1"/>
  <c r="AA68" i="21"/>
  <c r="L68" i="22"/>
  <c r="AA68" i="22" s="1"/>
  <c r="M68" i="22"/>
  <c r="AB68" i="22" s="1"/>
  <c r="AB68" i="21"/>
  <c r="AD68" i="21"/>
  <c r="O68" i="22"/>
  <c r="AD68" i="22" s="1"/>
  <c r="O63" i="22"/>
  <c r="AD63" i="22" s="1"/>
  <c r="AD63" i="21"/>
  <c r="M63" i="22"/>
  <c r="AB63" i="22" s="1"/>
  <c r="AB63" i="21"/>
  <c r="L66" i="22"/>
  <c r="AA66" i="22" s="1"/>
  <c r="AA66" i="21"/>
  <c r="M72" i="22"/>
  <c r="AB72" i="22" s="1"/>
  <c r="AB72" i="21"/>
  <c r="K67" i="22"/>
  <c r="Z67" i="22" s="1"/>
  <c r="Z67" i="21"/>
  <c r="AD72" i="21"/>
  <c r="O72" i="22"/>
  <c r="AD72" i="22" s="1"/>
  <c r="AA62" i="21"/>
  <c r="L62" i="22"/>
  <c r="AA62" i="22" s="1"/>
  <c r="AA65" i="21"/>
  <c r="L65" i="22"/>
  <c r="AA65" i="22" s="1"/>
  <c r="O73" i="22"/>
  <c r="AD73" i="22" s="1"/>
  <c r="AD73" i="21"/>
  <c r="AC67" i="21"/>
  <c r="N67" i="22"/>
  <c r="AC67" i="22" s="1"/>
  <c r="AC69" i="21"/>
  <c r="N69" i="22"/>
  <c r="AC69" i="22" s="1"/>
  <c r="M71" i="22"/>
  <c r="AB71" i="22" s="1"/>
  <c r="AB71" i="21"/>
  <c r="K73" i="22"/>
  <c r="Z73" i="22" s="1"/>
  <c r="Z73" i="21"/>
  <c r="AD62" i="21"/>
  <c r="O62" i="22"/>
  <c r="AD62" i="22" s="1"/>
  <c r="L64" i="22"/>
  <c r="AA64" i="22" s="1"/>
  <c r="AA64" i="21"/>
  <c r="AA69" i="21"/>
  <c r="L69" i="22"/>
  <c r="AA69" i="22" s="1"/>
  <c r="N72" i="22"/>
  <c r="AC72" i="22" s="1"/>
  <c r="AC72" i="21"/>
  <c r="AC71" i="21"/>
  <c r="N71" i="22"/>
  <c r="AC71" i="22" s="1"/>
  <c r="AD64" i="21"/>
  <c r="O64" i="22"/>
  <c r="AD64" i="22" s="1"/>
  <c r="AC64" i="21"/>
  <c r="N64" i="22"/>
  <c r="AC64" i="22" s="1"/>
  <c r="L67" i="22"/>
  <c r="AA67" i="22" s="1"/>
  <c r="AA67" i="21"/>
  <c r="O69" i="22"/>
  <c r="AD69" i="22" s="1"/>
  <c r="AD69" i="21"/>
  <c r="K69" i="22"/>
  <c r="Z69" i="22" s="1"/>
  <c r="Z69" i="21"/>
  <c r="Z72" i="21"/>
  <c r="K72" i="22"/>
  <c r="Z72" i="22" s="1"/>
  <c r="M73" i="22"/>
  <c r="AB73" i="22" s="1"/>
  <c r="AB73" i="21"/>
  <c r="AB70" i="21"/>
  <c r="M70" i="22"/>
  <c r="AB70" i="22" s="1"/>
  <c r="N62" i="22"/>
  <c r="AC62" i="22" s="1"/>
  <c r="AC62" i="21"/>
  <c r="AC73" i="21"/>
  <c r="N73" i="22"/>
  <c r="AC73" i="22" s="1"/>
  <c r="O70" i="22"/>
  <c r="AD70" i="22" s="1"/>
  <c r="AD70" i="21"/>
  <c r="M69" i="22"/>
  <c r="AB69" i="22" s="1"/>
  <c r="AB69" i="21"/>
  <c r="Z70" i="21"/>
  <c r="K70" i="22"/>
  <c r="Z70" i="22" s="1"/>
  <c r="L70" i="22"/>
  <c r="AA70" i="22" s="1"/>
  <c r="AA70" i="21"/>
  <c r="AA73" i="21"/>
  <c r="L73" i="22"/>
  <c r="AA73" i="22" s="1"/>
  <c r="N70" i="22"/>
  <c r="AC70" i="22" s="1"/>
  <c r="AC70" i="21"/>
  <c r="AJ81" i="9"/>
  <c r="AR82" i="9"/>
  <c r="AM74" i="9"/>
  <c r="K74" i="21" s="1"/>
  <c r="AX83" i="9"/>
  <c r="AK81" i="9"/>
  <c r="AX85" i="9"/>
  <c r="AO82" i="9"/>
  <c r="L82" i="21" s="1"/>
  <c r="AQ80" i="9"/>
  <c r="AQ76" i="9"/>
  <c r="AU76" i="9"/>
  <c r="AM76" i="9"/>
  <c r="K76" i="21" s="1"/>
  <c r="AM78" i="9"/>
  <c r="K78" i="21" s="1"/>
  <c r="AX82" i="9"/>
  <c r="AW79" i="9"/>
  <c r="O79" i="21" s="1"/>
  <c r="AN83" i="9"/>
  <c r="AQ79" i="9"/>
  <c r="AK74" i="9"/>
  <c r="AS80" i="9"/>
  <c r="M80" i="21" s="1"/>
  <c r="AN85" i="9"/>
  <c r="AK83" i="9"/>
  <c r="AW82" i="9"/>
  <c r="O82" i="21" s="1"/>
  <c r="AP74" i="9"/>
  <c r="AJ79" i="9"/>
  <c r="AX75" i="9"/>
  <c r="AV76" i="9"/>
  <c r="AT77" i="9"/>
  <c r="N77" i="21" s="1"/>
  <c r="AN74" i="9"/>
  <c r="AK78" i="9"/>
  <c r="AQ83" i="9"/>
  <c r="AV74" i="9"/>
  <c r="AP85" i="9"/>
  <c r="AS79" i="9"/>
  <c r="M79" i="21" s="1"/>
  <c r="AT78" i="9"/>
  <c r="N78" i="21" s="1"/>
  <c r="AT84" i="9"/>
  <c r="N84" i="21" s="1"/>
  <c r="AS84" i="9"/>
  <c r="M84" i="21" s="1"/>
  <c r="AP83" i="9"/>
  <c r="AP81" i="9"/>
  <c r="AK77" i="9"/>
  <c r="AP82" i="9"/>
  <c r="AN78" i="9"/>
  <c r="AX80" i="9"/>
  <c r="AM79" i="9"/>
  <c r="K79" i="21" s="1"/>
  <c r="AW84" i="9"/>
  <c r="O84" i="21" s="1"/>
  <c r="AQ84" i="9"/>
  <c r="AO74" i="9"/>
  <c r="L74" i="21" s="1"/>
  <c r="AO77" i="9"/>
  <c r="L77" i="21" s="1"/>
  <c r="AW85" i="9"/>
  <c r="O85" i="21" s="1"/>
  <c r="AT79" i="9"/>
  <c r="N79" i="21" s="1"/>
  <c r="AQ78" i="9"/>
  <c r="AL82" i="9"/>
  <c r="AT81" i="9"/>
  <c r="N81" i="21" s="1"/>
  <c r="AM83" i="9"/>
  <c r="K83" i="21" s="1"/>
  <c r="AT76" i="9"/>
  <c r="N76" i="21" s="1"/>
  <c r="AO84" i="9"/>
  <c r="L84" i="21" s="1"/>
  <c r="AK79" i="9"/>
  <c r="AN82" i="9"/>
  <c r="AU77" i="9"/>
  <c r="AV75" i="9"/>
  <c r="AK85" i="9"/>
  <c r="AW74" i="9"/>
  <c r="O74" i="21" s="1"/>
  <c r="AQ85" i="9"/>
  <c r="AN79" i="9"/>
  <c r="AP78" i="9"/>
  <c r="AJ82" i="9"/>
  <c r="AM75" i="9"/>
  <c r="K75" i="21" s="1"/>
  <c r="AU81" i="9"/>
  <c r="AU84" i="9"/>
  <c r="AM81" i="9"/>
  <c r="K81" i="21" s="1"/>
  <c r="AL75" i="9"/>
  <c r="AN84" i="9"/>
  <c r="AP84" i="9"/>
  <c r="AJ77" i="9"/>
  <c r="AT85" i="9"/>
  <c r="N85" i="21" s="1"/>
  <c r="AO75" i="9"/>
  <c r="L75" i="21" s="1"/>
  <c r="AR84" i="9"/>
  <c r="AL85" i="9"/>
  <c r="AR75" i="9"/>
  <c r="AU85" i="9"/>
  <c r="AR79" i="9"/>
  <c r="AM82" i="9"/>
  <c r="K82" i="21" s="1"/>
  <c r="AX77" i="9"/>
  <c r="AO85" i="9"/>
  <c r="L85" i="21" s="1"/>
  <c r="AK76" i="9"/>
  <c r="AL81" i="9"/>
  <c r="AX84" i="9"/>
  <c r="AM84" i="9"/>
  <c r="K84" i="21" s="1"/>
  <c r="AS85" i="9"/>
  <c r="M85" i="21" s="1"/>
  <c r="AX74" i="9"/>
  <c r="AS82" i="9"/>
  <c r="M82" i="21" s="1"/>
  <c r="AV77" i="9"/>
  <c r="AT74" i="9"/>
  <c r="N74" i="21" s="1"/>
  <c r="AR83" i="9"/>
  <c r="AS76" i="9"/>
  <c r="M76" i="21" s="1"/>
  <c r="AR77" i="9"/>
  <c r="AV78" i="9"/>
  <c r="AW78" i="9"/>
  <c r="O78" i="21" s="1"/>
  <c r="AK75" i="9"/>
  <c r="AR74" i="9"/>
  <c r="AM80" i="9"/>
  <c r="K80" i="21" s="1"/>
  <c r="AL77" i="9"/>
  <c r="AJ75" i="9"/>
  <c r="AL78" i="9"/>
  <c r="AQ81" i="9"/>
  <c r="AW83" i="9"/>
  <c r="O83" i="21" s="1"/>
  <c r="AN75" i="9"/>
  <c r="AJ83" i="9"/>
  <c r="AV84" i="9"/>
  <c r="AO83" i="9"/>
  <c r="L83" i="21" s="1"/>
  <c r="AN81" i="9"/>
  <c r="AJ78" i="9"/>
  <c r="AS81" i="9"/>
  <c r="M81" i="21" s="1"/>
  <c r="AT75" i="9"/>
  <c r="N75" i="21" s="1"/>
  <c r="AX78" i="9"/>
  <c r="AT80" i="9"/>
  <c r="N80" i="21" s="1"/>
  <c r="AQ82" i="9"/>
  <c r="AN76" i="9"/>
  <c r="AP80" i="9"/>
  <c r="AQ74" i="9"/>
  <c r="AL79" i="9"/>
  <c r="AV82" i="9"/>
  <c r="AX76" i="9"/>
  <c r="AP77" i="9"/>
  <c r="AV79" i="9"/>
  <c r="AL84" i="9"/>
  <c r="AT82" i="9"/>
  <c r="N82" i="21" s="1"/>
  <c r="AP76" i="9"/>
  <c r="AR76" i="9"/>
  <c r="AJ80" i="9"/>
  <c r="AV83" i="9"/>
  <c r="AL80" i="9"/>
  <c r="AR81" i="9"/>
  <c r="AW80" i="9"/>
  <c r="O80" i="21" s="1"/>
  <c r="AV80" i="9"/>
  <c r="AW75" i="9"/>
  <c r="O75" i="21" s="1"/>
  <c r="AS75" i="9"/>
  <c r="M75" i="21" s="1"/>
  <c r="AO78" i="9"/>
  <c r="L78" i="21" s="1"/>
  <c r="AK80" i="9"/>
  <c r="AS78" i="9"/>
  <c r="M78" i="21" s="1"/>
  <c r="AJ76" i="9"/>
  <c r="AL83" i="9"/>
  <c r="AT83" i="9"/>
  <c r="N83" i="21" s="1"/>
  <c r="AL76" i="9"/>
  <c r="AX81" i="9"/>
  <c r="AW77" i="9"/>
  <c r="O77" i="21" s="1"/>
  <c r="AS77" i="9"/>
  <c r="M77" i="21" s="1"/>
  <c r="AW76" i="9"/>
  <c r="O76" i="21" s="1"/>
  <c r="AU80" i="9"/>
  <c r="AN80" i="9"/>
  <c r="AR80" i="9"/>
  <c r="AX79" i="9"/>
  <c r="AL74" i="9"/>
  <c r="AV85" i="9"/>
  <c r="AM77" i="9"/>
  <c r="K77" i="21" s="1"/>
  <c r="AK84" i="9"/>
  <c r="AS83" i="9"/>
  <c r="M83" i="21" s="1"/>
  <c r="AM85" i="9"/>
  <c r="K85" i="21" s="1"/>
  <c r="AJ85" i="9"/>
  <c r="AO79" i="9"/>
  <c r="L79" i="21" s="1"/>
  <c r="AN77" i="9"/>
  <c r="AR85" i="9"/>
  <c r="AS74" i="9"/>
  <c r="M74" i="21" s="1"/>
  <c r="AO80" i="9"/>
  <c r="L80" i="21" s="1"/>
  <c r="AW81" i="9"/>
  <c r="O81" i="21" s="1"/>
  <c r="AV81" i="9"/>
  <c r="AQ77" i="9"/>
  <c r="AJ74" i="9"/>
  <c r="AK82" i="9"/>
  <c r="AP75" i="9"/>
  <c r="AP79" i="9"/>
  <c r="AQ75" i="9"/>
  <c r="AO76" i="9"/>
  <c r="L76" i="21" s="1"/>
  <c r="AJ84" i="9"/>
  <c r="AO81" i="9"/>
  <c r="L81" i="21" s="1"/>
  <c r="AR78" i="9"/>
  <c r="AA81" i="21" l="1"/>
  <c r="L81" i="22"/>
  <c r="L80" i="22"/>
  <c r="AA80" i="21"/>
  <c r="AC75" i="21"/>
  <c r="N75" i="22"/>
  <c r="AB74" i="21"/>
  <c r="M74" i="22"/>
  <c r="AD76" i="21"/>
  <c r="O76" i="22"/>
  <c r="AB78" i="21"/>
  <c r="M78" i="22"/>
  <c r="M75" i="22"/>
  <c r="AB75" i="21"/>
  <c r="M81" i="22"/>
  <c r="AB81" i="21"/>
  <c r="Z80" i="21"/>
  <c r="K80" i="22"/>
  <c r="AD78" i="21"/>
  <c r="O78" i="22"/>
  <c r="L75" i="22"/>
  <c r="AA75" i="21"/>
  <c r="Z83" i="21"/>
  <c r="K83" i="22"/>
  <c r="AC79" i="21"/>
  <c r="N79" i="22"/>
  <c r="N78" i="22"/>
  <c r="AC78" i="21"/>
  <c r="AC77" i="21"/>
  <c r="N77" i="22"/>
  <c r="K78" i="22"/>
  <c r="Z78" i="21"/>
  <c r="L79" i="22"/>
  <c r="AA79" i="21"/>
  <c r="AD80" i="21"/>
  <c r="O80" i="22"/>
  <c r="L83" i="22"/>
  <c r="AA83" i="21"/>
  <c r="AB76" i="21"/>
  <c r="M76" i="22"/>
  <c r="AA85" i="21"/>
  <c r="L85" i="22"/>
  <c r="L74" i="22"/>
  <c r="AA74" i="21"/>
  <c r="L76" i="22"/>
  <c r="AA76" i="21"/>
  <c r="K85" i="22"/>
  <c r="Z85" i="21"/>
  <c r="K77" i="22"/>
  <c r="Z77" i="21"/>
  <c r="M77" i="22"/>
  <c r="AB77" i="21"/>
  <c r="AC83" i="21"/>
  <c r="N83" i="22"/>
  <c r="AD75" i="21"/>
  <c r="O75" i="22"/>
  <c r="AC80" i="21"/>
  <c r="N80" i="22"/>
  <c r="N74" i="22"/>
  <c r="AC74" i="21"/>
  <c r="AB85" i="21"/>
  <c r="M85" i="22"/>
  <c r="K82" i="22"/>
  <c r="Z82" i="21"/>
  <c r="N85" i="22"/>
  <c r="AC85" i="21"/>
  <c r="K75" i="22"/>
  <c r="Z75" i="21"/>
  <c r="N81" i="22"/>
  <c r="AC81" i="21"/>
  <c r="AD85" i="21"/>
  <c r="O85" i="22"/>
  <c r="AD84" i="21"/>
  <c r="O84" i="22"/>
  <c r="M79" i="22"/>
  <c r="AB79" i="21"/>
  <c r="AD82" i="21"/>
  <c r="O82" i="22"/>
  <c r="AB80" i="21"/>
  <c r="M80" i="22"/>
  <c r="Z76" i="21"/>
  <c r="K76" i="22"/>
  <c r="AA82" i="21"/>
  <c r="L82" i="22"/>
  <c r="L78" i="22"/>
  <c r="AA78" i="21"/>
  <c r="AD83" i="21"/>
  <c r="O83" i="22"/>
  <c r="AB82" i="21"/>
  <c r="M82" i="22"/>
  <c r="N76" i="22"/>
  <c r="AC76" i="21"/>
  <c r="AC84" i="21"/>
  <c r="N84" i="22"/>
  <c r="AD81" i="21"/>
  <c r="O81" i="22"/>
  <c r="M83" i="22"/>
  <c r="AB83" i="21"/>
  <c r="O77" i="22"/>
  <c r="AD77" i="21"/>
  <c r="N82" i="22"/>
  <c r="AC82" i="21"/>
  <c r="Z84" i="21"/>
  <c r="K84" i="22"/>
  <c r="K81" i="22"/>
  <c r="Z81" i="21"/>
  <c r="AD74" i="21"/>
  <c r="O74" i="22"/>
  <c r="AA84" i="21"/>
  <c r="L84" i="22"/>
  <c r="AA77" i="21"/>
  <c r="L77" i="22"/>
  <c r="Z79" i="21"/>
  <c r="K79" i="22"/>
  <c r="M84" i="22"/>
  <c r="AB84" i="21"/>
  <c r="AD79" i="21"/>
  <c r="O79" i="22"/>
  <c r="K74" i="22"/>
  <c r="Z74" i="21"/>
  <c r="AI12" i="26"/>
  <c r="O86" i="22" l="1"/>
  <c r="AD74" i="22"/>
  <c r="O93" i="22"/>
  <c r="AD81" i="22"/>
  <c r="AA82" i="22"/>
  <c r="L94" i="22"/>
  <c r="O87" i="22"/>
  <c r="AD75" i="22"/>
  <c r="O92" i="22"/>
  <c r="AD80" i="22"/>
  <c r="K95" i="22"/>
  <c r="Z83" i="22"/>
  <c r="AB78" i="22"/>
  <c r="M90" i="22"/>
  <c r="AD77" i="22"/>
  <c r="O89" i="22"/>
  <c r="AC76" i="22"/>
  <c r="N88" i="22"/>
  <c r="Z82" i="22"/>
  <c r="K94" i="22"/>
  <c r="Z85" i="22"/>
  <c r="K97" i="22"/>
  <c r="Z78" i="22"/>
  <c r="K90" i="22"/>
  <c r="AB81" i="22"/>
  <c r="M93" i="22"/>
  <c r="O91" i="22"/>
  <c r="AD79" i="22"/>
  <c r="Z79" i="22"/>
  <c r="K91" i="22"/>
  <c r="L96" i="22"/>
  <c r="AA84" i="22"/>
  <c r="N96" i="22"/>
  <c r="AC84" i="22"/>
  <c r="AB82" i="22"/>
  <c r="M94" i="22"/>
  <c r="K88" i="22"/>
  <c r="Z76" i="22"/>
  <c r="O94" i="22"/>
  <c r="AD82" i="22"/>
  <c r="AD84" i="22"/>
  <c r="O96" i="22"/>
  <c r="M97" i="22"/>
  <c r="AB85" i="22"/>
  <c r="AC80" i="22"/>
  <c r="N92" i="22"/>
  <c r="AC83" i="22"/>
  <c r="N95" i="22"/>
  <c r="AA85" i="22"/>
  <c r="L97" i="22"/>
  <c r="N89" i="22"/>
  <c r="AC77" i="22"/>
  <c r="AC79" i="22"/>
  <c r="N91" i="22"/>
  <c r="Z80" i="22"/>
  <c r="K92" i="22"/>
  <c r="AD76" i="22"/>
  <c r="O88" i="22"/>
  <c r="AC75" i="22"/>
  <c r="N87" i="22"/>
  <c r="AA81" i="22"/>
  <c r="L93" i="22"/>
  <c r="L89" i="22"/>
  <c r="AA77" i="22"/>
  <c r="Z84" i="22"/>
  <c r="K96" i="22"/>
  <c r="AD83" i="22"/>
  <c r="O95" i="22"/>
  <c r="M92" i="22"/>
  <c r="AB80" i="22"/>
  <c r="AD85" i="22"/>
  <c r="O97" i="22"/>
  <c r="AB76" i="22"/>
  <c r="M88" i="22"/>
  <c r="AD78" i="22"/>
  <c r="O90" i="22"/>
  <c r="AB74" i="22"/>
  <c r="M86" i="22"/>
  <c r="K86" i="22"/>
  <c r="Z74" i="22"/>
  <c r="AB84" i="22"/>
  <c r="M96" i="22"/>
  <c r="M91" i="22"/>
  <c r="AB79" i="22"/>
  <c r="Z75" i="22"/>
  <c r="K87" i="22"/>
  <c r="N86" i="22"/>
  <c r="AC74" i="22"/>
  <c r="AB77" i="22"/>
  <c r="M89" i="22"/>
  <c r="L86" i="22"/>
  <c r="AA74" i="22"/>
  <c r="AC78" i="22"/>
  <c r="N90" i="22"/>
  <c r="AA80" i="22"/>
  <c r="L92" i="22"/>
  <c r="K93" i="22"/>
  <c r="Z81" i="22"/>
  <c r="AC82" i="22"/>
  <c r="N94" i="22"/>
  <c r="AB83" i="22"/>
  <c r="M95" i="22"/>
  <c r="AA78" i="22"/>
  <c r="L90" i="22"/>
  <c r="N93" i="22"/>
  <c r="AC81" i="22"/>
  <c r="N97" i="22"/>
  <c r="AC85" i="22"/>
  <c r="K89" i="22"/>
  <c r="Z77" i="22"/>
  <c r="AA76" i="22"/>
  <c r="L88" i="22"/>
  <c r="AA83" i="22"/>
  <c r="L95" i="22"/>
  <c r="AA79" i="22"/>
  <c r="L91" i="22"/>
  <c r="AA75" i="22"/>
  <c r="L87" i="22"/>
  <c r="M87" i="22"/>
  <c r="AB75" i="22"/>
  <c r="N106" i="22" l="1"/>
  <c r="AC106" i="22" s="1"/>
  <c r="AC94" i="22"/>
  <c r="AD97" i="22"/>
  <c r="O109" i="22"/>
  <c r="AD109" i="22" s="1"/>
  <c r="Z92" i="22"/>
  <c r="K104" i="22"/>
  <c r="Z104" i="22" s="1"/>
  <c r="AB94" i="22"/>
  <c r="M106" i="22"/>
  <c r="AB106" i="22" s="1"/>
  <c r="K102" i="22"/>
  <c r="Z102" i="22" s="1"/>
  <c r="Z90" i="22"/>
  <c r="K106" i="22"/>
  <c r="Z106" i="22" s="1"/>
  <c r="Z94" i="22"/>
  <c r="O101" i="22"/>
  <c r="AD101" i="22" s="1"/>
  <c r="AD89" i="22"/>
  <c r="N98" i="22"/>
  <c r="AC98" i="22" s="1"/>
  <c r="AC86" i="22"/>
  <c r="K98" i="22"/>
  <c r="Z98" i="22" s="1"/>
  <c r="Z86" i="22"/>
  <c r="AA89" i="22"/>
  <c r="L101" i="22"/>
  <c r="AA101" i="22" s="1"/>
  <c r="N101" i="22"/>
  <c r="AC101" i="22" s="1"/>
  <c r="AC89" i="22"/>
  <c r="M109" i="22"/>
  <c r="AB109" i="22" s="1"/>
  <c r="AB97" i="22"/>
  <c r="O106" i="22"/>
  <c r="AD106" i="22" s="1"/>
  <c r="AD94" i="22"/>
  <c r="L108" i="22"/>
  <c r="AA108" i="22" s="1"/>
  <c r="AA96" i="22"/>
  <c r="AD91" i="22"/>
  <c r="O103" i="22"/>
  <c r="AD103" i="22" s="1"/>
  <c r="AD87" i="22"/>
  <c r="O99" i="22"/>
  <c r="AD99" i="22" s="1"/>
  <c r="K101" i="22"/>
  <c r="Z101" i="22" s="1"/>
  <c r="Z89" i="22"/>
  <c r="M101" i="22"/>
  <c r="AB101" i="22" s="1"/>
  <c r="AB89" i="22"/>
  <c r="M98" i="22"/>
  <c r="AB98" i="22" s="1"/>
  <c r="AB86" i="22"/>
  <c r="O100" i="22"/>
  <c r="AD100" i="22" s="1"/>
  <c r="AD88" i="22"/>
  <c r="AA97" i="22"/>
  <c r="L109" i="22"/>
  <c r="AA109" i="22" s="1"/>
  <c r="AD96" i="22"/>
  <c r="O108" i="22"/>
  <c r="AD108" i="22" s="1"/>
  <c r="K103" i="22"/>
  <c r="Z103" i="22" s="1"/>
  <c r="Z91" i="22"/>
  <c r="M105" i="22"/>
  <c r="AB105" i="22" s="1"/>
  <c r="AB93" i="22"/>
  <c r="AB90" i="22"/>
  <c r="M102" i="22"/>
  <c r="AB102" i="22" s="1"/>
  <c r="M99" i="22"/>
  <c r="AB99" i="22" s="1"/>
  <c r="AB87" i="22"/>
  <c r="L102" i="22"/>
  <c r="AA102" i="22" s="1"/>
  <c r="AA90" i="22"/>
  <c r="L104" i="22"/>
  <c r="AA104" i="22" s="1"/>
  <c r="AA92" i="22"/>
  <c r="AD90" i="22"/>
  <c r="O102" i="22"/>
  <c r="AD102" i="22" s="1"/>
  <c r="O107" i="22"/>
  <c r="AD107" i="22" s="1"/>
  <c r="AD95" i="22"/>
  <c r="N99" i="22"/>
  <c r="AC99" i="22" s="1"/>
  <c r="AC87" i="22"/>
  <c r="AC95" i="22"/>
  <c r="N107" i="22"/>
  <c r="AC107" i="22" s="1"/>
  <c r="L99" i="22"/>
  <c r="AA99" i="22" s="1"/>
  <c r="AA87" i="22"/>
  <c r="L107" i="22"/>
  <c r="AA107" i="22" s="1"/>
  <c r="AA95" i="22"/>
  <c r="N109" i="22"/>
  <c r="AC109" i="22" s="1"/>
  <c r="AC97" i="22"/>
  <c r="L98" i="22"/>
  <c r="AA98" i="22" s="1"/>
  <c r="AA86" i="22"/>
  <c r="M103" i="22"/>
  <c r="AB103" i="22" s="1"/>
  <c r="AB91" i="22"/>
  <c r="K107" i="22"/>
  <c r="Z107" i="22" s="1"/>
  <c r="Z95" i="22"/>
  <c r="AD93" i="22"/>
  <c r="O105" i="22"/>
  <c r="AD105" i="22" s="1"/>
  <c r="M107" i="22"/>
  <c r="AB107" i="22" s="1"/>
  <c r="AB95" i="22"/>
  <c r="N102" i="22"/>
  <c r="AC102" i="22" s="1"/>
  <c r="AC90" i="22"/>
  <c r="K99" i="22"/>
  <c r="Z99" i="22" s="1"/>
  <c r="Z87" i="22"/>
  <c r="M108" i="22"/>
  <c r="AB108" i="22" s="1"/>
  <c r="AB96" i="22"/>
  <c r="M100" i="22"/>
  <c r="AB100" i="22" s="1"/>
  <c r="AB88" i="22"/>
  <c r="K108" i="22"/>
  <c r="Z108" i="22" s="1"/>
  <c r="Z96" i="22"/>
  <c r="L105" i="22"/>
  <c r="AA105" i="22" s="1"/>
  <c r="AA93" i="22"/>
  <c r="N103" i="22"/>
  <c r="AC103" i="22" s="1"/>
  <c r="AC91" i="22"/>
  <c r="N104" i="22"/>
  <c r="AC104" i="22" s="1"/>
  <c r="AC92" i="22"/>
  <c r="K109" i="22"/>
  <c r="Z109" i="22" s="1"/>
  <c r="Z97" i="22"/>
  <c r="N100" i="22"/>
  <c r="AC100" i="22" s="1"/>
  <c r="AC88" i="22"/>
  <c r="L106" i="22"/>
  <c r="AA106" i="22" s="1"/>
  <c r="AA94" i="22"/>
  <c r="L103" i="22"/>
  <c r="AA103" i="22" s="1"/>
  <c r="AA91" i="22"/>
  <c r="L100" i="22"/>
  <c r="AA100" i="22" s="1"/>
  <c r="AA88" i="22"/>
  <c r="N105" i="22"/>
  <c r="AC105" i="22" s="1"/>
  <c r="AC93" i="22"/>
  <c r="K105" i="22"/>
  <c r="Z105" i="22" s="1"/>
  <c r="Z93" i="22"/>
  <c r="M104" i="22"/>
  <c r="AB104" i="22" s="1"/>
  <c r="AB92" i="22"/>
  <c r="K100" i="22"/>
  <c r="Z100" i="22" s="1"/>
  <c r="Z88" i="22"/>
  <c r="N108" i="22"/>
  <c r="AC108" i="22" s="1"/>
  <c r="AC96" i="22"/>
  <c r="O104" i="22"/>
  <c r="AD104" i="22" s="1"/>
  <c r="AD92" i="22"/>
  <c r="O98" i="22"/>
  <c r="AD98" i="22" s="1"/>
  <c r="AD86" i="22"/>
  <c r="E18" i="31"/>
  <c r="E19" i="31"/>
  <c r="E36" i="31" l="1"/>
  <c r="E35" i="31"/>
  <c r="V2" i="21" l="1"/>
  <c r="G2" i="22"/>
  <c r="V2" i="22" s="1"/>
  <c r="AE2" i="22" s="1"/>
  <c r="G3" i="22" l="1"/>
  <c r="V3" i="22" s="1"/>
  <c r="AE3" i="22" s="1"/>
  <c r="V3" i="21"/>
  <c r="AF3" i="21" s="1"/>
  <c r="AF2" i="21"/>
  <c r="V4" i="21" l="1"/>
  <c r="G4" i="22"/>
  <c r="V4" i="22" s="1"/>
  <c r="AE4" i="22" s="1"/>
  <c r="AF4" i="21" l="1"/>
  <c r="G5" i="22"/>
  <c r="V5" i="22" s="1"/>
  <c r="AE5" i="22" s="1"/>
  <c r="V5" i="21"/>
  <c r="AF5" i="21" s="1"/>
  <c r="V6" i="21" l="1"/>
  <c r="AF6" i="21" s="1"/>
  <c r="G6" i="22"/>
  <c r="V6" i="22" s="1"/>
  <c r="AE6" i="22" s="1"/>
  <c r="V7" i="21" l="1"/>
  <c r="G7" i="22"/>
  <c r="V7" i="22" s="1"/>
  <c r="AE7" i="22" s="1"/>
  <c r="AF7" i="21" l="1"/>
  <c r="G8" i="22"/>
  <c r="V8" i="22" s="1"/>
  <c r="AE8" i="22" s="1"/>
  <c r="V8" i="21"/>
  <c r="AF8" i="21" s="1"/>
  <c r="G9" i="22" l="1"/>
  <c r="V9" i="22" s="1"/>
  <c r="AE9" i="22" s="1"/>
  <c r="V9" i="21"/>
  <c r="AF9" i="21" l="1"/>
  <c r="V10" i="21"/>
  <c r="AF10" i="21" s="1"/>
  <c r="G10" i="22"/>
  <c r="V10" i="22" s="1"/>
  <c r="AE10" i="22" s="1"/>
  <c r="G11" i="22" l="1"/>
  <c r="V11" i="22" s="1"/>
  <c r="AE11" i="22" s="1"/>
  <c r="V11" i="21"/>
  <c r="AF11" i="21" l="1"/>
  <c r="V12" i="21"/>
  <c r="AF12" i="21" s="1"/>
  <c r="G12" i="22"/>
  <c r="V12" i="22" s="1"/>
  <c r="AE12" i="22" s="1"/>
  <c r="G13" i="22" l="1"/>
  <c r="V13" i="22" s="1"/>
  <c r="AE13" i="22" s="1"/>
  <c r="V13" i="21"/>
  <c r="AF13" i="21" s="1"/>
  <c r="AI14" i="9"/>
  <c r="G14" i="21" s="1"/>
  <c r="V14" i="21" l="1"/>
  <c r="G14" i="22"/>
  <c r="V14" i="22" s="1"/>
  <c r="AE14" i="22" s="1"/>
  <c r="AI15" i="9"/>
  <c r="G15" i="21" s="1"/>
  <c r="AI5" i="26" l="1"/>
  <c r="G15" i="22"/>
  <c r="V15" i="22" s="1"/>
  <c r="AE15" i="22" s="1"/>
  <c r="V15" i="21"/>
  <c r="AF15" i="21" s="1"/>
  <c r="AF14" i="21"/>
  <c r="AI16" i="9"/>
  <c r="G16" i="21" s="1"/>
  <c r="V16" i="21" l="1"/>
  <c r="G16" i="22"/>
  <c r="V16" i="22" s="1"/>
  <c r="AE16" i="22" s="1"/>
  <c r="AI17" i="9"/>
  <c r="G17" i="21" s="1"/>
  <c r="AF16" i="21" l="1"/>
  <c r="G17" i="22"/>
  <c r="V17" i="22" s="1"/>
  <c r="AE17" i="22" s="1"/>
  <c r="V17" i="21"/>
  <c r="AF17" i="21" s="1"/>
  <c r="AI18" i="9"/>
  <c r="G18" i="21" s="1"/>
  <c r="V18" i="21" l="1"/>
  <c r="G18" i="22"/>
  <c r="V18" i="22" s="1"/>
  <c r="AE18" i="22" s="1"/>
  <c r="AI19" i="9"/>
  <c r="G19" i="21" s="1"/>
  <c r="AF18" i="21" l="1"/>
  <c r="G19" i="22"/>
  <c r="V19" i="22" s="1"/>
  <c r="AE19" i="22" s="1"/>
  <c r="V19" i="21"/>
  <c r="AF19" i="21" s="1"/>
  <c r="AI20" i="9"/>
  <c r="G20" i="21" s="1"/>
  <c r="G20" i="22" l="1"/>
  <c r="V20" i="22" s="1"/>
  <c r="AE20" i="22" s="1"/>
  <c r="V20" i="21"/>
  <c r="AI21" i="9"/>
  <c r="G21" i="21" s="1"/>
  <c r="AF20" i="21" l="1"/>
  <c r="G21" i="22"/>
  <c r="V21" i="22" s="1"/>
  <c r="AE21" i="22" s="1"/>
  <c r="V21" i="21"/>
  <c r="AF21" i="21" s="1"/>
  <c r="AI22" i="9"/>
  <c r="G22" i="21" s="1"/>
  <c r="V22" i="21" l="1"/>
  <c r="G22" i="22"/>
  <c r="V22" i="22" s="1"/>
  <c r="AE22" i="22" s="1"/>
  <c r="AI23" i="9"/>
  <c r="G23" i="21" s="1"/>
  <c r="AF22" i="21" l="1"/>
  <c r="V23" i="21"/>
  <c r="AF23" i="21" s="1"/>
  <c r="G23" i="22"/>
  <c r="V23" i="22" s="1"/>
  <c r="AE23" i="22" s="1"/>
  <c r="AI24" i="9"/>
  <c r="G24" i="21" s="1"/>
  <c r="V24" i="21" l="1"/>
  <c r="G24" i="22"/>
  <c r="V24" i="22" s="1"/>
  <c r="AE24" i="22" s="1"/>
  <c r="AI25" i="9"/>
  <c r="G25" i="21" s="1"/>
  <c r="AF24" i="21" l="1"/>
  <c r="G25" i="22"/>
  <c r="V25" i="22" s="1"/>
  <c r="AE25" i="22" s="1"/>
  <c r="V25" i="21"/>
  <c r="AF25" i="21" s="1"/>
  <c r="AI26" i="9"/>
  <c r="G26" i="21" s="1"/>
  <c r="D5" i="18" l="1"/>
  <c r="E5" i="18" s="1"/>
  <c r="G26" i="22"/>
  <c r="V26" i="22" s="1"/>
  <c r="AE26" i="22" s="1"/>
  <c r="V26" i="21"/>
  <c r="AI27" i="9"/>
  <c r="G27" i="21" s="1"/>
  <c r="G27" i="22" l="1"/>
  <c r="V27" i="22" s="1"/>
  <c r="AE27" i="22" s="1"/>
  <c r="V27" i="21"/>
  <c r="AF27" i="21" s="1"/>
  <c r="AF26" i="21"/>
  <c r="AI6" i="26"/>
  <c r="AI28" i="9"/>
  <c r="G28" i="21" s="1"/>
  <c r="G28" i="22" l="1"/>
  <c r="V28" i="22" s="1"/>
  <c r="AE28" i="22" s="1"/>
  <c r="V28" i="21"/>
  <c r="AI29" i="9"/>
  <c r="G29" i="21" s="1"/>
  <c r="AF28" i="21" l="1"/>
  <c r="G29" i="22"/>
  <c r="V29" i="22" s="1"/>
  <c r="AE29" i="22" s="1"/>
  <c r="V29" i="21"/>
  <c r="AF29" i="21" s="1"/>
  <c r="AI30" i="9"/>
  <c r="G30" i="21" s="1"/>
  <c r="G30" i="22" l="1"/>
  <c r="V30" i="22" s="1"/>
  <c r="AE30" i="22" s="1"/>
  <c r="V30" i="21"/>
  <c r="AI31" i="9"/>
  <c r="G31" i="21" s="1"/>
  <c r="AF30" i="21" l="1"/>
  <c r="V31" i="21"/>
  <c r="AF31" i="21" s="1"/>
  <c r="G31" i="22"/>
  <c r="V31" i="22" s="1"/>
  <c r="AE31" i="22" s="1"/>
  <c r="AI32" i="9"/>
  <c r="G32" i="21" s="1"/>
  <c r="G32" i="22" l="1"/>
  <c r="V32" i="22" s="1"/>
  <c r="AE32" i="22" s="1"/>
  <c r="V32" i="21"/>
  <c r="AI33" i="9"/>
  <c r="G33" i="21" s="1"/>
  <c r="AF32" i="21" l="1"/>
  <c r="G33" i="22"/>
  <c r="V33" i="22" s="1"/>
  <c r="AE33" i="22" s="1"/>
  <c r="V33" i="21"/>
  <c r="AF33" i="21" s="1"/>
  <c r="AI34" i="9"/>
  <c r="G34" i="21" s="1"/>
  <c r="V34" i="21" l="1"/>
  <c r="G34" i="22"/>
  <c r="V34" i="22" s="1"/>
  <c r="AE34" i="22" s="1"/>
  <c r="AI35" i="9"/>
  <c r="G35" i="21" s="1"/>
  <c r="AF34" i="21" l="1"/>
  <c r="V35" i="21"/>
  <c r="AF35" i="21" s="1"/>
  <c r="G35" i="22"/>
  <c r="V35" i="22" s="1"/>
  <c r="AE35" i="22" s="1"/>
  <c r="AI36" i="9"/>
  <c r="G36" i="21" s="1"/>
  <c r="V36" i="21" l="1"/>
  <c r="G36" i="22"/>
  <c r="V36" i="22" s="1"/>
  <c r="AE36" i="22" s="1"/>
  <c r="AI37" i="9"/>
  <c r="G37" i="21" s="1"/>
  <c r="AF36" i="21" l="1"/>
  <c r="G37" i="22"/>
  <c r="V37" i="22" s="1"/>
  <c r="AE37" i="22" s="1"/>
  <c r="V37" i="21"/>
  <c r="AF37" i="21" s="1"/>
  <c r="AI38" i="9"/>
  <c r="G38" i="21" s="1"/>
  <c r="D6" i="18" l="1"/>
  <c r="E6" i="18" s="1"/>
  <c r="V38" i="21"/>
  <c r="G38" i="22"/>
  <c r="V38" i="22" s="1"/>
  <c r="AE38" i="22" s="1"/>
  <c r="AI39" i="9"/>
  <c r="G39" i="21" s="1"/>
  <c r="G39" i="22" l="1"/>
  <c r="V39" i="22" s="1"/>
  <c r="AE39" i="22" s="1"/>
  <c r="V39" i="21"/>
  <c r="AF39" i="21" s="1"/>
  <c r="AI7" i="26"/>
  <c r="AF38" i="21"/>
  <c r="AI40" i="9"/>
  <c r="G40" i="21" s="1"/>
  <c r="V40" i="21" l="1"/>
  <c r="G40" i="22"/>
  <c r="V40" i="22" s="1"/>
  <c r="AE40" i="22" s="1"/>
  <c r="AI41" i="9"/>
  <c r="G41" i="21" s="1"/>
  <c r="AF40" i="21" l="1"/>
  <c r="G41" i="22"/>
  <c r="V41" i="22" s="1"/>
  <c r="AE41" i="22" s="1"/>
  <c r="V41" i="21"/>
  <c r="AF41" i="21" s="1"/>
  <c r="AI42" i="9"/>
  <c r="G42" i="21" s="1"/>
  <c r="V42" i="21" l="1"/>
  <c r="G42" i="22"/>
  <c r="V42" i="22" s="1"/>
  <c r="AE42" i="22" s="1"/>
  <c r="AI43" i="9"/>
  <c r="G43" i="21" s="1"/>
  <c r="AF42" i="21" l="1"/>
  <c r="G43" i="22"/>
  <c r="V43" i="22" s="1"/>
  <c r="AE43" i="22" s="1"/>
  <c r="V43" i="21"/>
  <c r="AF43" i="21" s="1"/>
  <c r="AI44" i="9"/>
  <c r="G44" i="21" s="1"/>
  <c r="V44" i="21" l="1"/>
  <c r="G44" i="22"/>
  <c r="V44" i="22" s="1"/>
  <c r="AE44" i="22" s="1"/>
  <c r="AI45" i="9"/>
  <c r="G45" i="21" s="1"/>
  <c r="AF44" i="21" l="1"/>
  <c r="G45" i="22"/>
  <c r="V45" i="22" s="1"/>
  <c r="AE45" i="22" s="1"/>
  <c r="V45" i="21"/>
  <c r="AF45" i="21" s="1"/>
  <c r="AI46" i="9"/>
  <c r="G46" i="21" s="1"/>
  <c r="V46" i="21" l="1"/>
  <c r="G46" i="22"/>
  <c r="V46" i="22" s="1"/>
  <c r="AE46" i="22" s="1"/>
  <c r="AI47" i="9"/>
  <c r="G47" i="21" s="1"/>
  <c r="AF46" i="21" l="1"/>
  <c r="V47" i="21"/>
  <c r="AF47" i="21" s="1"/>
  <c r="G47" i="22"/>
  <c r="V47" i="22" s="1"/>
  <c r="AE47" i="22" s="1"/>
  <c r="AI48" i="9"/>
  <c r="G48" i="21" s="1"/>
  <c r="G48" i="22" l="1"/>
  <c r="V48" i="22" s="1"/>
  <c r="AE48" i="22" s="1"/>
  <c r="V48" i="21"/>
  <c r="AI49" i="9"/>
  <c r="G49" i="21" s="1"/>
  <c r="AF48" i="21" l="1"/>
  <c r="G49" i="22"/>
  <c r="V49" i="22" s="1"/>
  <c r="AE49" i="22" s="1"/>
  <c r="V49" i="21"/>
  <c r="AF49" i="21" s="1"/>
  <c r="AI50" i="9"/>
  <c r="G50" i="21" s="1"/>
  <c r="D7" i="18" l="1"/>
  <c r="E7" i="18" s="1"/>
  <c r="V50" i="21"/>
  <c r="G50" i="22"/>
  <c r="V50" i="22" s="1"/>
  <c r="AE50" i="22" s="1"/>
  <c r="AI51" i="9"/>
  <c r="G51" i="21" s="1"/>
  <c r="G51" i="22" l="1"/>
  <c r="V51" i="22" s="1"/>
  <c r="AE51" i="22" s="1"/>
  <c r="V51" i="21"/>
  <c r="AF51" i="21" s="1"/>
  <c r="AI8" i="26"/>
  <c r="AF50" i="21"/>
  <c r="AI52" i="9"/>
  <c r="G52" i="21" s="1"/>
  <c r="G52" i="22" l="1"/>
  <c r="V52" i="22" s="1"/>
  <c r="AE52" i="22" s="1"/>
  <c r="V52" i="21"/>
  <c r="AI53" i="9"/>
  <c r="G53" i="21" s="1"/>
  <c r="AF52" i="21" l="1"/>
  <c r="G53" i="22"/>
  <c r="V53" i="22" s="1"/>
  <c r="AE53" i="22" s="1"/>
  <c r="V53" i="21"/>
  <c r="AF53" i="21" s="1"/>
  <c r="AI54" i="9"/>
  <c r="G54" i="21" s="1"/>
  <c r="G54" i="22" l="1"/>
  <c r="V54" i="22" s="1"/>
  <c r="AE54" i="22" s="1"/>
  <c r="V54" i="21"/>
  <c r="AI55" i="9"/>
  <c r="G55" i="21" s="1"/>
  <c r="AF54" i="21" l="1"/>
  <c r="G55" i="22"/>
  <c r="V55" i="22" s="1"/>
  <c r="AE55" i="22" s="1"/>
  <c r="V55" i="21"/>
  <c r="AF55" i="21" s="1"/>
  <c r="AI56" i="9"/>
  <c r="G56" i="21" s="1"/>
  <c r="G56" i="22" l="1"/>
  <c r="V56" i="22" s="1"/>
  <c r="AE56" i="22" s="1"/>
  <c r="V56" i="21"/>
  <c r="AI57" i="9"/>
  <c r="G57" i="21" s="1"/>
  <c r="AF56" i="21" l="1"/>
  <c r="G57" i="22"/>
  <c r="V57" i="22" s="1"/>
  <c r="AE57" i="22" s="1"/>
  <c r="V57" i="21"/>
  <c r="AF57" i="21" s="1"/>
  <c r="AI58" i="9"/>
  <c r="G58" i="21" s="1"/>
  <c r="V58" i="21" l="1"/>
  <c r="G58" i="22"/>
  <c r="V58" i="22" s="1"/>
  <c r="AE58" i="22" s="1"/>
  <c r="AI59" i="9"/>
  <c r="G59" i="21" s="1"/>
  <c r="AF58" i="21" l="1"/>
  <c r="G59" i="22"/>
  <c r="V59" i="22" s="1"/>
  <c r="AE59" i="22" s="1"/>
  <c r="V59" i="21"/>
  <c r="AF59" i="21" s="1"/>
  <c r="AI60" i="9"/>
  <c r="G60" i="21" s="1"/>
  <c r="G60" i="22" l="1"/>
  <c r="V60" i="22" s="1"/>
  <c r="AE60" i="22" s="1"/>
  <c r="V60" i="21"/>
  <c r="AI61" i="9"/>
  <c r="G61" i="21" s="1"/>
  <c r="AF60" i="21" l="1"/>
  <c r="D8" i="18"/>
  <c r="E8" i="18" s="1"/>
  <c r="G61" i="22"/>
  <c r="V61" i="22" s="1"/>
  <c r="AE61" i="22" s="1"/>
  <c r="V61" i="21"/>
  <c r="AF61" i="21" s="1"/>
  <c r="AI62" i="9"/>
  <c r="G62" i="21" s="1"/>
  <c r="G62" i="22" l="1"/>
  <c r="V62" i="22" s="1"/>
  <c r="AE62" i="22" s="1"/>
  <c r="V62" i="21"/>
  <c r="AI63" i="9"/>
  <c r="G63" i="21" s="1"/>
  <c r="G63" i="22" l="1"/>
  <c r="V63" i="22" s="1"/>
  <c r="AE63" i="22" s="1"/>
  <c r="V63" i="21"/>
  <c r="AF63" i="21" s="1"/>
  <c r="AF62" i="21"/>
  <c r="AI9" i="26"/>
  <c r="AI64" i="9"/>
  <c r="G64" i="21" s="1"/>
  <c r="V64" i="21" l="1"/>
  <c r="G64" i="22"/>
  <c r="V64" i="22" s="1"/>
  <c r="AE64" i="22" s="1"/>
  <c r="AI65" i="9"/>
  <c r="G65" i="21" s="1"/>
  <c r="AF64" i="21" l="1"/>
  <c r="G65" i="22"/>
  <c r="V65" i="22" s="1"/>
  <c r="AE65" i="22" s="1"/>
  <c r="V65" i="21"/>
  <c r="AF65" i="21" s="1"/>
  <c r="AI66" i="9"/>
  <c r="G66" i="21" s="1"/>
  <c r="G66" i="22" l="1"/>
  <c r="V66" i="22" s="1"/>
  <c r="AE66" i="22" s="1"/>
  <c r="V66" i="21"/>
  <c r="AI67" i="9"/>
  <c r="G67" i="21" s="1"/>
  <c r="AF66" i="21" l="1"/>
  <c r="G67" i="22"/>
  <c r="V67" i="22" s="1"/>
  <c r="AE67" i="22" s="1"/>
  <c r="V67" i="21"/>
  <c r="AF67" i="21" s="1"/>
  <c r="AI68" i="9"/>
  <c r="G68" i="21" s="1"/>
  <c r="V68" i="21" l="1"/>
  <c r="G68" i="22"/>
  <c r="V68" i="22" s="1"/>
  <c r="AE68" i="22" s="1"/>
  <c r="AI69" i="9"/>
  <c r="G69" i="21" s="1"/>
  <c r="AF68" i="21" l="1"/>
  <c r="G69" i="22"/>
  <c r="V69" i="22" s="1"/>
  <c r="AE69" i="22" s="1"/>
  <c r="V69" i="21"/>
  <c r="AF69" i="21" s="1"/>
  <c r="AI70" i="9"/>
  <c r="G70" i="21" s="1"/>
  <c r="G70" i="22" l="1"/>
  <c r="V70" i="22" s="1"/>
  <c r="AE70" i="22" s="1"/>
  <c r="V70" i="21"/>
  <c r="AI71" i="9"/>
  <c r="G71" i="21" s="1"/>
  <c r="AF70" i="21" l="1"/>
  <c r="G71" i="22"/>
  <c r="V71" i="22" s="1"/>
  <c r="AE71" i="22" s="1"/>
  <c r="V71" i="21"/>
  <c r="AF71" i="21" s="1"/>
  <c r="AI72" i="9"/>
  <c r="G72" i="21" s="1"/>
  <c r="V72" i="21" l="1"/>
  <c r="G72" i="22"/>
  <c r="V72" i="22" s="1"/>
  <c r="AE72" i="22" s="1"/>
  <c r="AI73" i="9"/>
  <c r="G73" i="21" s="1"/>
  <c r="AF72" i="21" l="1"/>
  <c r="D9" i="18"/>
  <c r="E9" i="18" s="1"/>
  <c r="G73" i="22"/>
  <c r="V73" i="22" s="1"/>
  <c r="AE73" i="22" s="1"/>
  <c r="V73" i="21"/>
  <c r="AF73" i="21" s="1"/>
  <c r="AI74" i="9"/>
  <c r="G74" i="21" s="1"/>
  <c r="G74" i="22" l="1"/>
  <c r="V74" i="22" s="1"/>
  <c r="AE74" i="22" s="1"/>
  <c r="V74" i="21"/>
  <c r="AI75" i="9"/>
  <c r="G75" i="21" s="1"/>
  <c r="V75" i="21" l="1"/>
  <c r="AF75" i="21" s="1"/>
  <c r="G75" i="22"/>
  <c r="V75" i="22" s="1"/>
  <c r="AE75" i="22" s="1"/>
  <c r="AF74" i="21"/>
  <c r="AI10" i="26"/>
  <c r="AI76" i="9"/>
  <c r="G76" i="21" s="1"/>
  <c r="V76" i="21" l="1"/>
  <c r="G76" i="22"/>
  <c r="V76" i="22" s="1"/>
  <c r="AE76" i="22" s="1"/>
  <c r="AI77" i="9"/>
  <c r="G77" i="21" s="1"/>
  <c r="AF76" i="21" l="1"/>
  <c r="G77" i="22"/>
  <c r="V77" i="22" s="1"/>
  <c r="AE77" i="22" s="1"/>
  <c r="V77" i="21"/>
  <c r="AF77" i="21" s="1"/>
  <c r="AI78" i="9"/>
  <c r="G78" i="21" s="1"/>
  <c r="G78" i="22" l="1"/>
  <c r="V78" i="22" s="1"/>
  <c r="AE78" i="22" s="1"/>
  <c r="V78" i="21"/>
  <c r="AI79" i="9"/>
  <c r="G79" i="21" s="1"/>
  <c r="AF78" i="21" l="1"/>
  <c r="G79" i="22"/>
  <c r="V79" i="22" s="1"/>
  <c r="AE79" i="22" s="1"/>
  <c r="V79" i="21"/>
  <c r="AF79" i="21" s="1"/>
  <c r="AI80" i="9"/>
  <c r="G80" i="21" s="1"/>
  <c r="G80" i="22" l="1"/>
  <c r="V80" i="22" s="1"/>
  <c r="AE80" i="22" s="1"/>
  <c r="V80" i="21"/>
  <c r="AI81" i="9"/>
  <c r="G81" i="21" s="1"/>
  <c r="AF80" i="21" l="1"/>
  <c r="G81" i="22"/>
  <c r="V81" i="22" s="1"/>
  <c r="AE81" i="22" s="1"/>
  <c r="V81" i="21"/>
  <c r="AF81" i="21" s="1"/>
  <c r="AI82" i="9"/>
  <c r="G82" i="21" s="1"/>
  <c r="V82" i="21" l="1"/>
  <c r="G82" i="22"/>
  <c r="V82" i="22" s="1"/>
  <c r="AE82" i="22" s="1"/>
  <c r="AI83" i="9"/>
  <c r="G83" i="21" s="1"/>
  <c r="AF82" i="21" l="1"/>
  <c r="V83" i="21"/>
  <c r="AF83" i="21" s="1"/>
  <c r="G83" i="22"/>
  <c r="V83" i="22" s="1"/>
  <c r="AE83" i="22" s="1"/>
  <c r="AI84" i="9"/>
  <c r="G84" i="21" s="1"/>
  <c r="G84" i="22" l="1"/>
  <c r="V84" i="22" s="1"/>
  <c r="AE84" i="22" s="1"/>
  <c r="V84" i="21"/>
  <c r="AI85" i="9"/>
  <c r="G85" i="21" s="1"/>
  <c r="AF84" i="21" l="1"/>
  <c r="D10" i="18"/>
  <c r="E10" i="18" s="1"/>
  <c r="G85" i="22"/>
  <c r="V85" i="21"/>
  <c r="AF85" i="21" l="1"/>
  <c r="AF86" i="21" s="1"/>
  <c r="E13" i="18" s="1"/>
  <c r="D4" i="18"/>
  <c r="E4" i="18" s="1"/>
  <c r="E12" i="18" s="1"/>
  <c r="V85" i="22"/>
  <c r="AE85" i="22" s="1"/>
  <c r="G86" i="22"/>
  <c r="G87" i="22" l="1"/>
  <c r="V86" i="22"/>
  <c r="AE86" i="22" s="1"/>
  <c r="AI11" i="26" l="1"/>
  <c r="G88" i="22"/>
  <c r="V87" i="22"/>
  <c r="AE87" i="22" s="1"/>
  <c r="G89" i="22" l="1"/>
  <c r="V88" i="22"/>
  <c r="AE88" i="22" s="1"/>
  <c r="V89" i="22" l="1"/>
  <c r="AE89" i="22" s="1"/>
  <c r="G90" i="22"/>
  <c r="G91" i="22" l="1"/>
  <c r="V90" i="22"/>
  <c r="AE90" i="22" s="1"/>
  <c r="G92" i="22" l="1"/>
  <c r="V91" i="22"/>
  <c r="AE91" i="22" s="1"/>
  <c r="V92" i="22" l="1"/>
  <c r="AE92" i="22" s="1"/>
  <c r="G93" i="22"/>
  <c r="V93" i="22" l="1"/>
  <c r="AE93" i="22" s="1"/>
  <c r="G94" i="22"/>
  <c r="V94" i="22" l="1"/>
  <c r="AE94" i="22" s="1"/>
  <c r="G95" i="22"/>
  <c r="V95" i="22" l="1"/>
  <c r="AE95" i="22" s="1"/>
  <c r="G96" i="22"/>
  <c r="G97" i="22" l="1"/>
  <c r="V96" i="22"/>
  <c r="AE96" i="22" s="1"/>
  <c r="G98" i="22" l="1"/>
  <c r="V97" i="22"/>
  <c r="AE97" i="22" s="1"/>
  <c r="V98" i="22" l="1"/>
  <c r="AE98" i="22" s="1"/>
  <c r="G99" i="22"/>
  <c r="G100" i="22" l="1"/>
  <c r="V99" i="22"/>
  <c r="AE99" i="22" s="1"/>
  <c r="G101" i="22" l="1"/>
  <c r="V100" i="22"/>
  <c r="AE100" i="22" s="1"/>
  <c r="V101" i="22" l="1"/>
  <c r="AE101" i="22" s="1"/>
  <c r="G102" i="22"/>
  <c r="V102" i="22" l="1"/>
  <c r="AE102" i="22" s="1"/>
  <c r="G103" i="22"/>
  <c r="G104" i="22" l="1"/>
  <c r="V103" i="22"/>
  <c r="AE103" i="22" s="1"/>
  <c r="G105" i="22" l="1"/>
  <c r="V104" i="22"/>
  <c r="AE104" i="22" s="1"/>
  <c r="G106" i="22" l="1"/>
  <c r="V105" i="22"/>
  <c r="AE105" i="22" s="1"/>
  <c r="V106" i="22" l="1"/>
  <c r="AE106" i="22" s="1"/>
  <c r="G107" i="22"/>
  <c r="G108" i="22" l="1"/>
  <c r="V107" i="22"/>
  <c r="AE107" i="22" s="1"/>
  <c r="V108" i="22" l="1"/>
  <c r="AE108" i="22" s="1"/>
  <c r="G109" i="22"/>
  <c r="V109" i="22" s="1"/>
  <c r="AE109" i="22" s="1"/>
  <c r="E4" i="26" l="1"/>
  <c r="AC4" i="26" s="1"/>
  <c r="E5" i="26"/>
  <c r="AC5" i="26" s="1"/>
  <c r="E6" i="26"/>
  <c r="AC6" i="26" s="1"/>
  <c r="E7" i="26"/>
  <c r="AC7" i="26" s="1"/>
  <c r="E8" i="26"/>
  <c r="AC8" i="26" s="1"/>
  <c r="E9" i="26"/>
  <c r="AC9" i="26" s="1"/>
  <c r="E10" i="26"/>
  <c r="AC10" i="26" s="1"/>
  <c r="E6" i="31" s="1"/>
  <c r="E11" i="26"/>
  <c r="AC11" i="26" s="1"/>
  <c r="F6" i="31" s="1"/>
  <c r="E12" i="26"/>
  <c r="AC12" i="26" s="1"/>
  <c r="H16" i="27" l="1"/>
  <c r="J16" i="27" s="1"/>
  <c r="F26" i="31" s="1"/>
  <c r="C34" i="31" s="1"/>
  <c r="E34" i="31" s="1"/>
  <c r="G6" i="31"/>
  <c r="AD7" i="26"/>
  <c r="AD11" i="26"/>
  <c r="H15" i="27"/>
  <c r="J15" i="27" s="1"/>
  <c r="E26" i="31" s="1"/>
  <c r="AD9" i="26"/>
  <c r="AD5" i="26"/>
  <c r="AD10" i="26"/>
  <c r="AD6" i="26"/>
  <c r="AD12" i="26"/>
  <c r="AD8" i="26"/>
  <c r="K7" i="26"/>
  <c r="W7" i="26"/>
  <c r="Q7" i="26"/>
  <c r="F7" i="26"/>
  <c r="W10" i="26"/>
  <c r="K10" i="26"/>
  <c r="Q10" i="26"/>
  <c r="F10" i="26"/>
  <c r="W6" i="26"/>
  <c r="F6" i="26"/>
  <c r="Q6" i="26"/>
  <c r="K6" i="26"/>
  <c r="W11" i="26"/>
  <c r="Q11" i="26"/>
  <c r="K11" i="26"/>
  <c r="F11" i="26"/>
  <c r="Q9" i="26"/>
  <c r="K9" i="26"/>
  <c r="W9" i="26"/>
  <c r="F9" i="26"/>
  <c r="Q5" i="26"/>
  <c r="W5" i="26"/>
  <c r="K5" i="26"/>
  <c r="F5" i="26"/>
  <c r="W12" i="26"/>
  <c r="K12" i="26"/>
  <c r="Q12" i="26"/>
  <c r="F12" i="26"/>
  <c r="F8" i="26"/>
  <c r="W8" i="26"/>
  <c r="K8" i="26"/>
  <c r="Q8" i="26"/>
  <c r="K4" i="26"/>
  <c r="Q4" i="26"/>
  <c r="W4" i="26"/>
  <c r="D5" i="27" s="1"/>
  <c r="C17" i="31" l="1"/>
  <c r="E17" i="31" s="1"/>
  <c r="X8" i="26"/>
  <c r="R8" i="26"/>
  <c r="L8" i="26"/>
  <c r="L6" i="26"/>
  <c r="L9" i="26"/>
  <c r="X7" i="26"/>
  <c r="R12" i="26"/>
  <c r="G4" i="31"/>
  <c r="X7" i="30" s="1"/>
  <c r="L5" i="26"/>
  <c r="X9" i="26"/>
  <c r="F3" i="31"/>
  <c r="L11" i="26"/>
  <c r="R6" i="26"/>
  <c r="R10" i="26"/>
  <c r="E4" i="31"/>
  <c r="R7" i="26"/>
  <c r="G3" i="31"/>
  <c r="X6" i="30" s="1"/>
  <c r="L12" i="26"/>
  <c r="R11" i="26"/>
  <c r="F4" i="31"/>
  <c r="L10" i="26"/>
  <c r="E3" i="31"/>
  <c r="X5" i="26"/>
  <c r="G5" i="31"/>
  <c r="X8" i="30" s="1"/>
  <c r="X12" i="26"/>
  <c r="C16" i="27"/>
  <c r="E16" i="27" s="1"/>
  <c r="R5" i="26"/>
  <c r="R9" i="26"/>
  <c r="C15" i="27"/>
  <c r="E15" i="27" s="1"/>
  <c r="X11" i="26"/>
  <c r="F5" i="31"/>
  <c r="X6" i="26"/>
  <c r="E5" i="31"/>
  <c r="X10" i="26"/>
  <c r="L7" i="26"/>
  <c r="E25" i="31" l="1"/>
  <c r="X10" i="30"/>
  <c r="X17" i="30"/>
  <c r="X16" i="30"/>
  <c r="Z8" i="30"/>
  <c r="X15" i="30"/>
  <c r="E10" i="31"/>
  <c r="G10" i="31"/>
  <c r="C14" i="31"/>
  <c r="C16" i="31"/>
  <c r="C15" i="31"/>
  <c r="F25" i="31"/>
  <c r="AC6" i="30"/>
  <c r="AC15" i="30"/>
  <c r="F10" i="31"/>
  <c r="E29" i="31" l="1"/>
  <c r="AD15" i="30"/>
  <c r="AD17" i="30" s="1"/>
  <c r="AD6" i="30"/>
  <c r="Z7" i="30"/>
  <c r="Z6" i="30"/>
  <c r="X19" i="30"/>
  <c r="C21" i="31"/>
  <c r="C33" i="31"/>
  <c r="F29" i="31"/>
  <c r="AC17" i="30"/>
  <c r="AC8" i="30"/>
  <c r="D16" i="31"/>
  <c r="E16" i="31" s="1"/>
  <c r="Z10" i="30" l="1"/>
  <c r="C37" i="31"/>
  <c r="D33" i="31" l="1"/>
  <c r="AD8" i="30"/>
  <c r="AE6" i="30"/>
  <c r="AE8" i="30" s="1"/>
  <c r="D15" i="31"/>
  <c r="E15" i="31" s="1"/>
  <c r="D37" i="31" l="1"/>
  <c r="E33" i="31"/>
  <c r="E37" i="31" s="1"/>
  <c r="D21" i="31" l="1"/>
  <c r="E14" i="31"/>
  <c r="E21" i="31" s="1"/>
</calcChain>
</file>

<file path=xl/comments1.xml><?xml version="1.0" encoding="utf-8"?>
<comments xmlns="http://schemas.openxmlformats.org/spreadsheetml/2006/main">
  <authors>
    <author>user</author>
    <author>Stephen Motluk</author>
  </authors>
  <commentList>
    <comment ref="AR31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2004-08 NAC</t>
        </r>
      </text>
    </comment>
    <comment ref="AR32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2004-08 NAC</t>
        </r>
      </text>
    </comment>
    <comment ref="BK36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by May-Dec Slots</t>
        </r>
      </text>
    </comment>
    <comment ref="BK37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2011-Total Slots</t>
        </r>
      </text>
    </comment>
    <comment ref="BO37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for JBL</t>
        </r>
      </text>
    </comment>
    <comment ref="AT45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by May-Dec Slots</t>
        </r>
      </text>
    </comment>
    <comment ref="AT46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2011-Total Slots</t>
        </r>
      </text>
    </comment>
    <comment ref="AT55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for JBL</t>
        </r>
      </text>
    </comment>
    <comment ref="R80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2009-11</t>
        </r>
      </text>
    </comment>
    <comment ref="U80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2010-11</t>
        </r>
      </text>
    </comment>
    <comment ref="V80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2008-11</t>
        </r>
      </text>
    </comment>
    <comment ref="V81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2009-11</t>
        </r>
      </text>
    </comment>
    <comment ref="V82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2008-11</t>
        </r>
      </text>
    </comment>
  </commentList>
</comments>
</file>

<file path=xl/sharedStrings.xml><?xml version="1.0" encoding="utf-8"?>
<sst xmlns="http://schemas.openxmlformats.org/spreadsheetml/2006/main" count="1085" uniqueCount="264">
  <si>
    <t>Date</t>
  </si>
  <si>
    <t>WholesalekWh</t>
  </si>
  <si>
    <t>ReskWh</t>
  </si>
  <si>
    <t>ResCust</t>
  </si>
  <si>
    <t>GSlt50kWh</t>
  </si>
  <si>
    <t>GSlt50Cust</t>
  </si>
  <si>
    <t>GSgt50kWh</t>
  </si>
  <si>
    <t>GSgt50_kW</t>
  </si>
  <si>
    <t>GSgt50Cust</t>
  </si>
  <si>
    <t>StreetkWh</t>
  </si>
  <si>
    <t>Street_kW</t>
  </si>
  <si>
    <t>StreetCust</t>
  </si>
  <si>
    <t>SentkWh</t>
  </si>
  <si>
    <t>Sent_kW</t>
  </si>
  <si>
    <t>SentCust</t>
  </si>
  <si>
    <t>USLkWh</t>
  </si>
  <si>
    <t>USLCust</t>
  </si>
  <si>
    <t>HDD</t>
  </si>
  <si>
    <t>CDD</t>
  </si>
  <si>
    <t>Monthdays</t>
  </si>
  <si>
    <t>Peakdays</t>
  </si>
  <si>
    <t>OntEmpl</t>
  </si>
  <si>
    <t>OntFTE</t>
  </si>
  <si>
    <t>KngEmpl</t>
  </si>
  <si>
    <t>KngFTE</t>
  </si>
  <si>
    <t>StCNiaEmpl</t>
  </si>
  <si>
    <t>StCNiaFTE</t>
  </si>
  <si>
    <t>Eastern Ontario Power</t>
  </si>
  <si>
    <t>kWh</t>
  </si>
  <si>
    <t>Wholesale kWh</t>
  </si>
  <si>
    <t>%chg</t>
  </si>
  <si>
    <t>Res kWh</t>
  </si>
  <si>
    <t>GS&lt;50 kWh</t>
  </si>
  <si>
    <t>GS&gt;50 kWh</t>
  </si>
  <si>
    <t>Total Retail kWh</t>
  </si>
  <si>
    <t>Loss</t>
  </si>
  <si>
    <t>Customer Connections</t>
  </si>
  <si>
    <t>Res</t>
  </si>
  <si>
    <t>GS&lt;50</t>
  </si>
  <si>
    <t>GS&gt;50</t>
  </si>
  <si>
    <t>Street</t>
  </si>
  <si>
    <t>Sent</t>
  </si>
  <si>
    <t>USL</t>
  </si>
  <si>
    <t>Total</t>
  </si>
  <si>
    <t>Use  Per Cust</t>
  </si>
  <si>
    <t>Actual</t>
  </si>
  <si>
    <t>Normal</t>
  </si>
  <si>
    <t>Delta Normal</t>
  </si>
  <si>
    <t>Normal Use Per Cust</t>
  </si>
  <si>
    <t>2007-11</t>
  </si>
  <si>
    <t>2008-11</t>
  </si>
  <si>
    <t>Forecast</t>
  </si>
  <si>
    <t>kWh Usage, Normalized &amp; Forecast</t>
  </si>
  <si>
    <t>Res Actual</t>
  </si>
  <si>
    <t>Res Normal</t>
  </si>
  <si>
    <t>GS&lt;50 Act</t>
  </si>
  <si>
    <t>GS&lt;50 Normal</t>
  </si>
  <si>
    <t>GS&lt;50kWh</t>
  </si>
  <si>
    <t>Fort Erie</t>
  </si>
  <si>
    <t>Street kWh</t>
  </si>
  <si>
    <t>Sent kWh</t>
  </si>
  <si>
    <t>USL kWh</t>
  </si>
  <si>
    <t>Port Colborne</t>
  </si>
  <si>
    <t>Table 1: Annual kWh Consumption, Fort Erie &amp; Port Colborne</t>
  </si>
  <si>
    <t>Customers</t>
  </si>
  <si>
    <t>Use Per Customer</t>
  </si>
  <si>
    <t>EOP (04-08)</t>
  </si>
  <si>
    <t>kW Actual</t>
  </si>
  <si>
    <t>Don't Use - Not Weather Sensitive</t>
  </si>
  <si>
    <t>Table 2: Annual kWh Consumption, Eastern Ontario Power</t>
  </si>
  <si>
    <t xml:space="preserve">Table 3: Annual kWh </t>
  </si>
  <si>
    <t xml:space="preserve">Table 4: Average Annual Customer Connections </t>
  </si>
  <si>
    <t xml:space="preserve">Table 5: Average Annual Use Per Customer </t>
  </si>
  <si>
    <t>Table 6: Normalized Average Use Per Customer (NAC)</t>
  </si>
  <si>
    <t>Table 7: Average Annual Customer Connections Forecast</t>
  </si>
  <si>
    <t>Table 8: Normalized and Forecast Class kWh</t>
  </si>
  <si>
    <t>Table 9: Actual and Forecast kW</t>
  </si>
  <si>
    <t>JBL Port Colborne</t>
  </si>
  <si>
    <t>kW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</si>
  <si>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</si>
  <si>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</si>
  <si>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</si>
  <si>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</si>
  <si>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</si>
  <si>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</si>
  <si>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</si>
  <si>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</si>
  <si>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</si>
  <si>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</si>
  <si>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</si>
  <si>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</si>
  <si>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OLG Slots Fort Erie</t>
  </si>
  <si>
    <t>Table A1 - EOP GS&lt;50</t>
  </si>
  <si>
    <t>Cust</t>
  </si>
  <si>
    <t>Use Per Cust</t>
  </si>
  <si>
    <t>NAC 04-08</t>
  </si>
  <si>
    <t>NAC 09-11</t>
  </si>
  <si>
    <t xml:space="preserve">Table 10 - Loss of Customers </t>
  </si>
  <si>
    <t>Fort Erie - OLG Slots, 2011 Historical Consumption</t>
  </si>
  <si>
    <t xml:space="preserve">Jan 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</si>
  <si>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</si>
  <si>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</si>
  <si>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</si>
  <si>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</si>
  <si>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</si>
  <si>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</si>
  <si>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</si>
  <si>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</si>
  <si>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</si>
  <si>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</si>
  <si>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Jan-Apr</t>
  </si>
  <si>
    <t>May - Dec</t>
  </si>
  <si>
    <t>Port Colborne - JBL, 2011 Historical Consumption</t>
  </si>
  <si>
    <t>Annual Reduction</t>
  </si>
  <si>
    <t>PC_HDD</t>
  </si>
  <si>
    <t>PC_CDD</t>
  </si>
  <si>
    <t>King_HDD</t>
  </si>
  <si>
    <t>King_CDD</t>
  </si>
  <si>
    <t>Ontario_FTE</t>
  </si>
  <si>
    <t>Kingston_FTE</t>
  </si>
  <si>
    <t>StCath_FTE</t>
  </si>
  <si>
    <t>Trend</t>
  </si>
  <si>
    <t>Spring</t>
  </si>
  <si>
    <t>Fall</t>
  </si>
  <si>
    <t>Shoulder</t>
  </si>
  <si>
    <t>Jan</t>
  </si>
  <si>
    <t>Sept</t>
  </si>
  <si>
    <t>PeakDays</t>
  </si>
  <si>
    <t>MonthDays</t>
  </si>
  <si>
    <t>Kingston HDD</t>
  </si>
  <si>
    <t>Kingston CDD</t>
  </si>
  <si>
    <t>10-year</t>
  </si>
  <si>
    <t>20-year</t>
  </si>
  <si>
    <t>10 Year Average</t>
  </si>
  <si>
    <t>20 Year Trend (2016)</t>
  </si>
  <si>
    <t>Hartington IHD</t>
  </si>
  <si>
    <t>Welland HDD</t>
  </si>
  <si>
    <t>Welland CDD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</si>
  <si>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</si>
  <si>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</si>
  <si>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</si>
  <si>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</si>
  <si>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</si>
  <si>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</si>
  <si>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</si>
  <si>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</si>
  <si>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</si>
  <si>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</si>
  <si>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</si>
  <si>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</si>
  <si>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</si>
  <si>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</si>
  <si>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</si>
  <si>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</si>
  <si>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</si>
  <si>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</si>
  <si>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Other</t>
  </si>
  <si>
    <t>Residual (Loss+Error)</t>
  </si>
  <si>
    <t>Year</t>
  </si>
  <si>
    <t>LostCustomers</t>
  </si>
  <si>
    <t>LostCustomersTrend</t>
  </si>
  <si>
    <t>F(12, 71)</t>
  </si>
  <si>
    <t>Normalized kWh</t>
  </si>
  <si>
    <t>282-0135</t>
  </si>
  <si>
    <t>BMO</t>
  </si>
  <si>
    <t>TD</t>
  </si>
  <si>
    <t>Scotia</t>
  </si>
  <si>
    <t>RBC</t>
  </si>
  <si>
    <t>Average</t>
  </si>
  <si>
    <t>Model Error</t>
  </si>
  <si>
    <t>Weather Actual</t>
  </si>
  <si>
    <t>Predicted</t>
  </si>
  <si>
    <t>Absolute</t>
  </si>
  <si>
    <t>Error (%)</t>
  </si>
  <si>
    <t>Mean Absolute Percentage of Error (Annual)</t>
  </si>
  <si>
    <t>Mean Absolute Percentage of Error (Monthly)</t>
  </si>
  <si>
    <t>Avg Loss:</t>
  </si>
  <si>
    <t>Normalized Loss</t>
  </si>
  <si>
    <t>Error</t>
  </si>
  <si>
    <t>Street Light</t>
  </si>
  <si>
    <t>Residential</t>
  </si>
  <si>
    <t>Annual Change</t>
  </si>
  <si>
    <t>GS &lt; 50</t>
  </si>
  <si>
    <t>GS &gt; 50</t>
  </si>
  <si>
    <t>Lamps / Devices</t>
  </si>
  <si>
    <t>Sentinel</t>
  </si>
  <si>
    <t>Connections</t>
  </si>
  <si>
    <t>Weather Normal</t>
  </si>
  <si>
    <t>Normalized</t>
  </si>
  <si>
    <t>kWh Actual</t>
  </si>
  <si>
    <t>Ratio</t>
  </si>
  <si>
    <t>A</t>
  </si>
  <si>
    <t>C = B / A</t>
  </si>
  <si>
    <t>B</t>
  </si>
  <si>
    <t>kWh Normalized</t>
  </si>
  <si>
    <t>D</t>
  </si>
  <si>
    <t>E</t>
  </si>
  <si>
    <t>F = D * E</t>
  </si>
  <si>
    <t>Application Factor               1.0 Full Year    0.5 Half Year</t>
  </si>
  <si>
    <t>2017 Net kWh Load Forecast CDM Adjustment</t>
  </si>
  <si>
    <t>Retail kWh</t>
  </si>
  <si>
    <t>CDM Load Forecast Adjustment</t>
  </si>
  <si>
    <t>Retail kW</t>
  </si>
  <si>
    <t>C = A * B</t>
  </si>
  <si>
    <t xml:space="preserve">Year </t>
  </si>
  <si>
    <t>Residential (kWh)</t>
  </si>
  <si>
    <t>GS&lt;50 (kWh)</t>
  </si>
  <si>
    <t>GS&gt;50 (kW)</t>
  </si>
  <si>
    <t>Total Customer (kWh)</t>
  </si>
  <si>
    <t>Total Customer (kW)</t>
  </si>
  <si>
    <t>LRAMVA (kWh)</t>
  </si>
  <si>
    <t>LRAMVA (kW)</t>
  </si>
  <si>
    <t>Normal Forecast</t>
  </si>
  <si>
    <t>2014 Actual</t>
  </si>
  <si>
    <t>2015 Actual</t>
  </si>
  <si>
    <t>2015 Normalized</t>
  </si>
  <si>
    <t>2016 Forecast</t>
  </si>
  <si>
    <t>2017 Forecast</t>
  </si>
  <si>
    <t>Sentinel Light</t>
  </si>
  <si>
    <t>CDM Adjusted</t>
  </si>
  <si>
    <t>2017 Weather Normal Forecast</t>
  </si>
  <si>
    <t>CDM Adjustment</t>
  </si>
  <si>
    <t>2017 CDM Adjusted Forecast</t>
  </si>
  <si>
    <t>Annual Error</t>
  </si>
  <si>
    <t>Res % Share</t>
  </si>
  <si>
    <t>GS &lt; 50 % Share</t>
  </si>
  <si>
    <t>GS &gt; 50 % Share</t>
  </si>
  <si>
    <t>% of Wholesale</t>
  </si>
  <si>
    <t>Weather Normalized 2017 (Elenchus)</t>
  </si>
  <si>
    <t>Predicted Value</t>
  </si>
  <si>
    <t>TOTAL</t>
  </si>
  <si>
    <t>Include the Valley Centre Cogen</t>
  </si>
  <si>
    <t>this includes the medical marijuana plant</t>
  </si>
  <si>
    <t>Streetlights (estimated)</t>
  </si>
  <si>
    <t>Unassigned (Affect all Rate Classes)</t>
  </si>
  <si>
    <t>Estimates:</t>
  </si>
  <si>
    <t>Residential - Pilot</t>
  </si>
  <si>
    <t xml:space="preserve"> included in 2016 Residential numbers above</t>
  </si>
  <si>
    <t>Residential-Clothesline</t>
  </si>
  <si>
    <t>Unassigned</t>
  </si>
  <si>
    <t>Notes:</t>
  </si>
  <si>
    <t>CFF Target</t>
  </si>
  <si>
    <t>2015-2020 CDM Target</t>
  </si>
  <si>
    <t>LRAMVA Target</t>
  </si>
  <si>
    <t>C=A-B</t>
  </si>
  <si>
    <t>Embedded Distributor</t>
  </si>
  <si>
    <t>Net GS &gt; 50 kWh</t>
  </si>
  <si>
    <t>Net GS &gt; 50 kW</t>
  </si>
  <si>
    <t>Embedded</t>
  </si>
  <si>
    <t>Note: Trend was adjusted to account for Embedded Distributor counted as GS &gt; 50</t>
  </si>
  <si>
    <t>E = D / A * B</t>
  </si>
  <si>
    <t>F = D - E</t>
  </si>
  <si>
    <t>C</t>
  </si>
  <si>
    <t>D = C / A * B</t>
  </si>
  <si>
    <t>Embedded Distributor kWh</t>
  </si>
  <si>
    <t>Count Relative to Prior Year</t>
  </si>
  <si>
    <t>Persisting CDM</t>
  </si>
  <si>
    <t>In-Year CDM</t>
  </si>
  <si>
    <t>Month</t>
  </si>
  <si>
    <t>Estimated effect of CDM</t>
  </si>
  <si>
    <t>CDM Adjusted History</t>
  </si>
  <si>
    <t>Model 4: OLS, using observations 2009:01-2015:12 (T = 84)</t>
  </si>
  <si>
    <t>Dependent variable: CDMAdjustedHistory</t>
  </si>
  <si>
    <t>2017 CDM Adjusted Load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</si>
</sst>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#,##0_ ;\-#,##0\ "/>
  </numFmts>
  <fonts count="34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Times New Roman"/>
      <family val="1"/>
    </font>
    <font>
      <sz val="10"/>
      <color indexed="30"/>
      <name val="Times New Roman"/>
      <family val="1"/>
    </font>
    <font>
      <b/>
      <sz val="10"/>
      <color indexed="30"/>
      <name val="Times New Roman"/>
      <family val="1"/>
    </font>
    <font>
      <b/>
      <sz val="10"/>
      <color indexed="10"/>
      <name val="Times New Roman"/>
      <family val="1"/>
    </font>
    <font>
      <sz val="10"/>
      <color indexed="30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i/>
      <sz val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i/>
      <sz val="10"/>
      <name val="Arial"/>
      <family val="2"/>
    </font>
    <font>
      <i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165" fontId="6" fillId="0" borderId="0" applyFont="0" applyFill="0" applyBorder="0" applyAlignment="0" applyProtection="0"/>
    <xf numFmtId="0" fontId="27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10">
    <xf numFmtId="0" fontId="0" fillId="0" borderId="0" xfId="0"/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7" fontId="0" fillId="0" borderId="0" xfId="0" applyNumberFormat="1"/>
    <xf numFmtId="164" fontId="0" fillId="0" borderId="0" xfId="0" applyNumberFormat="1"/>
    <xf numFmtId="166" fontId="7" fillId="0" borderId="0" xfId="1" applyNumberFormat="1" applyFont="1" applyFill="1"/>
    <xf numFmtId="1" fontId="8" fillId="0" borderId="0" xfId="1" applyNumberFormat="1" applyFont="1"/>
    <xf numFmtId="166" fontId="0" fillId="0" borderId="0" xfId="0" applyNumberFormat="1"/>
    <xf numFmtId="166" fontId="0" fillId="0" borderId="0" xfId="1" applyNumberFormat="1" applyFont="1"/>
    <xf numFmtId="1" fontId="0" fillId="0" borderId="0" xfId="0" applyNumberFormat="1"/>
    <xf numFmtId="1" fontId="8" fillId="0" borderId="0" xfId="1" applyNumberFormat="1" applyFont="1" applyFill="1"/>
    <xf numFmtId="1" fontId="0" fillId="0" borderId="0" xfId="1" applyNumberFormat="1" applyFont="1"/>
    <xf numFmtId="1" fontId="0" fillId="0" borderId="0" xfId="0" applyNumberFormat="1" applyFill="1"/>
    <xf numFmtId="166" fontId="0" fillId="0" borderId="0" xfId="0" applyNumberFormat="1" applyFill="1"/>
    <xf numFmtId="164" fontId="0" fillId="0" borderId="0" xfId="1" applyNumberFormat="1" applyFont="1"/>
    <xf numFmtId="0" fontId="6" fillId="0" borderId="0" xfId="0" applyFont="1"/>
    <xf numFmtId="3" fontId="0" fillId="0" borderId="0" xfId="0" applyNumberFormat="1"/>
    <xf numFmtId="167" fontId="0" fillId="0" borderId="0" xfId="4" applyNumberFormat="1" applyFont="1"/>
    <xf numFmtId="0" fontId="0" fillId="0" borderId="0" xfId="0" applyAlignment="1">
      <alignment horizontal="right"/>
    </xf>
    <xf numFmtId="0" fontId="9" fillId="0" borderId="0" xfId="0" applyFont="1"/>
    <xf numFmtId="3" fontId="9" fillId="0" borderId="0" xfId="0" applyNumberFormat="1" applyFont="1"/>
    <xf numFmtId="0" fontId="10" fillId="0" borderId="0" xfId="0" applyFont="1" applyAlignment="1">
      <alignment horizontal="right"/>
    </xf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167" fontId="13" fillId="0" borderId="0" xfId="4" applyNumberFormat="1" applyFont="1"/>
    <xf numFmtId="167" fontId="9" fillId="0" borderId="0" xfId="4" applyNumberFormat="1" applyFont="1"/>
    <xf numFmtId="0" fontId="1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3" fontId="14" fillId="0" borderId="0" xfId="0" applyNumberFormat="1" applyFont="1"/>
    <xf numFmtId="167" fontId="14" fillId="0" borderId="0" xfId="4" applyNumberFormat="1" applyFont="1"/>
    <xf numFmtId="0" fontId="15" fillId="0" borderId="0" xfId="0" applyFont="1" applyAlignment="1">
      <alignment horizontal="right"/>
    </xf>
    <xf numFmtId="3" fontId="15" fillId="0" borderId="0" xfId="0" applyNumberFormat="1" applyFont="1"/>
    <xf numFmtId="167" fontId="15" fillId="0" borderId="0" xfId="4" applyNumberFormat="1" applyFont="1"/>
    <xf numFmtId="3" fontId="1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0" fillId="2" borderId="0" xfId="0" applyFill="1"/>
    <xf numFmtId="0" fontId="8" fillId="0" borderId="0" xfId="0" applyFont="1"/>
    <xf numFmtId="3" fontId="8" fillId="0" borderId="0" xfId="0" applyNumberFormat="1" applyFont="1"/>
    <xf numFmtId="167" fontId="16" fillId="0" borderId="0" xfId="3" applyNumberFormat="1" applyFont="1" applyAlignment="1">
      <alignment horizontal="right"/>
    </xf>
    <xf numFmtId="0" fontId="8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/>
    </xf>
    <xf numFmtId="0" fontId="8" fillId="3" borderId="0" xfId="0" applyFont="1" applyFill="1"/>
    <xf numFmtId="3" fontId="8" fillId="3" borderId="0" xfId="0" applyNumberFormat="1" applyFont="1" applyFill="1"/>
    <xf numFmtId="167" fontId="16" fillId="3" borderId="0" xfId="3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3" fontId="16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3" fontId="8" fillId="2" borderId="0" xfId="0" applyNumberFormat="1" applyFont="1" applyFill="1"/>
    <xf numFmtId="0" fontId="18" fillId="0" borderId="0" xfId="0" applyFont="1" applyAlignment="1">
      <alignment horizontal="center"/>
    </xf>
    <xf numFmtId="0" fontId="16" fillId="0" borderId="0" xfId="0" applyFont="1" applyFill="1" applyAlignment="1">
      <alignment horizontal="right"/>
    </xf>
    <xf numFmtId="167" fontId="16" fillId="0" borderId="0" xfId="3" applyNumberFormat="1" applyFont="1" applyFill="1" applyAlignment="1">
      <alignment horizontal="right"/>
    </xf>
    <xf numFmtId="0" fontId="20" fillId="0" borderId="0" xfId="0" applyFont="1" applyFill="1" applyAlignment="1"/>
    <xf numFmtId="0" fontId="8" fillId="0" borderId="0" xfId="0" applyFont="1" applyFill="1" applyAlignment="1">
      <alignment horizontal="right"/>
    </xf>
    <xf numFmtId="0" fontId="8" fillId="0" borderId="0" xfId="0" applyFont="1" applyFill="1"/>
    <xf numFmtId="3" fontId="8" fillId="0" borderId="0" xfId="0" applyNumberFormat="1" applyFont="1" applyFill="1"/>
    <xf numFmtId="0" fontId="23" fillId="0" borderId="0" xfId="0" applyFont="1" applyFill="1"/>
    <xf numFmtId="3" fontId="23" fillId="0" borderId="0" xfId="0" applyNumberFormat="1" applyFont="1" applyFill="1"/>
    <xf numFmtId="3" fontId="8" fillId="0" borderId="0" xfId="3" applyNumberFormat="1" applyFont="1" applyFill="1" applyAlignment="1">
      <alignment horizontal="right"/>
    </xf>
    <xf numFmtId="167" fontId="24" fillId="0" borderId="0" xfId="3" applyNumberFormat="1" applyFont="1" applyFill="1" applyAlignment="1">
      <alignment horizontal="right"/>
    </xf>
    <xf numFmtId="3" fontId="23" fillId="0" borderId="0" xfId="3" applyNumberFormat="1" applyFont="1" applyFill="1" applyAlignment="1">
      <alignment horizontal="right"/>
    </xf>
    <xf numFmtId="0" fontId="8" fillId="4" borderId="0" xfId="0" applyFont="1" applyFill="1" applyAlignment="1">
      <alignment horizontal="right"/>
    </xf>
    <xf numFmtId="3" fontId="8" fillId="4" borderId="0" xfId="0" applyNumberFormat="1" applyFont="1" applyFill="1"/>
    <xf numFmtId="0" fontId="8" fillId="4" borderId="0" xfId="0" applyFont="1" applyFill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8" fillId="5" borderId="0" xfId="0" applyFont="1" applyFill="1" applyAlignment="1">
      <alignment horizontal="right"/>
    </xf>
    <xf numFmtId="0" fontId="16" fillId="5" borderId="0" xfId="0" applyFont="1" applyFill="1" applyAlignment="1">
      <alignment horizontal="right"/>
    </xf>
    <xf numFmtId="3" fontId="8" fillId="5" borderId="0" xfId="0" applyNumberFormat="1" applyFont="1" applyFill="1"/>
    <xf numFmtId="167" fontId="16" fillId="5" borderId="0" xfId="3" applyNumberFormat="1" applyFont="1" applyFill="1" applyAlignment="1">
      <alignment horizontal="right"/>
    </xf>
    <xf numFmtId="3" fontId="23" fillId="5" borderId="0" xfId="0" applyNumberFormat="1" applyFont="1" applyFill="1"/>
    <xf numFmtId="167" fontId="24" fillId="5" borderId="0" xfId="3" applyNumberFormat="1" applyFont="1" applyFill="1" applyAlignment="1">
      <alignment horizontal="right"/>
    </xf>
    <xf numFmtId="3" fontId="8" fillId="3" borderId="0" xfId="3" applyNumberFormat="1" applyFont="1" applyFill="1" applyAlignment="1">
      <alignment horizontal="right"/>
    </xf>
    <xf numFmtId="3" fontId="16" fillId="3" borderId="0" xfId="3" applyNumberFormat="1" applyFont="1" applyFill="1" applyAlignment="1">
      <alignment horizontal="right"/>
    </xf>
    <xf numFmtId="3" fontId="23" fillId="0" borderId="0" xfId="0" applyNumberFormat="1" applyFont="1"/>
    <xf numFmtId="0" fontId="27" fillId="0" borderId="0" xfId="2"/>
    <xf numFmtId="0" fontId="27" fillId="0" borderId="0" xfId="2" applyAlignment="1">
      <alignment horizontal="center"/>
    </xf>
    <xf numFmtId="166" fontId="27" fillId="0" borderId="0" xfId="1" applyNumberFormat="1" applyFont="1"/>
    <xf numFmtId="3" fontId="23" fillId="6" borderId="0" xfId="0" applyNumberFormat="1" applyFont="1" applyFill="1"/>
    <xf numFmtId="0" fontId="28" fillId="0" borderId="0" xfId="2" applyFont="1"/>
    <xf numFmtId="0" fontId="28" fillId="0" borderId="0" xfId="2" applyFont="1" applyAlignment="1">
      <alignment horizontal="right"/>
    </xf>
    <xf numFmtId="0" fontId="28" fillId="0" borderId="0" xfId="2" applyFont="1" applyAlignment="1">
      <alignment horizontal="center"/>
    </xf>
    <xf numFmtId="166" fontId="28" fillId="0" borderId="0" xfId="2" applyNumberFormat="1" applyFont="1"/>
    <xf numFmtId="9" fontId="28" fillId="0" borderId="0" xfId="2" applyNumberFormat="1" applyFont="1" applyAlignment="1">
      <alignment horizontal="center"/>
    </xf>
    <xf numFmtId="168" fontId="28" fillId="0" borderId="0" xfId="2" applyNumberFormat="1" applyFont="1"/>
    <xf numFmtId="1" fontId="0" fillId="7" borderId="0" xfId="0" applyNumberFormat="1" applyFill="1"/>
    <xf numFmtId="164" fontId="6" fillId="6" borderId="0" xfId="1" applyNumberFormat="1" applyFont="1" applyFill="1"/>
    <xf numFmtId="164" fontId="0" fillId="6" borderId="0" xfId="0" applyNumberFormat="1" applyFill="1"/>
    <xf numFmtId="167" fontId="29" fillId="0" borderId="0" xfId="4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right"/>
    </xf>
    <xf numFmtId="0" fontId="30" fillId="0" borderId="0" xfId="0" applyFont="1"/>
    <xf numFmtId="2" fontId="0" fillId="0" borderId="0" xfId="0" applyNumberFormat="1"/>
    <xf numFmtId="0" fontId="0" fillId="0" borderId="0" xfId="0" applyFill="1"/>
    <xf numFmtId="14" fontId="0" fillId="0" borderId="0" xfId="0" applyNumberFormat="1"/>
    <xf numFmtId="11" fontId="0" fillId="0" borderId="0" xfId="0" applyNumberFormat="1"/>
    <xf numFmtId="167" fontId="0" fillId="0" borderId="0" xfId="3" applyNumberFormat="1" applyFont="1"/>
    <xf numFmtId="0" fontId="0" fillId="0" borderId="0" xfId="0" applyNumberFormat="1"/>
    <xf numFmtId="167" fontId="0" fillId="0" borderId="0" xfId="0" applyNumberFormat="1"/>
    <xf numFmtId="0" fontId="8" fillId="0" borderId="0" xfId="5"/>
    <xf numFmtId="10" fontId="8" fillId="0" borderId="0" xfId="5" applyNumberFormat="1"/>
    <xf numFmtId="166" fontId="8" fillId="0" borderId="0" xfId="1" applyNumberFormat="1" applyFont="1"/>
    <xf numFmtId="167" fontId="8" fillId="0" borderId="0" xfId="3" applyNumberFormat="1" applyFont="1"/>
    <xf numFmtId="166" fontId="8" fillId="0" borderId="0" xfId="0" applyNumberFormat="1" applyFont="1"/>
    <xf numFmtId="167" fontId="8" fillId="0" borderId="0" xfId="0" applyNumberFormat="1" applyFont="1"/>
    <xf numFmtId="10" fontId="8" fillId="0" borderId="0" xfId="3" applyNumberFormat="1" applyFont="1"/>
    <xf numFmtId="164" fontId="8" fillId="0" borderId="0" xfId="0" applyNumberFormat="1" applyFont="1"/>
    <xf numFmtId="0" fontId="8" fillId="0" borderId="0" xfId="5" applyFont="1"/>
    <xf numFmtId="0" fontId="8" fillId="0" borderId="0" xfId="5" applyFont="1" applyAlignment="1">
      <alignment horizontal="right"/>
    </xf>
    <xf numFmtId="3" fontId="8" fillId="0" borderId="0" xfId="5" applyNumberFormat="1" applyFont="1"/>
    <xf numFmtId="167" fontId="8" fillId="0" borderId="0" xfId="6" applyNumberFormat="1" applyFont="1"/>
    <xf numFmtId="10" fontId="8" fillId="0" borderId="0" xfId="6" applyNumberFormat="1" applyFont="1"/>
    <xf numFmtId="167" fontId="8" fillId="0" borderId="0" xfId="5" applyNumberFormat="1" applyFont="1"/>
    <xf numFmtId="0" fontId="8" fillId="0" borderId="0" xfId="5" applyFont="1" applyFill="1"/>
    <xf numFmtId="0" fontId="32" fillId="0" borderId="0" xfId="5" applyFont="1"/>
    <xf numFmtId="3" fontId="32" fillId="0" borderId="0" xfId="5" applyNumberFormat="1" applyFont="1"/>
    <xf numFmtId="167" fontId="32" fillId="0" borderId="0" xfId="6" applyNumberFormat="1" applyFont="1"/>
    <xf numFmtId="10" fontId="32" fillId="0" borderId="0" xfId="6" applyNumberFormat="1" applyFont="1"/>
    <xf numFmtId="0" fontId="8" fillId="0" borderId="0" xfId="5" applyFont="1" applyAlignment="1">
      <alignment horizontal="center" wrapText="1"/>
    </xf>
    <xf numFmtId="0" fontId="17" fillId="0" borderId="0" xfId="5" applyFont="1"/>
    <xf numFmtId="0" fontId="8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164" fontId="8" fillId="0" borderId="0" xfId="7" applyNumberFormat="1" applyFont="1"/>
    <xf numFmtId="164" fontId="17" fillId="0" borderId="0" xfId="7" applyNumberFormat="1" applyFont="1" applyAlignment="1">
      <alignment horizontal="center"/>
    </xf>
    <xf numFmtId="164" fontId="32" fillId="0" borderId="0" xfId="7" applyNumberFormat="1" applyFont="1"/>
    <xf numFmtId="0" fontId="4" fillId="0" borderId="0" xfId="8"/>
    <xf numFmtId="0" fontId="4" fillId="7" borderId="0" xfId="8" applyFill="1" applyAlignment="1">
      <alignment horizontal="center"/>
    </xf>
    <xf numFmtId="0" fontId="4" fillId="0" borderId="0" xfId="8" applyAlignment="1">
      <alignment horizontal="center" wrapText="1"/>
    </xf>
    <xf numFmtId="0" fontId="4" fillId="0" borderId="0" xfId="8" applyFont="1" applyAlignment="1">
      <alignment horizontal="center" wrapText="1"/>
    </xf>
    <xf numFmtId="0" fontId="4" fillId="0" borderId="0" xfId="8" applyAlignment="1">
      <alignment horizontal="center"/>
    </xf>
    <xf numFmtId="0" fontId="4" fillId="0" borderId="0" xfId="8" applyAlignment="1">
      <alignment horizontal="right"/>
    </xf>
    <xf numFmtId="164" fontId="0" fillId="6" borderId="0" xfId="9" applyNumberFormat="1" applyFont="1" applyFill="1"/>
    <xf numFmtId="164" fontId="4" fillId="7" borderId="0" xfId="8" applyNumberFormat="1" applyFill="1"/>
    <xf numFmtId="164" fontId="4" fillId="0" borderId="0" xfId="8" applyNumberFormat="1"/>
    <xf numFmtId="164" fontId="0" fillId="0" borderId="0" xfId="9" applyNumberFormat="1" applyFont="1"/>
    <xf numFmtId="43" fontId="0" fillId="0" borderId="2" xfId="9" applyNumberFormat="1" applyFont="1" applyBorder="1"/>
    <xf numFmtId="164" fontId="0" fillId="0" borderId="2" xfId="9" applyNumberFormat="1" applyFont="1" applyBorder="1"/>
    <xf numFmtId="164" fontId="0" fillId="7" borderId="2" xfId="9" applyNumberFormat="1" applyFont="1" applyFill="1" applyBorder="1"/>
    <xf numFmtId="0" fontId="31" fillId="0" borderId="0" xfId="8" applyFont="1"/>
    <xf numFmtId="0" fontId="33" fillId="0" borderId="0" xfId="5" applyFont="1"/>
    <xf numFmtId="0" fontId="17" fillId="9" borderId="3" xfId="5" applyFont="1" applyFill="1" applyBorder="1"/>
    <xf numFmtId="0" fontId="17" fillId="9" borderId="4" xfId="5" applyFont="1" applyFill="1" applyBorder="1" applyAlignment="1">
      <alignment vertical="center"/>
    </xf>
    <xf numFmtId="0" fontId="17" fillId="9" borderId="5" xfId="5" applyFont="1" applyFill="1" applyBorder="1" applyAlignment="1">
      <alignment vertical="center"/>
    </xf>
    <xf numFmtId="0" fontId="17" fillId="0" borderId="6" xfId="5" applyFont="1" applyBorder="1" applyAlignment="1">
      <alignment horizontal="center"/>
    </xf>
    <xf numFmtId="3" fontId="8" fillId="0" borderId="0" xfId="5" applyNumberFormat="1" applyBorder="1"/>
    <xf numFmtId="3" fontId="8" fillId="0" borderId="7" xfId="5" applyNumberFormat="1" applyBorder="1"/>
    <xf numFmtId="0" fontId="17" fillId="0" borderId="8" xfId="5" applyFont="1" applyBorder="1" applyAlignment="1">
      <alignment horizontal="center"/>
    </xf>
    <xf numFmtId="0" fontId="17" fillId="9" borderId="9" xfId="5" applyFont="1" applyFill="1" applyBorder="1" applyAlignment="1">
      <alignment horizontal="center"/>
    </xf>
    <xf numFmtId="3" fontId="8" fillId="9" borderId="10" xfId="5" applyNumberFormat="1" applyFill="1" applyBorder="1"/>
    <xf numFmtId="3" fontId="8" fillId="9" borderId="11" xfId="5" applyNumberFormat="1" applyFill="1" applyBorder="1"/>
    <xf numFmtId="0" fontId="17" fillId="9" borderId="4" xfId="5" applyFont="1" applyFill="1" applyBorder="1" applyAlignment="1">
      <alignment horizontal="center" vertical="center" wrapText="1"/>
    </xf>
    <xf numFmtId="0" fontId="17" fillId="9" borderId="5" xfId="5" applyFont="1" applyFill="1" applyBorder="1" applyAlignment="1">
      <alignment horizontal="center" vertical="center" wrapText="1"/>
    </xf>
    <xf numFmtId="3" fontId="8" fillId="0" borderId="0" xfId="5" applyNumberFormat="1"/>
    <xf numFmtId="167" fontId="32" fillId="0" borderId="0" xfId="3" applyNumberFormat="1" applyFont="1"/>
    <xf numFmtId="0" fontId="8" fillId="0" borderId="0" xfId="5" applyFont="1" applyAlignment="1">
      <alignment horizontal="center" wrapText="1"/>
    </xf>
    <xf numFmtId="0" fontId="8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3" fillId="0" borderId="0" xfId="11"/>
    <xf numFmtId="0" fontId="3" fillId="6" borderId="0" xfId="11" applyFill="1"/>
    <xf numFmtId="0" fontId="3" fillId="8" borderId="0" xfId="11" applyFill="1"/>
    <xf numFmtId="0" fontId="3" fillId="0" borderId="12" xfId="11" applyBorder="1"/>
    <xf numFmtId="0" fontId="3" fillId="10" borderId="12" xfId="11" applyFill="1" applyBorder="1"/>
    <xf numFmtId="0" fontId="3" fillId="10" borderId="0" xfId="11" applyFill="1"/>
    <xf numFmtId="0" fontId="3" fillId="0" borderId="0" xfId="11" applyBorder="1"/>
    <xf numFmtId="0" fontId="3" fillId="11" borderId="0" xfId="11" applyFill="1"/>
    <xf numFmtId="164" fontId="3" fillId="0" borderId="0" xfId="12" applyNumberFormat="1" applyFont="1"/>
    <xf numFmtId="164" fontId="3" fillId="0" borderId="0" xfId="11" applyNumberFormat="1"/>
    <xf numFmtId="164" fontId="3" fillId="0" borderId="12" xfId="12" applyNumberFormat="1" applyFont="1" applyBorder="1"/>
    <xf numFmtId="164" fontId="3" fillId="0" borderId="12" xfId="12" applyNumberFormat="1" applyFont="1" applyFill="1" applyBorder="1"/>
    <xf numFmtId="164" fontId="3" fillId="8" borderId="12" xfId="12" applyNumberFormat="1" applyFont="1" applyFill="1" applyBorder="1"/>
    <xf numFmtId="164" fontId="3" fillId="11" borderId="12" xfId="12" applyNumberFormat="1" applyFont="1" applyFill="1" applyBorder="1"/>
    <xf numFmtId="164" fontId="3" fillId="6" borderId="12" xfId="12" applyNumberFormat="1" applyFont="1" applyFill="1" applyBorder="1"/>
    <xf numFmtId="164" fontId="3" fillId="0" borderId="13" xfId="12" applyNumberFormat="1" applyFont="1" applyBorder="1"/>
    <xf numFmtId="0" fontId="31" fillId="0" borderId="1" xfId="11" applyFont="1" applyBorder="1"/>
    <xf numFmtId="0" fontId="31" fillId="0" borderId="0" xfId="11" applyFont="1"/>
    <xf numFmtId="0" fontId="3" fillId="0" borderId="0" xfId="8" applyFont="1" applyAlignment="1">
      <alignment horizontal="center" wrapText="1"/>
    </xf>
    <xf numFmtId="0" fontId="3" fillId="0" borderId="0" xfId="8" applyFont="1"/>
    <xf numFmtId="0" fontId="3" fillId="0" borderId="0" xfId="8" applyFont="1" applyAlignment="1">
      <alignment horizontal="center"/>
    </xf>
    <xf numFmtId="0" fontId="2" fillId="0" borderId="0" xfId="8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5" applyFont="1" applyAlignment="1">
      <alignment horizontal="center" wrapText="1"/>
    </xf>
    <xf numFmtId="0" fontId="8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/>
    <xf numFmtId="0" fontId="0" fillId="0" borderId="0" xfId="0" applyFill="1" applyAlignment="1"/>
    <xf numFmtId="0" fontId="19" fillId="3" borderId="0" xfId="0" applyFont="1" applyFill="1" applyAlignment="1">
      <alignment horizontal="center"/>
    </xf>
    <xf numFmtId="0" fontId="0" fillId="3" borderId="0" xfId="0" applyFill="1" applyAlignment="1"/>
    <xf numFmtId="0" fontId="8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8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/>
    <xf numFmtId="0" fontId="20" fillId="3" borderId="0" xfId="0" applyFont="1" applyFill="1" applyAlignment="1"/>
    <xf numFmtId="0" fontId="27" fillId="0" borderId="0" xfId="2" applyAlignment="1">
      <alignment horizontal="center"/>
    </xf>
    <xf numFmtId="0" fontId="1" fillId="0" borderId="0" xfId="8" applyFont="1" applyAlignment="1">
      <alignment horizontal="center" wrapText="1"/>
    </xf>
  </cellXfs>
  <cellStyles count="13">
    <cellStyle name="Comma" xfId="1" builtinId="3"/>
    <cellStyle name="Comma 2" xfId="12"/>
    <cellStyle name="Comma 5" xfId="7"/>
    <cellStyle name="Comma 6" xfId="9"/>
    <cellStyle name="Normal" xfId="0" builtinId="0"/>
    <cellStyle name="Normal 2" xfId="11"/>
    <cellStyle name="Normal 2 2" xfId="5"/>
    <cellStyle name="Normal 7" xfId="8"/>
    <cellStyle name="Normal_Xl0000000" xfId="2"/>
    <cellStyle name="Percent" xfId="3" builtinId="5"/>
    <cellStyle name="Percent 2" xfId="4"/>
    <cellStyle name="Percent 5" xfId="6"/>
    <cellStyle name="Percent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'Wholesale Predicted Monthly'!$C$1</c:f>
              <c:strCache>
                <c:ptCount val="1"/>
                <c:pt idx="0">
                  <c:v>WholesalekWh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'Wholesale Predicted Monthly'!$A$2:$A$101</c:f>
              <c:numCache>
                <c:formatCode>m/d/yyyy</c:formatCode>
                <c:ptCount val="1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</c:numCache>
            </c:numRef>
          </c:cat>
          <c:val>
            <c:numRef>
              <c:f>'Wholesale Predicted Monthly'!$C$2:$C$101</c:f>
              <c:numCache>
                <c:formatCode>_(* #,##0_);_(* \(#,##0\);_(* "-"??_);_(@_)</c:formatCode>
                <c:ptCount val="100"/>
                <c:pt idx="0">
                  <c:v>55427768</c:v>
                </c:pt>
                <c:pt idx="1">
                  <c:v>47267492.5</c:v>
                </c:pt>
                <c:pt idx="2">
                  <c:v>47464794.200000003</c:v>
                </c:pt>
                <c:pt idx="3">
                  <c:v>42184392.299999997</c:v>
                </c:pt>
                <c:pt idx="4">
                  <c:v>40052922.200000003</c:v>
                </c:pt>
                <c:pt idx="5">
                  <c:v>41781955.399999999</c:v>
                </c:pt>
                <c:pt idx="6">
                  <c:v>45791702.700000003</c:v>
                </c:pt>
                <c:pt idx="7">
                  <c:v>50621404.299999997</c:v>
                </c:pt>
                <c:pt idx="8">
                  <c:v>42351764.200000003</c:v>
                </c:pt>
                <c:pt idx="9">
                  <c:v>42902013.399999999</c:v>
                </c:pt>
                <c:pt idx="10">
                  <c:v>42262625.200000003</c:v>
                </c:pt>
                <c:pt idx="11">
                  <c:v>49546329.600000001</c:v>
                </c:pt>
                <c:pt idx="12">
                  <c:v>51090364.299999997</c:v>
                </c:pt>
                <c:pt idx="13">
                  <c:v>46540089.599999994</c:v>
                </c:pt>
                <c:pt idx="14">
                  <c:v>46977747.5</c:v>
                </c:pt>
                <c:pt idx="15">
                  <c:v>39694110.600000001</c:v>
                </c:pt>
                <c:pt idx="16">
                  <c:v>42117970.700000003</c:v>
                </c:pt>
                <c:pt idx="17">
                  <c:v>45921610.299999997</c:v>
                </c:pt>
                <c:pt idx="18">
                  <c:v>55531120.200000003</c:v>
                </c:pt>
                <c:pt idx="19">
                  <c:v>54409471.399999999</c:v>
                </c:pt>
                <c:pt idx="20">
                  <c:v>43721214.200000003</c:v>
                </c:pt>
                <c:pt idx="21">
                  <c:v>42849260.199999996</c:v>
                </c:pt>
                <c:pt idx="22">
                  <c:v>43470906.5</c:v>
                </c:pt>
                <c:pt idx="23">
                  <c:v>49680403.900000006</c:v>
                </c:pt>
                <c:pt idx="24">
                  <c:v>52303781.079999998</c:v>
                </c:pt>
                <c:pt idx="25">
                  <c:v>47592238.090000004</c:v>
                </c:pt>
                <c:pt idx="26">
                  <c:v>49786411.509999998</c:v>
                </c:pt>
                <c:pt idx="27">
                  <c:v>43724823.849999994</c:v>
                </c:pt>
                <c:pt idx="28">
                  <c:v>42930546.329999998</c:v>
                </c:pt>
                <c:pt idx="29">
                  <c:v>45240261.659999996</c:v>
                </c:pt>
                <c:pt idx="30">
                  <c:v>56133024.959999993</c:v>
                </c:pt>
                <c:pt idx="31">
                  <c:v>52792264.950000003</c:v>
                </c:pt>
                <c:pt idx="32">
                  <c:v>45672904.43</c:v>
                </c:pt>
                <c:pt idx="33">
                  <c:v>43177328.170000002</c:v>
                </c:pt>
                <c:pt idx="34">
                  <c:v>42120131.339999996</c:v>
                </c:pt>
                <c:pt idx="35">
                  <c:v>45929710.689999998</c:v>
                </c:pt>
                <c:pt idx="36">
                  <c:v>49800957.219999999</c:v>
                </c:pt>
                <c:pt idx="37">
                  <c:v>46640086</c:v>
                </c:pt>
                <c:pt idx="38">
                  <c:v>45723583</c:v>
                </c:pt>
                <c:pt idx="39">
                  <c:v>42394150</c:v>
                </c:pt>
                <c:pt idx="40">
                  <c:v>44171430</c:v>
                </c:pt>
                <c:pt idx="41">
                  <c:v>47092604</c:v>
                </c:pt>
                <c:pt idx="42">
                  <c:v>56616415</c:v>
                </c:pt>
                <c:pt idx="43">
                  <c:v>53263093</c:v>
                </c:pt>
                <c:pt idx="44">
                  <c:v>44675834</c:v>
                </c:pt>
                <c:pt idx="45">
                  <c:v>43204216</c:v>
                </c:pt>
                <c:pt idx="46">
                  <c:v>44348259</c:v>
                </c:pt>
                <c:pt idx="47">
                  <c:v>45553984</c:v>
                </c:pt>
                <c:pt idx="48">
                  <c:v>50854515</c:v>
                </c:pt>
                <c:pt idx="49">
                  <c:v>45891597</c:v>
                </c:pt>
                <c:pt idx="50">
                  <c:v>45408057</c:v>
                </c:pt>
                <c:pt idx="51">
                  <c:v>40508543</c:v>
                </c:pt>
                <c:pt idx="52">
                  <c:v>40367333</c:v>
                </c:pt>
                <c:pt idx="53">
                  <c:v>41861470</c:v>
                </c:pt>
                <c:pt idx="54">
                  <c:v>51710808</c:v>
                </c:pt>
                <c:pt idx="55">
                  <c:v>47450772</c:v>
                </c:pt>
                <c:pt idx="56">
                  <c:v>40219618</c:v>
                </c:pt>
                <c:pt idx="57">
                  <c:v>40606721</c:v>
                </c:pt>
                <c:pt idx="58">
                  <c:v>41920037</c:v>
                </c:pt>
                <c:pt idx="59">
                  <c:v>46416069</c:v>
                </c:pt>
                <c:pt idx="60">
                  <c:v>52863793</c:v>
                </c:pt>
                <c:pt idx="61">
                  <c:v>46902074</c:v>
                </c:pt>
                <c:pt idx="62">
                  <c:v>49147287</c:v>
                </c:pt>
                <c:pt idx="63">
                  <c:v>41905954</c:v>
                </c:pt>
                <c:pt idx="64">
                  <c:v>40009171</c:v>
                </c:pt>
                <c:pt idx="65">
                  <c:v>45060086</c:v>
                </c:pt>
                <c:pt idx="66">
                  <c:v>46747535</c:v>
                </c:pt>
                <c:pt idx="67">
                  <c:v>44915574</c:v>
                </c:pt>
                <c:pt idx="68">
                  <c:v>39557944</c:v>
                </c:pt>
                <c:pt idx="69">
                  <c:v>39850442</c:v>
                </c:pt>
                <c:pt idx="70">
                  <c:v>43491698</c:v>
                </c:pt>
                <c:pt idx="71">
                  <c:v>44870993</c:v>
                </c:pt>
                <c:pt idx="72">
                  <c:v>50100445</c:v>
                </c:pt>
                <c:pt idx="73">
                  <c:v>46271067</c:v>
                </c:pt>
                <c:pt idx="74">
                  <c:v>44501238</c:v>
                </c:pt>
                <c:pt idx="75">
                  <c:v>37785792</c:v>
                </c:pt>
                <c:pt idx="76">
                  <c:v>36307058</c:v>
                </c:pt>
                <c:pt idx="77">
                  <c:v>37811948</c:v>
                </c:pt>
                <c:pt idx="78">
                  <c:v>44310484</c:v>
                </c:pt>
                <c:pt idx="79">
                  <c:v>43495493</c:v>
                </c:pt>
                <c:pt idx="80">
                  <c:v>41484818</c:v>
                </c:pt>
                <c:pt idx="81">
                  <c:v>38178098</c:v>
                </c:pt>
                <c:pt idx="82">
                  <c:v>36946837</c:v>
                </c:pt>
                <c:pt idx="83">
                  <c:v>39604094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'Wholesale Predicted Monthly'!$AE$1</c:f>
              <c:strCache>
                <c:ptCount val="1"/>
                <c:pt idx="0">
                  <c:v>Predicted Value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'Wholesale Predicted Monthly'!$A$2:$A$101</c:f>
              <c:numCache>
                <c:formatCode>m/d/yyyy</c:formatCode>
                <c:ptCount val="1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</c:numCache>
            </c:numRef>
          </c:cat>
          <c:val>
            <c:numRef>
              <c:f>'Wholesale Predicted Monthly'!$AE$2:$AE$101</c:f>
              <c:numCache>
                <c:formatCode>_(* #,##0_);_(* \(#,##0\);_(* "-"??_);_(@_)</c:formatCode>
                <c:ptCount val="100"/>
                <c:pt idx="0">
                  <c:v>55535521.02642592</c:v>
                </c:pt>
                <c:pt idx="1">
                  <c:v>47466273.099210866</c:v>
                </c:pt>
                <c:pt idx="2">
                  <c:v>48309245.290535383</c:v>
                </c:pt>
                <c:pt idx="3">
                  <c:v>42443713.372893728</c:v>
                </c:pt>
                <c:pt idx="4">
                  <c:v>40175726.747616418</c:v>
                </c:pt>
                <c:pt idx="5">
                  <c:v>42426812.112780683</c:v>
                </c:pt>
                <c:pt idx="6">
                  <c:v>45094304.148488261</c:v>
                </c:pt>
                <c:pt idx="7">
                  <c:v>49519099.207713932</c:v>
                </c:pt>
                <c:pt idx="8">
                  <c:v>40982883.676429182</c:v>
                </c:pt>
                <c:pt idx="9">
                  <c:v>43281032.586090729</c:v>
                </c:pt>
                <c:pt idx="10">
                  <c:v>42468005.271928251</c:v>
                </c:pt>
                <c:pt idx="11">
                  <c:v>48195741.127424769</c:v>
                </c:pt>
                <c:pt idx="12">
                  <c:v>51481211.523368336</c:v>
                </c:pt>
                <c:pt idx="13">
                  <c:v>46673587.614727117</c:v>
                </c:pt>
                <c:pt idx="14">
                  <c:v>47153000.345619895</c:v>
                </c:pt>
                <c:pt idx="15">
                  <c:v>40913548.094548941</c:v>
                </c:pt>
                <c:pt idx="16">
                  <c:v>42279960.180087417</c:v>
                </c:pt>
                <c:pt idx="17">
                  <c:v>45492984.631949157</c:v>
                </c:pt>
                <c:pt idx="18">
                  <c:v>54296946.031213216</c:v>
                </c:pt>
                <c:pt idx="19">
                  <c:v>53974604.378621429</c:v>
                </c:pt>
                <c:pt idx="20">
                  <c:v>43942748.830092259</c:v>
                </c:pt>
                <c:pt idx="21">
                  <c:v>42797225.626218356</c:v>
                </c:pt>
                <c:pt idx="22">
                  <c:v>43781465.683126666</c:v>
                </c:pt>
                <c:pt idx="23">
                  <c:v>49735021.599109747</c:v>
                </c:pt>
                <c:pt idx="24">
                  <c:v>53672484.602267429</c:v>
                </c:pt>
                <c:pt idx="25">
                  <c:v>47834716.623739272</c:v>
                </c:pt>
                <c:pt idx="26">
                  <c:v>49713933.508738138</c:v>
                </c:pt>
                <c:pt idx="27">
                  <c:v>42671525.813116409</c:v>
                </c:pt>
                <c:pt idx="28">
                  <c:v>42444190.763378508</c:v>
                </c:pt>
                <c:pt idx="29">
                  <c:v>44831715.014404871</c:v>
                </c:pt>
                <c:pt idx="30">
                  <c:v>57618249.745427229</c:v>
                </c:pt>
                <c:pt idx="31">
                  <c:v>53607312.126671389</c:v>
                </c:pt>
                <c:pt idx="32">
                  <c:v>44538850.430283152</c:v>
                </c:pt>
                <c:pt idx="33">
                  <c:v>43126179.975636505</c:v>
                </c:pt>
                <c:pt idx="34">
                  <c:v>43163021.831118375</c:v>
                </c:pt>
                <c:pt idx="35">
                  <c:v>46961211.479690433</c:v>
                </c:pt>
                <c:pt idx="36">
                  <c:v>51035189.071214892</c:v>
                </c:pt>
                <c:pt idx="37">
                  <c:v>46310679.668111734</c:v>
                </c:pt>
                <c:pt idx="38">
                  <c:v>45295177.358087145</c:v>
                </c:pt>
                <c:pt idx="39">
                  <c:v>42731327.509568796</c:v>
                </c:pt>
                <c:pt idx="40">
                  <c:v>43351456.891972996</c:v>
                </c:pt>
                <c:pt idx="41">
                  <c:v>46318366.229248896</c:v>
                </c:pt>
                <c:pt idx="42">
                  <c:v>56971368.158971764</c:v>
                </c:pt>
                <c:pt idx="43">
                  <c:v>51914160.491266325</c:v>
                </c:pt>
                <c:pt idx="44">
                  <c:v>43046816.841593802</c:v>
                </c:pt>
                <c:pt idx="45">
                  <c:v>43681437.890106663</c:v>
                </c:pt>
                <c:pt idx="46">
                  <c:v>44817549.627860934</c:v>
                </c:pt>
                <c:pt idx="47">
                  <c:v>46469887.821296468</c:v>
                </c:pt>
                <c:pt idx="48">
                  <c:v>49954467.493589237</c:v>
                </c:pt>
                <c:pt idx="49">
                  <c:v>45848909.134887181</c:v>
                </c:pt>
                <c:pt idx="50">
                  <c:v>45636157.837707207</c:v>
                </c:pt>
                <c:pt idx="51">
                  <c:v>42132937.17949035</c:v>
                </c:pt>
                <c:pt idx="52">
                  <c:v>41517964.643531084</c:v>
                </c:pt>
                <c:pt idx="53">
                  <c:v>42668814.561496198</c:v>
                </c:pt>
                <c:pt idx="54">
                  <c:v>52340697.922298603</c:v>
                </c:pt>
                <c:pt idx="55">
                  <c:v>47748428.045396537</c:v>
                </c:pt>
                <c:pt idx="56">
                  <c:v>41335599.410486415</c:v>
                </c:pt>
                <c:pt idx="57">
                  <c:v>41659128.42763637</c:v>
                </c:pt>
                <c:pt idx="58">
                  <c:v>42558740.428543001</c:v>
                </c:pt>
                <c:pt idx="59">
                  <c:v>46445223.176677741</c:v>
                </c:pt>
                <c:pt idx="60">
                  <c:v>51508267.061882146</c:v>
                </c:pt>
                <c:pt idx="61">
                  <c:v>46239864.985037096</c:v>
                </c:pt>
                <c:pt idx="62">
                  <c:v>47547672.703434721</c:v>
                </c:pt>
                <c:pt idx="63">
                  <c:v>40067822.663200706</c:v>
                </c:pt>
                <c:pt idx="64">
                  <c:v>39172386.505692214</c:v>
                </c:pt>
                <c:pt idx="65">
                  <c:v>43481887.641036317</c:v>
                </c:pt>
                <c:pt idx="66">
                  <c:v>44627132.22193978</c:v>
                </c:pt>
                <c:pt idx="67">
                  <c:v>45696433.027407661</c:v>
                </c:pt>
                <c:pt idx="68">
                  <c:v>40175021.910669714</c:v>
                </c:pt>
                <c:pt idx="69">
                  <c:v>40409334.63870585</c:v>
                </c:pt>
                <c:pt idx="70">
                  <c:v>40645852.788316973</c:v>
                </c:pt>
                <c:pt idx="71">
                  <c:v>43745401.007090293</c:v>
                </c:pt>
                <c:pt idx="72">
                  <c:v>49254482.82125131</c:v>
                </c:pt>
                <c:pt idx="73">
                  <c:v>46570060.817622744</c:v>
                </c:pt>
                <c:pt idx="74">
                  <c:v>45353931.165876754</c:v>
                </c:pt>
                <c:pt idx="75">
                  <c:v>38004096.70152919</c:v>
                </c:pt>
                <c:pt idx="76">
                  <c:v>38281815.520627931</c:v>
                </c:pt>
                <c:pt idx="77">
                  <c:v>38571251.433899671</c:v>
                </c:pt>
                <c:pt idx="78">
                  <c:v>45892391.631660096</c:v>
                </c:pt>
                <c:pt idx="79">
                  <c:v>44488035.37292172</c:v>
                </c:pt>
                <c:pt idx="80">
                  <c:v>40346994.824471019</c:v>
                </c:pt>
                <c:pt idx="81">
                  <c:v>38200823.131684974</c:v>
                </c:pt>
                <c:pt idx="82">
                  <c:v>37125858.409104973</c:v>
                </c:pt>
                <c:pt idx="83">
                  <c:v>40081575.753191255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755512"/>
        <c:axId val="327755120"/>
      </c:lineChart>
      <c:dateAx>
        <c:axId val="3277555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755120"/>
        <c:crosses val="autoZero"/>
        <c:auto val="1"/>
        <c:lblOffset val="100"/>
        <c:baseTimeUnit val="months"/>
      </c:dateAx>
      <c:valAx>
        <c:axId val="327755120"/>
        <c:scaling>
          <c:orientation val="minMax"/>
          <c:max val="60000000"/>
          <c:min val="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75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Annual Energy by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Summary'!$C$4:$C$10</c:f>
              <c:numCache>
                <c:formatCode>_(* #,##0_);_(* \(#,##0\);_(* "-"??_);_(@_)</c:formatCode>
                <c:ptCount val="7"/>
                <c:pt idx="0">
                  <c:v>547655163.99999988</c:v>
                </c:pt>
                <c:pt idx="1">
                  <c:v>562004269.39999998</c:v>
                </c:pt>
                <c:pt idx="2">
                  <c:v>567403427.05999994</c:v>
                </c:pt>
                <c:pt idx="3">
                  <c:v>563484611.22000003</c:v>
                </c:pt>
                <c:pt idx="4">
                  <c:v>533215540</c:v>
                </c:pt>
                <c:pt idx="5">
                  <c:v>535322551</c:v>
                </c:pt>
                <c:pt idx="6">
                  <c:v>496797372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'Model Annual Summary'!$G$3</c:f>
              <c:strCache>
                <c:ptCount val="1"/>
                <c:pt idx="0">
                  <c:v>ReskWh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Summary'!$G$4:$G$10</c:f>
              <c:numCache>
                <c:formatCode>_(* #,##0_);_(* \(#,##0\);_(* "-"??_);_(@_)</c:formatCode>
                <c:ptCount val="7"/>
                <c:pt idx="0">
                  <c:v>204220525</c:v>
                </c:pt>
                <c:pt idx="1">
                  <c:v>206940793</c:v>
                </c:pt>
                <c:pt idx="2">
                  <c:v>206782727.40000001</c:v>
                </c:pt>
                <c:pt idx="3">
                  <c:v>202637712</c:v>
                </c:pt>
                <c:pt idx="4">
                  <c:v>206257081</c:v>
                </c:pt>
                <c:pt idx="5">
                  <c:v>203019188</c:v>
                </c:pt>
                <c:pt idx="6">
                  <c:v>199982619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'Model Annual Summary'!$I$3</c:f>
              <c:strCache>
                <c:ptCount val="1"/>
                <c:pt idx="0">
                  <c:v>GSlt50kWh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Summary'!$I$4:$I$10</c:f>
              <c:numCache>
                <c:formatCode>_(* #,##0_);_(* \(#,##0\);_(* "-"??_);_(@_)</c:formatCode>
                <c:ptCount val="7"/>
                <c:pt idx="0">
                  <c:v>69599095</c:v>
                </c:pt>
                <c:pt idx="1">
                  <c:v>69974111.070000008</c:v>
                </c:pt>
                <c:pt idx="2">
                  <c:v>70933036.230000004</c:v>
                </c:pt>
                <c:pt idx="3">
                  <c:v>70882241.200000003</c:v>
                </c:pt>
                <c:pt idx="4">
                  <c:v>69535541</c:v>
                </c:pt>
                <c:pt idx="5">
                  <c:v>69999358</c:v>
                </c:pt>
                <c:pt idx="6">
                  <c:v>69530292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'Model Annual Summary'!$K$3</c:f>
              <c:strCache>
                <c:ptCount val="1"/>
                <c:pt idx="0">
                  <c:v>GSgt50kWh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Summary'!$K$4:$K$10</c:f>
              <c:numCache>
                <c:formatCode>_(* #,##0_);_(* \(#,##0\);_(* "-"??_);_(@_)</c:formatCode>
                <c:ptCount val="7"/>
                <c:pt idx="0">
                  <c:v>246386272.23074028</c:v>
                </c:pt>
                <c:pt idx="1">
                  <c:v>249400831.51381469</c:v>
                </c:pt>
                <c:pt idx="2">
                  <c:v>239678971.84486073</c:v>
                </c:pt>
                <c:pt idx="3">
                  <c:v>257514290.19887257</c:v>
                </c:pt>
                <c:pt idx="4">
                  <c:v>219499506</c:v>
                </c:pt>
                <c:pt idx="5">
                  <c:v>231604485</c:v>
                </c:pt>
                <c:pt idx="6">
                  <c:v>198759828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'Model Annual Summary'!$Q$3</c:f>
              <c:strCache>
                <c:ptCount val="1"/>
                <c:pt idx="0">
                  <c:v>Annual Error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Summary'!$Q$4:$Q$10</c:f>
              <c:numCache>
                <c:formatCode>0.0%</c:formatCode>
                <c:ptCount val="7"/>
                <c:pt idx="0">
                  <c:v>-1.4155987796353948E-2</c:v>
                </c:pt>
                <c:pt idx="1">
                  <c:v>8.0563472524579284E-4</c:v>
                </c:pt>
                <c:pt idx="2">
                  <c:v>2.4526848537104524E-2</c:v>
                </c:pt>
                <c:pt idx="3">
                  <c:v>-6.652960483056262E-3</c:v>
                </c:pt>
                <c:pt idx="4">
                  <c:v>6.9469168441167045E-3</c:v>
                </c:pt>
                <c:pt idx="5">
                  <c:v>-6.5411073552085978E-3</c:v>
                </c:pt>
                <c:pt idx="6">
                  <c:v>-6.1806871660829198E-3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756688"/>
        <c:axId val="327757080"/>
      </c:lineChart>
      <c:catAx>
        <c:axId val="32775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757080"/>
        <c:crosses val="autoZero"/>
        <c:auto val="1"/>
        <c:lblAlgn val="ctr"/>
        <c:lblOffset val="100"/>
        <c:noMultiLvlLbl val="0"/>
      </c:catAx>
      <c:valAx>
        <c:axId val="32775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75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'Normalized Annual Summary'!$C$4:$C$10</c:f>
              <c:numCache>
                <c:formatCode>#,##0</c:formatCode>
                <c:ptCount val="7"/>
                <c:pt idx="0">
                  <c:v>547655163.99999988</c:v>
                </c:pt>
                <c:pt idx="1">
                  <c:v>562004269.39999998</c:v>
                </c:pt>
                <c:pt idx="2">
                  <c:v>567403427.05999994</c:v>
                </c:pt>
                <c:pt idx="3">
                  <c:v>563484611.22000003</c:v>
                </c:pt>
                <c:pt idx="4">
                  <c:v>533215540</c:v>
                </c:pt>
                <c:pt idx="5">
                  <c:v>535322551</c:v>
                </c:pt>
                <c:pt idx="6">
                  <c:v>496797372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Summary'!$B$4:$B$12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'Normalized Annual Summary'!$E$4:$E$12</c:f>
              <c:numCache>
                <c:formatCode>#,##0</c:formatCode>
                <c:ptCount val="9"/>
                <c:pt idx="0">
                  <c:v>557721005.67375875</c:v>
                </c:pt>
                <c:pt idx="1">
                  <c:v>560293527.03088629</c:v>
                </c:pt>
                <c:pt idx="2">
                  <c:v>568523216.168015</c:v>
                </c:pt>
                <c:pt idx="3">
                  <c:v>565718094.23848128</c:v>
                </c:pt>
                <c:pt idx="4">
                  <c:v>541716989.6429081</c:v>
                </c:pt>
                <c:pt idx="5">
                  <c:v>525396322.65440834</c:v>
                </c:pt>
                <c:pt idx="6">
                  <c:v>504769313.0203529</c:v>
                </c:pt>
                <c:pt idx="7">
                  <c:v>499435115.02856046</c:v>
                </c:pt>
                <c:pt idx="8">
                  <c:v>503256721.50576848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63960"/>
        <c:axId val="329364352"/>
      </c:lineChart>
      <c:catAx>
        <c:axId val="32936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9364352"/>
        <c:crosses val="autoZero"/>
        <c:auto val="1"/>
        <c:lblAlgn val="ctr"/>
        <c:lblOffset val="100"/>
        <c:noMultiLvlLbl val="0"/>
      </c:catAx>
      <c:valAx>
        <c:axId val="329364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29363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601980</xdr:colOff>
      <xdr:row>5</xdr:row>
      <xdr:rowOff>106680</xdr:rowOff>
    </xdr:from>
    <xdr:to>
      <xdr:col>42</xdr:col>
      <xdr:colOff>594360</xdr:colOff>
      <xdr:row>34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12</xdr:row>
      <xdr:rowOff>22860</xdr:rowOff>
    </xdr:from>
    <xdr:to>
      <xdr:col>17</xdr:col>
      <xdr:colOff>228600</xdr:colOff>
      <xdr:row>40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14</xdr:row>
      <xdr:rowOff>0</xdr:rowOff>
    </xdr:from>
    <xdr:to>
      <xdr:col>9</xdr:col>
      <xdr:colOff>944880</xdr:colOff>
      <xdr:row>30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2" sqref="E12"/>
    </sheetView>
  </sheetViews>
  <sheetFormatPr defaultRowHeight="12.75" x14ac:dyDescent="0.2"/>
  <cols>
    <col min="1" max="1" width="7" bestFit="1" customWidth="1"/>
    <col min="2" max="2" width="5" bestFit="1" customWidth="1"/>
    <col min="3" max="3" width="14.1640625" style="8" bestFit="1" customWidth="1"/>
    <col min="4" max="7" width="14.1640625" style="8" customWidth="1"/>
    <col min="8" max="8" width="20.1640625" style="8" bestFit="1" customWidth="1"/>
    <col min="9" max="9" width="11.1640625" style="8" bestFit="1" customWidth="1"/>
    <col min="10" max="10" width="8.6640625" style="8" bestFit="1" customWidth="1"/>
    <col min="11" max="11" width="11.33203125" style="8" bestFit="1" customWidth="1"/>
    <col min="12" max="12" width="11.1640625" style="8" bestFit="1" customWidth="1"/>
    <col min="13" max="13" width="11.6640625" style="8" bestFit="1" customWidth="1"/>
    <col min="14" max="14" width="19.33203125" style="8" bestFit="1" customWidth="1"/>
    <col min="15" max="15" width="16" style="8" bestFit="1" customWidth="1"/>
    <col min="16" max="16" width="11.83203125" style="8" bestFit="1" customWidth="1"/>
    <col min="17" max="17" width="19.33203125" style="8" bestFit="1" customWidth="1"/>
    <col min="18" max="18" width="15.1640625" style="8" bestFit="1" customWidth="1"/>
    <col min="19" max="19" width="11.5" style="8" bestFit="1" customWidth="1"/>
    <col min="20" max="21" width="10.5" style="8" bestFit="1" customWidth="1"/>
    <col min="22" max="22" width="10.33203125" style="8" bestFit="1" customWidth="1"/>
    <col min="23" max="23" width="9.1640625" style="8" bestFit="1" customWidth="1"/>
    <col min="24" max="24" width="9.33203125" style="8" bestFit="1" customWidth="1"/>
    <col min="25" max="25" width="9.1640625" style="8" bestFit="1" customWidth="1"/>
    <col min="26" max="26" width="9.33203125" style="8" bestFit="1" customWidth="1"/>
    <col min="27" max="27" width="9.1640625" style="8" bestFit="1" customWidth="1"/>
    <col min="28" max="28" width="8.33203125" bestFit="1" customWidth="1"/>
    <col min="29" max="29" width="8.1640625" bestFit="1" customWidth="1"/>
    <col min="30" max="30" width="9.6640625" bestFit="1" customWidth="1"/>
    <col min="31" max="31" width="9.5" bestFit="1" customWidth="1"/>
    <col min="32" max="32" width="10.83203125" bestFit="1" customWidth="1"/>
    <col min="33" max="33" width="12" bestFit="1" customWidth="1"/>
    <col min="34" max="34" width="10.1640625" bestFit="1" customWidth="1"/>
    <col min="35" max="35" width="5.33203125" bestFit="1" customWidth="1"/>
    <col min="36" max="36" width="5.83203125" bestFit="1" customWidth="1"/>
    <col min="37" max="37" width="3.83203125" bestFit="1" customWidth="1"/>
    <col min="38" max="38" width="7.83203125" bestFit="1" customWidth="1"/>
    <col min="39" max="39" width="3.5" bestFit="1" customWidth="1"/>
    <col min="40" max="40" width="3.83203125" bestFit="1" customWidth="1"/>
    <col min="41" max="41" width="4.1640625" bestFit="1" customWidth="1"/>
    <col min="42" max="42" width="3.83203125" bestFit="1" customWidth="1"/>
    <col min="43" max="43" width="4.33203125" bestFit="1" customWidth="1"/>
    <col min="44" max="44" width="3.5" bestFit="1" customWidth="1"/>
    <col min="45" max="45" width="3.1640625" bestFit="1" customWidth="1"/>
    <col min="46" max="46" width="4" bestFit="1" customWidth="1"/>
    <col min="47" max="47" width="4.33203125" bestFit="1" customWidth="1"/>
    <col min="48" max="48" width="3.83203125" bestFit="1" customWidth="1"/>
    <col min="49" max="50" width="4.1640625" bestFit="1" customWidth="1"/>
    <col min="51" max="51" width="8.5" bestFit="1" customWidth="1"/>
    <col min="52" max="52" width="9.83203125" bestFit="1" customWidth="1"/>
    <col min="53" max="53" width="12.6640625" bestFit="1" customWidth="1"/>
    <col min="54" max="54" width="17.1640625" bestFit="1" customWidth="1"/>
  </cols>
  <sheetData>
    <row r="1" spans="1:54" x14ac:dyDescent="0.2">
      <c r="A1" t="str">
        <f>'Monthly Data-EOP'!A1</f>
        <v>Date</v>
      </c>
      <c r="B1" t="s">
        <v>158</v>
      </c>
      <c r="C1" s="8" t="str">
        <f>'Monthly Data-EOP'!B1</f>
        <v>WholesalekWh</v>
      </c>
      <c r="D1" s="8" t="s">
        <v>256</v>
      </c>
      <c r="E1" s="8" t="s">
        <v>257</v>
      </c>
      <c r="F1" s="8" t="s">
        <v>258</v>
      </c>
      <c r="G1" s="8" t="s">
        <v>259</v>
      </c>
      <c r="H1" s="8" t="s">
        <v>260</v>
      </c>
      <c r="I1" s="8" t="str">
        <f>'Monthly Data-EOP'!C1</f>
        <v>ReskWh</v>
      </c>
      <c r="J1" s="8" t="str">
        <f>'Monthly Data-EOP'!D1</f>
        <v>ResCust</v>
      </c>
      <c r="K1" s="8" t="str">
        <f>'Monthly Data-EOP'!E1</f>
        <v>GSlt50kWh</v>
      </c>
      <c r="L1" s="8" t="str">
        <f>'Monthly Data-EOP'!F1</f>
        <v>GSlt50Cust</v>
      </c>
      <c r="M1" s="8" t="str">
        <f>'Monthly Data-EOP'!G1</f>
        <v>GSgt50kWh</v>
      </c>
      <c r="N1" s="8" t="s">
        <v>245</v>
      </c>
      <c r="O1" s="8" t="s">
        <v>246</v>
      </c>
      <c r="P1" s="8" t="str">
        <f>'Monthly Data-EOP'!H1</f>
        <v>GSgt50_kW</v>
      </c>
      <c r="Q1" s="8" t="s">
        <v>254</v>
      </c>
      <c r="R1" s="8" t="s">
        <v>247</v>
      </c>
      <c r="S1" s="8" t="str">
        <f>'Monthly Data-EOP'!I1</f>
        <v>GSgt50Cust</v>
      </c>
      <c r="T1" s="8" t="str">
        <f>'Monthly Data-EOP'!J1</f>
        <v>StreetkWh</v>
      </c>
      <c r="U1" s="8" t="str">
        <f>'Monthly Data-EOP'!K1</f>
        <v>Street_kW</v>
      </c>
      <c r="V1" s="8" t="str">
        <f>'Monthly Data-EOP'!L1</f>
        <v>StreetCust</v>
      </c>
      <c r="W1" s="8" t="str">
        <f>'Monthly Data-EOP'!M1</f>
        <v>SentkWh</v>
      </c>
      <c r="X1" s="8" t="str">
        <f>'Monthly Data-EOP'!N1</f>
        <v>Sent_kW</v>
      </c>
      <c r="Y1" s="8" t="str">
        <f>'Monthly Data-EOP'!O1</f>
        <v>SentCust</v>
      </c>
      <c r="Z1" s="8" t="str">
        <f>'Monthly Data-EOP'!P1</f>
        <v>USLkWh</v>
      </c>
      <c r="AA1" s="8" t="str">
        <f>'Monthly Data-EOP'!Q1</f>
        <v>USLCust</v>
      </c>
      <c r="AB1" t="s">
        <v>114</v>
      </c>
      <c r="AC1" t="s">
        <v>115</v>
      </c>
      <c r="AD1" t="s">
        <v>116</v>
      </c>
      <c r="AE1" t="s">
        <v>117</v>
      </c>
      <c r="AF1" t="s">
        <v>118</v>
      </c>
      <c r="AG1" t="s">
        <v>119</v>
      </c>
      <c r="AH1" t="s">
        <v>120</v>
      </c>
      <c r="AI1" t="s">
        <v>121</v>
      </c>
      <c r="AJ1" t="s">
        <v>122</v>
      </c>
      <c r="AK1" t="s">
        <v>123</v>
      </c>
      <c r="AL1" t="s">
        <v>124</v>
      </c>
      <c r="AM1" t="s">
        <v>125</v>
      </c>
      <c r="AN1" t="s">
        <v>100</v>
      </c>
      <c r="AO1" t="s">
        <v>101</v>
      </c>
      <c r="AP1" t="s">
        <v>102</v>
      </c>
      <c r="AQ1" t="s">
        <v>83</v>
      </c>
      <c r="AR1" t="s">
        <v>103</v>
      </c>
      <c r="AS1" t="s">
        <v>104</v>
      </c>
      <c r="AT1" t="s">
        <v>105</v>
      </c>
      <c r="AU1" t="s">
        <v>126</v>
      </c>
      <c r="AV1" t="s">
        <v>107</v>
      </c>
      <c r="AW1" t="s">
        <v>108</v>
      </c>
      <c r="AX1" t="s">
        <v>109</v>
      </c>
      <c r="AY1" t="s">
        <v>127</v>
      </c>
      <c r="AZ1" t="s">
        <v>128</v>
      </c>
      <c r="BA1" t="s">
        <v>159</v>
      </c>
      <c r="BB1" t="s">
        <v>160</v>
      </c>
    </row>
    <row r="2" spans="1:54" x14ac:dyDescent="0.2">
      <c r="A2" s="3">
        <f>'Monthly Data-EOP'!A62</f>
        <v>39814</v>
      </c>
      <c r="B2" s="102">
        <f t="shared" ref="B2:B6" si="0">YEAR(A2)</f>
        <v>2009</v>
      </c>
      <c r="C2" s="8">
        <f>'Monthly Data-EOP'!B62+'Monthly Data-FE'!B62+'Monthly Data-PC'!B62</f>
        <v>55427768</v>
      </c>
      <c r="D2" s="8">
        <v>0</v>
      </c>
      <c r="E2" s="8">
        <v>1901.148810360821</v>
      </c>
      <c r="F2" s="8">
        <f>MONTH(A2)</f>
        <v>1</v>
      </c>
      <c r="G2" s="8">
        <f>(D2/12+E2/12/12*F2)*1000</f>
        <v>13202.422294172367</v>
      </c>
      <c r="H2" s="8">
        <f>C2+G2</f>
        <v>55440970.42229417</v>
      </c>
      <c r="I2" s="8">
        <f>'Monthly Data-EOP'!C62+'Monthly Data-FE'!C62+'Monthly Data-PC'!C62</f>
        <v>24733105</v>
      </c>
      <c r="J2" s="8">
        <f>'Monthly Data-EOP'!D62+'Monthly Data-FE'!D62+'Monthly Data-PC'!D62</f>
        <v>25522</v>
      </c>
      <c r="K2" s="8">
        <f>'Monthly Data-EOP'!E62+'Monthly Data-FE'!E62+'Monthly Data-PC'!E62</f>
        <v>7121113.5999999996</v>
      </c>
      <c r="L2" s="8">
        <f>'Monthly Data-EOP'!F62+'Monthly Data-FE'!F62+'Monthly Data-PC'!F62</f>
        <v>2520</v>
      </c>
      <c r="M2" s="8">
        <f>'Monthly Data-EOP'!G62+'Monthly Data-FE'!G62+'Monthly Data-PC'!G62</f>
        <v>19888854.680951655</v>
      </c>
      <c r="N2" s="8">
        <v>518881.86</v>
      </c>
      <c r="O2" s="8">
        <f>M2-N2</f>
        <v>19369972.820951656</v>
      </c>
      <c r="P2" s="8">
        <f>'Monthly Data-EOP'!H62+'Monthly Data-FE'!H62+'Monthly Data-PC'!H62</f>
        <v>66091.914735639919</v>
      </c>
      <c r="Q2" s="8">
        <v>932.4</v>
      </c>
      <c r="R2" s="8">
        <f>P2-Q2</f>
        <v>65159.514735639917</v>
      </c>
      <c r="S2" s="8">
        <f>'Monthly Data-EOP'!I62+'Monthly Data-FE'!I62+'Monthly Data-PC'!I62</f>
        <v>245</v>
      </c>
      <c r="T2" s="8">
        <f>'Monthly Data-EOP'!J62+'Monthly Data-FE'!J62+'Monthly Data-PC'!J62</f>
        <v>352307.22299850907</v>
      </c>
      <c r="U2" s="8">
        <f>'Monthly Data-EOP'!K62+'Monthly Data-FE'!K62+'Monthly Data-PC'!K62</f>
        <v>1194</v>
      </c>
      <c r="V2" s="8">
        <f>'Monthly Data-EOP'!L62+'Monthly Data-FE'!L62+'Monthly Data-PC'!L62</f>
        <v>5743</v>
      </c>
      <c r="W2" s="8">
        <f>'Monthly Data-EOP'!M62+'Monthly Data-FE'!M62+'Monthly Data-PC'!M62</f>
        <v>67552.275813548607</v>
      </c>
      <c r="X2" s="8">
        <f>'Monthly Data-EOP'!N62+'Monthly Data-FE'!N62+'Monthly Data-PC'!N62</f>
        <v>210.58333333333334</v>
      </c>
      <c r="Y2" s="8">
        <f>'Monthly Data-EOP'!O62+'Monthly Data-FE'!O62+'Monthly Data-PC'!O62</f>
        <v>1088</v>
      </c>
      <c r="Z2" s="8">
        <f>'Monthly Data-EOP'!P62+'Monthly Data-FE'!P62+'Monthly Data-PC'!P62</f>
        <v>132830.41500000001</v>
      </c>
      <c r="AA2" s="8">
        <f>'Monthly Data-EOP'!Q62+'Monthly Data-FE'!Q62+'Monthly Data-PC'!Q62</f>
        <v>39</v>
      </c>
      <c r="AB2">
        <f>'Weather Data'!S182</f>
        <v>829.40000000000009</v>
      </c>
      <c r="AC2">
        <f>'Weather Data'!T182</f>
        <v>0</v>
      </c>
      <c r="AD2">
        <v>887.09999999999991</v>
      </c>
      <c r="AE2">
        <v>0</v>
      </c>
      <c r="AF2">
        <v>6506.5</v>
      </c>
      <c r="AG2">
        <v>79.5</v>
      </c>
      <c r="AH2">
        <v>191.9</v>
      </c>
      <c r="AI2">
        <v>1</v>
      </c>
      <c r="AJ2">
        <v>0</v>
      </c>
      <c r="AK2">
        <v>0</v>
      </c>
      <c r="AL2">
        <v>0</v>
      </c>
      <c r="AM2">
        <v>1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21</v>
      </c>
      <c r="AZ2">
        <v>31</v>
      </c>
      <c r="BA2">
        <v>0</v>
      </c>
      <c r="BB2">
        <v>0</v>
      </c>
    </row>
    <row r="3" spans="1:54" x14ac:dyDescent="0.2">
      <c r="A3" s="3">
        <f>'Monthly Data-EOP'!A63</f>
        <v>39845</v>
      </c>
      <c r="B3" s="102">
        <f t="shared" si="0"/>
        <v>2009</v>
      </c>
      <c r="C3" s="8">
        <f>'Monthly Data-EOP'!B63+'Monthly Data-FE'!B63+'Monthly Data-PC'!B63</f>
        <v>47267492.5</v>
      </c>
      <c r="D3" s="8">
        <v>0</v>
      </c>
      <c r="E3" s="8">
        <v>1901.148810360821</v>
      </c>
      <c r="F3" s="8">
        <f t="shared" ref="F3:F66" si="1">MONTH(A3)</f>
        <v>2</v>
      </c>
      <c r="G3" s="8">
        <f t="shared" ref="G3:G66" si="2">(D3/12+E3/12/12*F3)*1000</f>
        <v>26404.844588344735</v>
      </c>
      <c r="H3" s="8">
        <f t="shared" ref="H3:H66" si="3">C3+G3</f>
        <v>47293897.344588347</v>
      </c>
      <c r="I3" s="8">
        <f>'Monthly Data-EOP'!C63+'Monthly Data-FE'!C63+'Monthly Data-PC'!C63</f>
        <v>16443096</v>
      </c>
      <c r="J3" s="8">
        <f>'Monthly Data-EOP'!D63+'Monthly Data-FE'!D63+'Monthly Data-PC'!D63</f>
        <v>25522</v>
      </c>
      <c r="K3" s="8">
        <f>'Monthly Data-EOP'!E63+'Monthly Data-FE'!E63+'Monthly Data-PC'!E63</f>
        <v>4681556.4000000004</v>
      </c>
      <c r="L3" s="8">
        <f>'Monthly Data-EOP'!F63+'Monthly Data-FE'!F63+'Monthly Data-PC'!F63</f>
        <v>2520</v>
      </c>
      <c r="M3" s="8">
        <f>'Monthly Data-EOP'!G63+'Monthly Data-FE'!G63+'Monthly Data-PC'!G63</f>
        <v>17463944.525070108</v>
      </c>
      <c r="N3" s="8">
        <v>425945.52</v>
      </c>
      <c r="O3" s="8">
        <f>M3-N3</f>
        <v>17037999.005070109</v>
      </c>
      <c r="P3" s="8">
        <f>'Monthly Data-EOP'!H63+'Monthly Data-FE'!H63+'Monthly Data-PC'!H63</f>
        <v>63856.564432418549</v>
      </c>
      <c r="Q3" s="8">
        <v>851.76</v>
      </c>
      <c r="R3" s="8">
        <f>P3-Q3</f>
        <v>63004.804432418547</v>
      </c>
      <c r="S3" s="8">
        <f>'Monthly Data-EOP'!I63+'Monthly Data-FE'!I63+'Monthly Data-PC'!I63</f>
        <v>245</v>
      </c>
      <c r="T3" s="8">
        <f>'Monthly Data-EOP'!J63+'Monthly Data-FE'!J63+'Monthly Data-PC'!J63</f>
        <v>230562.39450741562</v>
      </c>
      <c r="U3" s="8">
        <f>'Monthly Data-EOP'!K63+'Monthly Data-FE'!K63+'Monthly Data-PC'!K63</f>
        <v>1194</v>
      </c>
      <c r="V3" s="8">
        <f>'Monthly Data-EOP'!L63+'Monthly Data-FE'!L63+'Monthly Data-PC'!L63</f>
        <v>5743</v>
      </c>
      <c r="W3" s="8">
        <f>'Monthly Data-EOP'!M63+'Monthly Data-FE'!M63+'Monthly Data-PC'!M63</f>
        <v>62971.217845313193</v>
      </c>
      <c r="X3" s="8">
        <f>'Monthly Data-EOP'!N63+'Monthly Data-FE'!N63+'Monthly Data-PC'!N63</f>
        <v>210.58333333333334</v>
      </c>
      <c r="Y3" s="8">
        <f>'Monthly Data-EOP'!O63+'Monthly Data-FE'!O63+'Monthly Data-PC'!O63</f>
        <v>1088</v>
      </c>
      <c r="Z3" s="8">
        <f>'Monthly Data-EOP'!P63+'Monthly Data-FE'!P63+'Monthly Data-PC'!P63</f>
        <v>94438.263000000006</v>
      </c>
      <c r="AA3" s="8">
        <f>'Monthly Data-EOP'!Q63+'Monthly Data-FE'!Q63+'Monthly Data-PC'!Q63</f>
        <v>39</v>
      </c>
      <c r="AB3">
        <f>'Weather Data'!S183</f>
        <v>605.50000000000011</v>
      </c>
      <c r="AC3">
        <f>'Weather Data'!T183</f>
        <v>0</v>
      </c>
      <c r="AD3">
        <v>653.80000000000007</v>
      </c>
      <c r="AE3">
        <v>0</v>
      </c>
      <c r="AF3">
        <v>6436.2</v>
      </c>
      <c r="AG3">
        <v>78.900000000000006</v>
      </c>
      <c r="AH3">
        <v>188.5</v>
      </c>
      <c r="AI3">
        <f>AI2+1</f>
        <v>2</v>
      </c>
      <c r="AJ3">
        <v>0</v>
      </c>
      <c r="AK3">
        <v>0</v>
      </c>
      <c r="AL3">
        <v>0</v>
      </c>
      <c r="AM3">
        <v>0</v>
      </c>
      <c r="AN3">
        <v>1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19</v>
      </c>
      <c r="AZ3">
        <v>28</v>
      </c>
      <c r="BA3">
        <v>0</v>
      </c>
      <c r="BB3">
        <v>0</v>
      </c>
    </row>
    <row r="4" spans="1:54" x14ac:dyDescent="0.2">
      <c r="A4" s="3">
        <f>'Monthly Data-EOP'!A64</f>
        <v>39873</v>
      </c>
      <c r="B4" s="102">
        <f t="shared" si="0"/>
        <v>2009</v>
      </c>
      <c r="C4" s="8">
        <f>'Monthly Data-EOP'!B64+'Monthly Data-FE'!B64+'Monthly Data-PC'!B64</f>
        <v>47464794.200000003</v>
      </c>
      <c r="D4" s="8">
        <v>0</v>
      </c>
      <c r="E4" s="8">
        <v>1901.148810360821</v>
      </c>
      <c r="F4" s="8">
        <f t="shared" si="1"/>
        <v>3</v>
      </c>
      <c r="G4" s="8">
        <f t="shared" si="2"/>
        <v>39607.266882517099</v>
      </c>
      <c r="H4" s="8">
        <f t="shared" si="3"/>
        <v>47504401.466882519</v>
      </c>
      <c r="I4" s="8">
        <f>'Monthly Data-EOP'!C64+'Monthly Data-FE'!C64+'Monthly Data-PC'!C64</f>
        <v>22717988</v>
      </c>
      <c r="J4" s="8">
        <f>'Monthly Data-EOP'!D64+'Monthly Data-FE'!D64+'Monthly Data-PC'!D64</f>
        <v>25522</v>
      </c>
      <c r="K4" s="8">
        <f>'Monthly Data-EOP'!E64+'Monthly Data-FE'!E64+'Monthly Data-PC'!E64</f>
        <v>7654144.2000000002</v>
      </c>
      <c r="L4" s="8">
        <f>'Monthly Data-EOP'!F64+'Monthly Data-FE'!F64+'Monthly Data-PC'!F64</f>
        <v>2520</v>
      </c>
      <c r="M4" s="8">
        <f>'Monthly Data-EOP'!G64+'Monthly Data-FE'!G64+'Monthly Data-PC'!G64</f>
        <v>25438936.386694346</v>
      </c>
      <c r="N4" s="8">
        <v>425716.2</v>
      </c>
      <c r="O4" s="8">
        <f t="shared" ref="O4:O67" si="4">M4-N4</f>
        <v>25013220.186694346</v>
      </c>
      <c r="P4" s="8">
        <f>'Monthly Data-EOP'!H64+'Monthly Data-FE'!H64+'Monthly Data-PC'!H64</f>
        <v>62871.501748065086</v>
      </c>
      <c r="Q4" s="8">
        <v>841.68</v>
      </c>
      <c r="R4" s="8">
        <f t="shared" ref="R4:R67" si="5">P4-Q4</f>
        <v>62029.821748065086</v>
      </c>
      <c r="S4" s="8">
        <f>'Monthly Data-EOP'!I64+'Monthly Data-FE'!I64+'Monthly Data-PC'!I64</f>
        <v>245</v>
      </c>
      <c r="T4" s="8">
        <f>'Monthly Data-EOP'!J64+'Monthly Data-FE'!J64+'Monthly Data-PC'!J64</f>
        <v>457556.34355583478</v>
      </c>
      <c r="U4" s="8">
        <f>'Monthly Data-EOP'!K64+'Monthly Data-FE'!K64+'Monthly Data-PC'!K64</f>
        <v>1194</v>
      </c>
      <c r="V4" s="8">
        <f>'Monthly Data-EOP'!L64+'Monthly Data-FE'!L64+'Monthly Data-PC'!L64</f>
        <v>5743</v>
      </c>
      <c r="W4" s="8">
        <f>'Monthly Data-EOP'!M64+'Monthly Data-FE'!M64+'Monthly Data-PC'!M64</f>
        <v>65696.997806104206</v>
      </c>
      <c r="X4" s="8">
        <f>'Monthly Data-EOP'!N64+'Monthly Data-FE'!N64+'Monthly Data-PC'!N64</f>
        <v>210.58333333333334</v>
      </c>
      <c r="Y4" s="8">
        <f>'Monthly Data-EOP'!O64+'Monthly Data-FE'!O64+'Monthly Data-PC'!O64</f>
        <v>1088</v>
      </c>
      <c r="Z4" s="8">
        <f>'Monthly Data-EOP'!P64+'Monthly Data-FE'!P64+'Monthly Data-PC'!P64</f>
        <v>152455.55499999999</v>
      </c>
      <c r="AA4" s="8">
        <f>'Monthly Data-EOP'!Q64+'Monthly Data-FE'!Q64+'Monthly Data-PC'!Q64</f>
        <v>39</v>
      </c>
      <c r="AB4">
        <f>'Weather Data'!S184</f>
        <v>528.69999999999993</v>
      </c>
      <c r="AC4">
        <f>'Weather Data'!T184</f>
        <v>0</v>
      </c>
      <c r="AD4">
        <v>555.60000000000014</v>
      </c>
      <c r="AE4">
        <v>0</v>
      </c>
      <c r="AF4">
        <v>6363.8</v>
      </c>
      <c r="AG4">
        <v>78</v>
      </c>
      <c r="AH4">
        <v>184.4</v>
      </c>
      <c r="AI4">
        <f>AI3+1</f>
        <v>3</v>
      </c>
      <c r="AJ4">
        <v>1</v>
      </c>
      <c r="AK4">
        <v>0</v>
      </c>
      <c r="AL4">
        <v>1</v>
      </c>
      <c r="AM4">
        <v>0</v>
      </c>
      <c r="AN4">
        <v>0</v>
      </c>
      <c r="AO4">
        <v>1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22</v>
      </c>
      <c r="AZ4">
        <v>31</v>
      </c>
      <c r="BA4">
        <v>0</v>
      </c>
      <c r="BB4">
        <v>0</v>
      </c>
    </row>
    <row r="5" spans="1:54" x14ac:dyDescent="0.2">
      <c r="A5" s="3">
        <f>'Monthly Data-EOP'!A65</f>
        <v>39904</v>
      </c>
      <c r="B5" s="102">
        <f t="shared" si="0"/>
        <v>2009</v>
      </c>
      <c r="C5" s="8">
        <f>'Monthly Data-EOP'!B65+'Monthly Data-FE'!B65+'Monthly Data-PC'!B65</f>
        <v>42184392.299999997</v>
      </c>
      <c r="D5" s="8">
        <v>0</v>
      </c>
      <c r="E5" s="8">
        <v>1901.148810360821</v>
      </c>
      <c r="F5" s="8">
        <f t="shared" si="1"/>
        <v>4</v>
      </c>
      <c r="G5" s="8">
        <f t="shared" si="2"/>
        <v>52809.68917668947</v>
      </c>
      <c r="H5" s="8">
        <f t="shared" si="3"/>
        <v>42237201.989176683</v>
      </c>
      <c r="I5" s="8">
        <f>'Monthly Data-EOP'!C65+'Monthly Data-FE'!C65+'Monthly Data-PC'!C65</f>
        <v>12604012</v>
      </c>
      <c r="J5" s="8">
        <f>'Monthly Data-EOP'!D65+'Monthly Data-FE'!D65+'Monthly Data-PC'!D65</f>
        <v>25522</v>
      </c>
      <c r="K5" s="8">
        <f>'Monthly Data-EOP'!E65+'Monthly Data-FE'!E65+'Monthly Data-PC'!E65</f>
        <v>4958380.8</v>
      </c>
      <c r="L5" s="8">
        <f>'Monthly Data-EOP'!F65+'Monthly Data-FE'!F65+'Monthly Data-PC'!F65</f>
        <v>2520</v>
      </c>
      <c r="M5" s="8">
        <f>'Monthly Data-EOP'!G65+'Monthly Data-FE'!G65+'Monthly Data-PC'!G65</f>
        <v>16504967.296841588</v>
      </c>
      <c r="N5" s="8">
        <v>359529.66</v>
      </c>
      <c r="O5" s="8">
        <f t="shared" si="4"/>
        <v>16145437.636841588</v>
      </c>
      <c r="P5" s="8">
        <f>'Monthly Data-EOP'!H65+'Monthly Data-FE'!H65+'Monthly Data-PC'!H65</f>
        <v>60831.997137144623</v>
      </c>
      <c r="Q5" s="8">
        <v>735.84</v>
      </c>
      <c r="R5" s="8">
        <f t="shared" si="5"/>
        <v>60096.157137144626</v>
      </c>
      <c r="S5" s="8">
        <f>'Monthly Data-EOP'!I65+'Monthly Data-FE'!I65+'Monthly Data-PC'!I65</f>
        <v>245</v>
      </c>
      <c r="T5" s="8">
        <f>'Monthly Data-EOP'!J65+'Monthly Data-FE'!J65+'Monthly Data-PC'!J65</f>
        <v>314372.0751316346</v>
      </c>
      <c r="U5" s="8">
        <f>'Monthly Data-EOP'!K65+'Monthly Data-FE'!K65+'Monthly Data-PC'!K65</f>
        <v>1194</v>
      </c>
      <c r="V5" s="8">
        <f>'Monthly Data-EOP'!L65+'Monthly Data-FE'!L65+'Monthly Data-PC'!L65</f>
        <v>5743</v>
      </c>
      <c r="W5" s="8">
        <f>'Monthly Data-EOP'!M65+'Monthly Data-FE'!M65+'Monthly Data-PC'!M65</f>
        <v>66737.862463756246</v>
      </c>
      <c r="X5" s="8">
        <f>'Monthly Data-EOP'!N65+'Monthly Data-FE'!N65+'Monthly Data-PC'!N65</f>
        <v>210.58333333333334</v>
      </c>
      <c r="Y5" s="8">
        <f>'Monthly Data-EOP'!O65+'Monthly Data-FE'!O65+'Monthly Data-PC'!O65</f>
        <v>1088</v>
      </c>
      <c r="Z5" s="8">
        <f>'Monthly Data-EOP'!P65+'Monthly Data-FE'!P65+'Monthly Data-PC'!P65</f>
        <v>109655.32999999996</v>
      </c>
      <c r="AA5" s="8">
        <f>'Monthly Data-EOP'!Q65+'Monthly Data-FE'!Q65+'Monthly Data-PC'!Q65</f>
        <v>39</v>
      </c>
      <c r="AB5">
        <f>'Weather Data'!S185</f>
        <v>316.50000000000006</v>
      </c>
      <c r="AC5">
        <f>'Weather Data'!T185</f>
        <v>2</v>
      </c>
      <c r="AD5">
        <v>326.29999999999995</v>
      </c>
      <c r="AE5">
        <v>0.8</v>
      </c>
      <c r="AF5">
        <v>6359.6</v>
      </c>
      <c r="AG5">
        <v>77.2</v>
      </c>
      <c r="AH5">
        <v>179.7</v>
      </c>
      <c r="AI5">
        <f t="shared" ref="AI5:AI13" si="6">AI4+1</f>
        <v>4</v>
      </c>
      <c r="AJ5">
        <v>1</v>
      </c>
      <c r="AK5">
        <v>0</v>
      </c>
      <c r="AL5">
        <v>1</v>
      </c>
      <c r="AM5">
        <v>0</v>
      </c>
      <c r="AN5">
        <v>0</v>
      </c>
      <c r="AO5">
        <v>0</v>
      </c>
      <c r="AP5">
        <v>1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20</v>
      </c>
      <c r="AZ5">
        <v>30</v>
      </c>
      <c r="BA5">
        <v>0</v>
      </c>
      <c r="BB5">
        <v>0</v>
      </c>
    </row>
    <row r="6" spans="1:54" x14ac:dyDescent="0.2">
      <c r="A6" s="3">
        <f>'Monthly Data-EOP'!A66</f>
        <v>39934</v>
      </c>
      <c r="B6" s="102">
        <f t="shared" si="0"/>
        <v>2009</v>
      </c>
      <c r="C6" s="8">
        <f>'Monthly Data-EOP'!B66+'Monthly Data-FE'!B66+'Monthly Data-PC'!B66</f>
        <v>40052922.200000003</v>
      </c>
      <c r="D6" s="8">
        <v>0</v>
      </c>
      <c r="E6" s="8">
        <v>1901.148810360821</v>
      </c>
      <c r="F6" s="8">
        <f t="shared" si="1"/>
        <v>5</v>
      </c>
      <c r="G6" s="8">
        <f t="shared" si="2"/>
        <v>66012.111470861841</v>
      </c>
      <c r="H6" s="8">
        <f t="shared" si="3"/>
        <v>40118934.311470866</v>
      </c>
      <c r="I6" s="8">
        <f>'Monthly Data-EOP'!C66+'Monthly Data-FE'!C66+'Monthly Data-PC'!C66</f>
        <v>14514511</v>
      </c>
      <c r="J6" s="8">
        <f>'Monthly Data-EOP'!D66+'Monthly Data-FE'!D66+'Monthly Data-PC'!D66</f>
        <v>25522</v>
      </c>
      <c r="K6" s="8">
        <f>'Monthly Data-EOP'!E66+'Monthly Data-FE'!E66+'Monthly Data-PC'!E66</f>
        <v>5307276.5999999996</v>
      </c>
      <c r="L6" s="8">
        <f>'Monthly Data-EOP'!F66+'Monthly Data-FE'!F66+'Monthly Data-PC'!F66</f>
        <v>2520</v>
      </c>
      <c r="M6" s="8">
        <f>'Monthly Data-EOP'!G66+'Monthly Data-FE'!G66+'Monthly Data-PC'!G66</f>
        <v>20986060.116433948</v>
      </c>
      <c r="N6" s="8">
        <v>324812.88</v>
      </c>
      <c r="O6" s="8">
        <f t="shared" si="4"/>
        <v>20661247.236433949</v>
      </c>
      <c r="P6" s="8">
        <f>'Monthly Data-EOP'!H66+'Monthly Data-FE'!H66+'Monthly Data-PC'!H66</f>
        <v>61131.722396420824</v>
      </c>
      <c r="Q6" s="8">
        <v>937.44</v>
      </c>
      <c r="R6" s="8">
        <f t="shared" si="5"/>
        <v>60194.282396420822</v>
      </c>
      <c r="S6" s="8">
        <f>'Monthly Data-EOP'!I66+'Monthly Data-FE'!I66+'Monthly Data-PC'!I66</f>
        <v>245</v>
      </c>
      <c r="T6" s="8">
        <f>'Monthly Data-EOP'!J66+'Monthly Data-FE'!J66+'Monthly Data-PC'!J66</f>
        <v>436123.87413876585</v>
      </c>
      <c r="U6" s="8">
        <f>'Monthly Data-EOP'!K66+'Monthly Data-FE'!K66+'Monthly Data-PC'!K66</f>
        <v>1194</v>
      </c>
      <c r="V6" s="8">
        <f>'Monthly Data-EOP'!L66+'Monthly Data-FE'!L66+'Monthly Data-PC'!L66</f>
        <v>5743</v>
      </c>
      <c r="W6" s="8">
        <f>'Monthly Data-EOP'!M66+'Monthly Data-FE'!M66+'Monthly Data-PC'!M66</f>
        <v>68579.186193106609</v>
      </c>
      <c r="X6" s="8">
        <f>'Monthly Data-EOP'!N66+'Monthly Data-FE'!N66+'Monthly Data-PC'!N66</f>
        <v>210.58333333333334</v>
      </c>
      <c r="Y6" s="8">
        <f>'Monthly Data-EOP'!O66+'Monthly Data-FE'!O66+'Monthly Data-PC'!O66</f>
        <v>1088</v>
      </c>
      <c r="Z6" s="8">
        <f>'Monthly Data-EOP'!P66+'Monthly Data-FE'!P66+'Monthly Data-PC'!P66</f>
        <v>116812.25500000003</v>
      </c>
      <c r="AA6" s="8">
        <f>'Monthly Data-EOP'!Q66+'Monthly Data-FE'!Q66+'Monthly Data-PC'!Q66</f>
        <v>39</v>
      </c>
      <c r="AB6">
        <f>'Weather Data'!S186</f>
        <v>161.39999999999998</v>
      </c>
      <c r="AC6">
        <f>'Weather Data'!T186</f>
        <v>1.8</v>
      </c>
      <c r="AD6">
        <v>165.29999999999995</v>
      </c>
      <c r="AE6">
        <v>0</v>
      </c>
      <c r="AF6">
        <v>6382.1</v>
      </c>
      <c r="AG6">
        <v>76.900000000000006</v>
      </c>
      <c r="AH6">
        <v>179</v>
      </c>
      <c r="AI6">
        <f t="shared" si="6"/>
        <v>5</v>
      </c>
      <c r="AJ6">
        <v>1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20</v>
      </c>
      <c r="AZ6">
        <v>31</v>
      </c>
      <c r="BA6">
        <v>0</v>
      </c>
      <c r="BB6">
        <v>0</v>
      </c>
    </row>
    <row r="7" spans="1:54" x14ac:dyDescent="0.2">
      <c r="A7" s="3">
        <f>'Monthly Data-EOP'!A67</f>
        <v>39965</v>
      </c>
      <c r="B7" s="102">
        <f t="shared" ref="B7:B70" si="7">YEAR(A7)</f>
        <v>2009</v>
      </c>
      <c r="C7" s="8">
        <f>'Monthly Data-EOP'!B67+'Monthly Data-FE'!B67+'Monthly Data-PC'!B67</f>
        <v>41781955.399999999</v>
      </c>
      <c r="D7" s="8">
        <v>0</v>
      </c>
      <c r="E7" s="8">
        <v>1901.148810360821</v>
      </c>
      <c r="F7" s="8">
        <f t="shared" si="1"/>
        <v>6</v>
      </c>
      <c r="G7" s="8">
        <f t="shared" si="2"/>
        <v>79214.533765034197</v>
      </c>
      <c r="H7" s="8">
        <f t="shared" si="3"/>
        <v>41861169.933765031</v>
      </c>
      <c r="I7" s="8">
        <f>'Monthly Data-EOP'!C67+'Monthly Data-FE'!C67+'Monthly Data-PC'!C67</f>
        <v>11845572</v>
      </c>
      <c r="J7" s="8">
        <f>'Monthly Data-EOP'!D67+'Monthly Data-FE'!D67+'Monthly Data-PC'!D67</f>
        <v>25522</v>
      </c>
      <c r="K7" s="8">
        <f>'Monthly Data-EOP'!E67+'Monthly Data-FE'!E67+'Monthly Data-PC'!E67</f>
        <v>5112202</v>
      </c>
      <c r="L7" s="8">
        <f>'Monthly Data-EOP'!F67+'Monthly Data-FE'!F67+'Monthly Data-PC'!F67</f>
        <v>2520</v>
      </c>
      <c r="M7" s="8">
        <f>'Monthly Data-EOP'!G67+'Monthly Data-FE'!G67+'Monthly Data-PC'!G67</f>
        <v>19303691.596629009</v>
      </c>
      <c r="N7" s="8">
        <v>377199.9</v>
      </c>
      <c r="O7" s="8">
        <f t="shared" si="4"/>
        <v>18926491.69662901</v>
      </c>
      <c r="P7" s="8">
        <f>'Monthly Data-EOP'!H67+'Monthly Data-FE'!H67+'Monthly Data-PC'!H67</f>
        <v>64091.036180621595</v>
      </c>
      <c r="Q7" s="8">
        <v>1002.96</v>
      </c>
      <c r="R7" s="8">
        <f t="shared" si="5"/>
        <v>63088.076180621596</v>
      </c>
      <c r="S7" s="8">
        <f>'Monthly Data-EOP'!I67+'Monthly Data-FE'!I67+'Monthly Data-PC'!I67</f>
        <v>245</v>
      </c>
      <c r="T7" s="8">
        <f>'Monthly Data-EOP'!J67+'Monthly Data-FE'!J67+'Monthly Data-PC'!J67</f>
        <v>392496.1031026548</v>
      </c>
      <c r="U7" s="8">
        <f>'Monthly Data-EOP'!K67+'Monthly Data-FE'!K67+'Monthly Data-PC'!K67</f>
        <v>1194</v>
      </c>
      <c r="V7" s="8">
        <f>'Monthly Data-EOP'!L67+'Monthly Data-FE'!L67+'Monthly Data-PC'!L67</f>
        <v>5743</v>
      </c>
      <c r="W7" s="8">
        <f>'Monthly Data-EOP'!M67+'Monthly Data-FE'!M67+'Monthly Data-PC'!M67</f>
        <v>67546.597645001457</v>
      </c>
      <c r="X7" s="8">
        <f>'Monthly Data-EOP'!N67+'Monthly Data-FE'!N67+'Monthly Data-PC'!N67</f>
        <v>210.58333333333334</v>
      </c>
      <c r="Y7" s="8">
        <f>'Monthly Data-EOP'!O67+'Monthly Data-FE'!O67+'Monthly Data-PC'!O67</f>
        <v>1088</v>
      </c>
      <c r="Z7" s="8">
        <f>'Monthly Data-EOP'!P67+'Monthly Data-FE'!P67+'Monthly Data-PC'!P67</f>
        <v>171146.53999999998</v>
      </c>
      <c r="AA7" s="8">
        <f>'Monthly Data-EOP'!Q67+'Monthly Data-FE'!Q67+'Monthly Data-PC'!Q67</f>
        <v>39</v>
      </c>
      <c r="AB7">
        <f>'Weather Data'!S187</f>
        <v>44.4</v>
      </c>
      <c r="AC7">
        <f>'Weather Data'!T187</f>
        <v>29.999999999999996</v>
      </c>
      <c r="AD7">
        <v>59.20000000000001</v>
      </c>
      <c r="AE7">
        <v>32.6</v>
      </c>
      <c r="AF7">
        <v>6429.4</v>
      </c>
      <c r="AG7">
        <v>77.400000000000006</v>
      </c>
      <c r="AH7">
        <v>182.5</v>
      </c>
      <c r="AI7">
        <f t="shared" si="6"/>
        <v>6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1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22</v>
      </c>
      <c r="AZ7">
        <v>30</v>
      </c>
      <c r="BA7">
        <v>0</v>
      </c>
      <c r="BB7">
        <v>0</v>
      </c>
    </row>
    <row r="8" spans="1:54" x14ac:dyDescent="0.2">
      <c r="A8" s="3">
        <f>'Monthly Data-EOP'!A68</f>
        <v>39995</v>
      </c>
      <c r="B8" s="102">
        <f t="shared" si="7"/>
        <v>2009</v>
      </c>
      <c r="C8" s="8">
        <f>'Monthly Data-EOP'!B68+'Monthly Data-FE'!B68+'Monthly Data-PC'!B68</f>
        <v>45791702.700000003</v>
      </c>
      <c r="D8" s="8">
        <v>0</v>
      </c>
      <c r="E8" s="8">
        <v>1901.148810360821</v>
      </c>
      <c r="F8" s="8">
        <f t="shared" si="1"/>
        <v>7</v>
      </c>
      <c r="G8" s="8">
        <f t="shared" si="2"/>
        <v>92416.956059206568</v>
      </c>
      <c r="H8" s="8">
        <f t="shared" si="3"/>
        <v>45884119.656059213</v>
      </c>
      <c r="I8" s="8">
        <f>'Monthly Data-EOP'!C68+'Monthly Data-FE'!C68+'Monthly Data-PC'!C68</f>
        <v>15953714</v>
      </c>
      <c r="J8" s="8">
        <f>'Monthly Data-EOP'!D68+'Monthly Data-FE'!D68+'Monthly Data-PC'!D68</f>
        <v>25522</v>
      </c>
      <c r="K8" s="8">
        <f>'Monthly Data-EOP'!E68+'Monthly Data-FE'!E68+'Monthly Data-PC'!E68</f>
        <v>6239927.2000000002</v>
      </c>
      <c r="L8" s="8">
        <f>'Monthly Data-EOP'!F68+'Monthly Data-FE'!F68+'Monthly Data-PC'!F68</f>
        <v>2520</v>
      </c>
      <c r="M8" s="8">
        <f>'Monthly Data-EOP'!G68+'Monthly Data-FE'!G68+'Monthly Data-PC'!G68</f>
        <v>21858217.584597602</v>
      </c>
      <c r="N8" s="8">
        <v>415505.16</v>
      </c>
      <c r="O8" s="8">
        <f t="shared" si="4"/>
        <v>21442712.424597602</v>
      </c>
      <c r="P8" s="8">
        <f>'Monthly Data-EOP'!H68+'Monthly Data-FE'!H68+'Monthly Data-PC'!H68</f>
        <v>64689.652814170884</v>
      </c>
      <c r="Q8" s="8">
        <v>1048.32</v>
      </c>
      <c r="R8" s="8">
        <f t="shared" si="5"/>
        <v>63641.332814170884</v>
      </c>
      <c r="S8" s="8">
        <f>'Monthly Data-EOP'!I68+'Monthly Data-FE'!I68+'Monthly Data-PC'!I68</f>
        <v>245</v>
      </c>
      <c r="T8" s="8">
        <f>'Monthly Data-EOP'!J68+'Monthly Data-FE'!J68+'Monthly Data-PC'!J68</f>
        <v>419806.30833399645</v>
      </c>
      <c r="U8" s="8">
        <f>'Monthly Data-EOP'!K68+'Monthly Data-FE'!K68+'Monthly Data-PC'!K68</f>
        <v>1194</v>
      </c>
      <c r="V8" s="8">
        <f>'Monthly Data-EOP'!L68+'Monthly Data-FE'!L68+'Monthly Data-PC'!L68</f>
        <v>5743</v>
      </c>
      <c r="W8" s="8">
        <f>'Monthly Data-EOP'!M68+'Monthly Data-FE'!M68+'Monthly Data-PC'!M68</f>
        <v>69872.079136588029</v>
      </c>
      <c r="X8" s="8">
        <f>'Monthly Data-EOP'!N68+'Monthly Data-FE'!N68+'Monthly Data-PC'!N68</f>
        <v>210.58333333333334</v>
      </c>
      <c r="Y8" s="8">
        <f>'Monthly Data-EOP'!O68+'Monthly Data-FE'!O68+'Monthly Data-PC'!O68</f>
        <v>1088</v>
      </c>
      <c r="Z8" s="8">
        <f>'Monthly Data-EOP'!P68+'Monthly Data-FE'!P68+'Monthly Data-PC'!P68</f>
        <v>138852.91399999999</v>
      </c>
      <c r="AA8" s="8">
        <f>'Monthly Data-EOP'!Q68+'Monthly Data-FE'!Q68+'Monthly Data-PC'!Q68</f>
        <v>39</v>
      </c>
      <c r="AB8">
        <f>'Weather Data'!S188</f>
        <v>19.600000000000001</v>
      </c>
      <c r="AC8">
        <f>'Weather Data'!T188</f>
        <v>33.1</v>
      </c>
      <c r="AD8">
        <v>11.799999999999999</v>
      </c>
      <c r="AE8">
        <v>35.6</v>
      </c>
      <c r="AF8">
        <v>6467</v>
      </c>
      <c r="AG8">
        <v>78.400000000000006</v>
      </c>
      <c r="AH8">
        <v>186.9</v>
      </c>
      <c r="AI8">
        <f t="shared" si="6"/>
        <v>7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1</v>
      </c>
      <c r="AT8">
        <v>0</v>
      </c>
      <c r="AU8">
        <v>0</v>
      </c>
      <c r="AV8">
        <v>0</v>
      </c>
      <c r="AW8">
        <v>0</v>
      </c>
      <c r="AX8">
        <v>0</v>
      </c>
      <c r="AY8">
        <v>22</v>
      </c>
      <c r="AZ8">
        <v>31</v>
      </c>
      <c r="BA8">
        <v>0</v>
      </c>
      <c r="BB8">
        <v>0</v>
      </c>
    </row>
    <row r="9" spans="1:54" x14ac:dyDescent="0.2">
      <c r="A9" s="3">
        <f>'Monthly Data-EOP'!A69</f>
        <v>40026</v>
      </c>
      <c r="B9" s="102">
        <f t="shared" si="7"/>
        <v>2009</v>
      </c>
      <c r="C9" s="8">
        <f>'Monthly Data-EOP'!B69+'Monthly Data-FE'!B69+'Monthly Data-PC'!B69</f>
        <v>50621404.299999997</v>
      </c>
      <c r="D9" s="8">
        <v>0</v>
      </c>
      <c r="E9" s="8">
        <v>1901.148810360821</v>
      </c>
      <c r="F9" s="8">
        <f t="shared" si="1"/>
        <v>8</v>
      </c>
      <c r="G9" s="8">
        <f t="shared" si="2"/>
        <v>105619.37835337894</v>
      </c>
      <c r="H9" s="8">
        <f t="shared" si="3"/>
        <v>50727023.678353377</v>
      </c>
      <c r="I9" s="8">
        <f>'Monthly Data-EOP'!C69+'Monthly Data-FE'!C69+'Monthly Data-PC'!C69</f>
        <v>19682011</v>
      </c>
      <c r="J9" s="8">
        <f>'Monthly Data-EOP'!D69+'Monthly Data-FE'!D69+'Monthly Data-PC'!D69</f>
        <v>25522</v>
      </c>
      <c r="K9" s="8">
        <f>'Monthly Data-EOP'!E69+'Monthly Data-FE'!E69+'Monthly Data-PC'!E69</f>
        <v>6395720.5999999996</v>
      </c>
      <c r="L9" s="8">
        <f>'Monthly Data-EOP'!F69+'Monthly Data-FE'!F69+'Monthly Data-PC'!F69</f>
        <v>2520</v>
      </c>
      <c r="M9" s="8">
        <f>'Monthly Data-EOP'!G69+'Monthly Data-FE'!G69+'Monthly Data-PC'!G69</f>
        <v>21566659.814264573</v>
      </c>
      <c r="N9" s="8">
        <v>475474.86</v>
      </c>
      <c r="O9" s="8">
        <f t="shared" si="4"/>
        <v>21091184.954264574</v>
      </c>
      <c r="P9" s="8">
        <f>'Monthly Data-EOP'!H69+'Monthly Data-FE'!H69+'Monthly Data-PC'!H69</f>
        <v>69081.850939510085</v>
      </c>
      <c r="Q9" s="8">
        <v>1355.76</v>
      </c>
      <c r="R9" s="8">
        <f t="shared" si="5"/>
        <v>67726.09093951009</v>
      </c>
      <c r="S9" s="8">
        <f>'Monthly Data-EOP'!I69+'Monthly Data-FE'!I69+'Monthly Data-PC'!I69</f>
        <v>245</v>
      </c>
      <c r="T9" s="8">
        <f>'Monthly Data-EOP'!J69+'Monthly Data-FE'!J69+'Monthly Data-PC'!J69</f>
        <v>379951.13035178976</v>
      </c>
      <c r="U9" s="8">
        <f>'Monthly Data-EOP'!K69+'Monthly Data-FE'!K69+'Monthly Data-PC'!K69</f>
        <v>1194</v>
      </c>
      <c r="V9" s="8">
        <f>'Monthly Data-EOP'!L69+'Monthly Data-FE'!L69+'Monthly Data-PC'!L69</f>
        <v>5743</v>
      </c>
      <c r="W9" s="8">
        <f>'Monthly Data-EOP'!M69+'Monthly Data-FE'!M69+'Monthly Data-PC'!M69</f>
        <v>68346.34503915321</v>
      </c>
      <c r="X9" s="8">
        <f>'Monthly Data-EOP'!N69+'Monthly Data-FE'!N69+'Monthly Data-PC'!N69</f>
        <v>210.58333333333334</v>
      </c>
      <c r="Y9" s="8">
        <f>'Monthly Data-EOP'!O69+'Monthly Data-FE'!O69+'Monthly Data-PC'!O69</f>
        <v>1088</v>
      </c>
      <c r="Z9" s="8">
        <f>'Monthly Data-EOP'!P69+'Monthly Data-FE'!P69+'Monthly Data-PC'!P69</f>
        <v>130579.91399999996</v>
      </c>
      <c r="AA9" s="8">
        <f>'Monthly Data-EOP'!Q69+'Monthly Data-FE'!Q69+'Monthly Data-PC'!Q69</f>
        <v>39</v>
      </c>
      <c r="AB9">
        <f>'Weather Data'!S189</f>
        <v>14.200000000000001</v>
      </c>
      <c r="AC9">
        <f>'Weather Data'!T189</f>
        <v>74.199999999999974</v>
      </c>
      <c r="AD9">
        <v>20.6</v>
      </c>
      <c r="AE9">
        <v>85.199999999999989</v>
      </c>
      <c r="AF9">
        <v>6487.6</v>
      </c>
      <c r="AG9">
        <v>79.3</v>
      </c>
      <c r="AH9">
        <v>191</v>
      </c>
      <c r="AI9">
        <f t="shared" si="6"/>
        <v>8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</v>
      </c>
      <c r="AU9">
        <v>0</v>
      </c>
      <c r="AV9">
        <v>0</v>
      </c>
      <c r="AW9">
        <v>0</v>
      </c>
      <c r="AX9">
        <v>0</v>
      </c>
      <c r="AY9">
        <v>20</v>
      </c>
      <c r="AZ9">
        <v>31</v>
      </c>
      <c r="BA9">
        <v>0</v>
      </c>
      <c r="BB9">
        <v>0</v>
      </c>
    </row>
    <row r="10" spans="1:54" x14ac:dyDescent="0.2">
      <c r="A10" s="3">
        <f>'Monthly Data-EOP'!A70</f>
        <v>40057</v>
      </c>
      <c r="B10" s="102">
        <f t="shared" si="7"/>
        <v>2009</v>
      </c>
      <c r="C10" s="8">
        <f>'Monthly Data-EOP'!B70+'Monthly Data-FE'!B70+'Monthly Data-PC'!B70</f>
        <v>42351764.200000003</v>
      </c>
      <c r="D10" s="8">
        <v>0</v>
      </c>
      <c r="E10" s="8">
        <v>1901.148810360821</v>
      </c>
      <c r="F10" s="8">
        <f t="shared" si="1"/>
        <v>9</v>
      </c>
      <c r="G10" s="8">
        <f t="shared" si="2"/>
        <v>118821.8006475513</v>
      </c>
      <c r="H10" s="8">
        <f t="shared" si="3"/>
        <v>42470586.000647552</v>
      </c>
      <c r="I10" s="8">
        <f>'Monthly Data-EOP'!C70+'Monthly Data-FE'!C70+'Monthly Data-PC'!C70</f>
        <v>16876247</v>
      </c>
      <c r="J10" s="8">
        <f>'Monthly Data-EOP'!D70+'Monthly Data-FE'!D70+'Monthly Data-PC'!D70</f>
        <v>25522</v>
      </c>
      <c r="K10" s="8">
        <f>'Monthly Data-EOP'!E70+'Monthly Data-FE'!E70+'Monthly Data-PC'!E70</f>
        <v>4637774</v>
      </c>
      <c r="L10" s="8">
        <f>'Monthly Data-EOP'!F70+'Monthly Data-FE'!F70+'Monthly Data-PC'!F70</f>
        <v>2520</v>
      </c>
      <c r="M10" s="8">
        <f>'Monthly Data-EOP'!G70+'Monthly Data-FE'!G70+'Monthly Data-PC'!G70</f>
        <v>16239909.040526696</v>
      </c>
      <c r="N10" s="8">
        <v>375042.78</v>
      </c>
      <c r="O10" s="8">
        <f t="shared" si="4"/>
        <v>15864866.260526696</v>
      </c>
      <c r="P10" s="8">
        <f>'Monthly Data-EOP'!H70+'Monthly Data-FE'!H70+'Monthly Data-PC'!H70</f>
        <v>75495.620228233136</v>
      </c>
      <c r="Q10" s="8">
        <v>1008</v>
      </c>
      <c r="R10" s="8">
        <f t="shared" si="5"/>
        <v>74487.620228233136</v>
      </c>
      <c r="S10" s="8">
        <f>'Monthly Data-EOP'!I70+'Monthly Data-FE'!I70+'Monthly Data-PC'!I70</f>
        <v>245</v>
      </c>
      <c r="T10" s="8">
        <f>'Monthly Data-EOP'!J70+'Monthly Data-FE'!J70+'Monthly Data-PC'!J70</f>
        <v>243319.28218998603</v>
      </c>
      <c r="U10" s="8">
        <f>'Monthly Data-EOP'!K70+'Monthly Data-FE'!K70+'Monthly Data-PC'!K70</f>
        <v>1194</v>
      </c>
      <c r="V10" s="8">
        <f>'Monthly Data-EOP'!L70+'Monthly Data-FE'!L70+'Monthly Data-PC'!L70</f>
        <v>5743</v>
      </c>
      <c r="W10" s="8">
        <f>'Monthly Data-EOP'!M70+'Monthly Data-FE'!M70+'Monthly Data-PC'!M70</f>
        <v>63857.244766719836</v>
      </c>
      <c r="X10" s="8">
        <f>'Monthly Data-EOP'!N70+'Monthly Data-FE'!N70+'Monthly Data-PC'!N70</f>
        <v>210.58333333333334</v>
      </c>
      <c r="Y10" s="8">
        <f>'Monthly Data-EOP'!O70+'Monthly Data-FE'!O70+'Monthly Data-PC'!O70</f>
        <v>1088</v>
      </c>
      <c r="Z10" s="8">
        <f>'Monthly Data-EOP'!P70+'Monthly Data-FE'!P70+'Monthly Data-PC'!P70</f>
        <v>57328.034999999945</v>
      </c>
      <c r="AA10" s="8">
        <f>'Monthly Data-EOP'!Q70+'Monthly Data-FE'!Q70+'Monthly Data-PC'!Q70</f>
        <v>39</v>
      </c>
      <c r="AB10">
        <f>'Weather Data'!S190</f>
        <v>70.8</v>
      </c>
      <c r="AC10">
        <f>'Weather Data'!T190</f>
        <v>12</v>
      </c>
      <c r="AD10">
        <v>100.9</v>
      </c>
      <c r="AE10">
        <v>4.5999999999999996</v>
      </c>
      <c r="AF10">
        <v>6470.2</v>
      </c>
      <c r="AG10">
        <v>80</v>
      </c>
      <c r="AH10">
        <v>189.9</v>
      </c>
      <c r="AI10">
        <f t="shared" si="6"/>
        <v>9</v>
      </c>
      <c r="AJ10">
        <v>0</v>
      </c>
      <c r="AK10">
        <v>1</v>
      </c>
      <c r="AL10">
        <v>1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</v>
      </c>
      <c r="AV10">
        <v>0</v>
      </c>
      <c r="AW10">
        <v>0</v>
      </c>
      <c r="AX10">
        <v>0</v>
      </c>
      <c r="AY10">
        <v>21</v>
      </c>
      <c r="AZ10">
        <v>30</v>
      </c>
      <c r="BA10">
        <v>0</v>
      </c>
      <c r="BB10">
        <v>0</v>
      </c>
    </row>
    <row r="11" spans="1:54" x14ac:dyDescent="0.2">
      <c r="A11" s="3">
        <f>'Monthly Data-EOP'!A71</f>
        <v>40087</v>
      </c>
      <c r="B11" s="102">
        <f t="shared" si="7"/>
        <v>2009</v>
      </c>
      <c r="C11" s="8">
        <f>'Monthly Data-EOP'!B71+'Monthly Data-FE'!B71+'Monthly Data-PC'!B71</f>
        <v>42902013.399999999</v>
      </c>
      <c r="D11" s="8">
        <v>0</v>
      </c>
      <c r="E11" s="8">
        <v>1901.148810360821</v>
      </c>
      <c r="F11" s="8">
        <f t="shared" si="1"/>
        <v>10</v>
      </c>
      <c r="G11" s="8">
        <f t="shared" si="2"/>
        <v>132024.22294172368</v>
      </c>
      <c r="H11" s="8">
        <f t="shared" si="3"/>
        <v>43034037.622941725</v>
      </c>
      <c r="I11" s="8">
        <f>'Monthly Data-EOP'!C71+'Monthly Data-FE'!C71+'Monthly Data-PC'!C71</f>
        <v>16037290</v>
      </c>
      <c r="J11" s="8">
        <f>'Monthly Data-EOP'!D71+'Monthly Data-FE'!D71+'Monthly Data-PC'!D71</f>
        <v>25522</v>
      </c>
      <c r="K11" s="8">
        <f>'Monthly Data-EOP'!E71+'Monthly Data-FE'!E71+'Monthly Data-PC'!E71</f>
        <v>6444089.7999999998</v>
      </c>
      <c r="L11" s="8">
        <f>'Monthly Data-EOP'!F71+'Monthly Data-FE'!F71+'Monthly Data-PC'!F71</f>
        <v>2520</v>
      </c>
      <c r="M11" s="8">
        <f>'Monthly Data-EOP'!G71+'Monthly Data-FE'!G71+'Monthly Data-PC'!G71</f>
        <v>24080476.678884611</v>
      </c>
      <c r="N11" s="8">
        <v>412735.68</v>
      </c>
      <c r="O11" s="8">
        <f t="shared" si="4"/>
        <v>23667740.998884611</v>
      </c>
      <c r="P11" s="8">
        <f>'Monthly Data-EOP'!H71+'Monthly Data-FE'!H71+'Monthly Data-PC'!H71</f>
        <v>68189.116025607946</v>
      </c>
      <c r="Q11" s="8">
        <v>1123.92</v>
      </c>
      <c r="R11" s="8">
        <f t="shared" si="5"/>
        <v>67065.196025607947</v>
      </c>
      <c r="S11" s="8">
        <f>'Monthly Data-EOP'!I71+'Monthly Data-FE'!I71+'Monthly Data-PC'!I71</f>
        <v>245</v>
      </c>
      <c r="T11" s="8">
        <f>'Monthly Data-EOP'!J71+'Monthly Data-FE'!J71+'Monthly Data-PC'!J71</f>
        <v>433477.64575936971</v>
      </c>
      <c r="U11" s="8">
        <f>'Monthly Data-EOP'!K71+'Monthly Data-FE'!K71+'Monthly Data-PC'!K71</f>
        <v>1194</v>
      </c>
      <c r="V11" s="8">
        <f>'Monthly Data-EOP'!L71+'Monthly Data-FE'!L71+'Monthly Data-PC'!L71</f>
        <v>5743</v>
      </c>
      <c r="W11" s="8">
        <f>'Monthly Data-EOP'!M71+'Monthly Data-FE'!M71+'Monthly Data-PC'!M71</f>
        <v>62448.620904336254</v>
      </c>
      <c r="X11" s="8">
        <f>'Monthly Data-EOP'!N71+'Monthly Data-FE'!N71+'Monthly Data-PC'!N71</f>
        <v>210.58333333333334</v>
      </c>
      <c r="Y11" s="8">
        <f>'Monthly Data-EOP'!O71+'Monthly Data-FE'!O71+'Monthly Data-PC'!O71</f>
        <v>1088</v>
      </c>
      <c r="Z11" s="8">
        <f>'Monthly Data-EOP'!P71+'Monthly Data-FE'!P71+'Monthly Data-PC'!P71</f>
        <v>166402.58300000004</v>
      </c>
      <c r="AA11" s="8">
        <f>'Monthly Data-EOP'!Q71+'Monthly Data-FE'!Q71+'Monthly Data-PC'!Q71</f>
        <v>39</v>
      </c>
      <c r="AB11">
        <f>'Weather Data'!S191</f>
        <v>290</v>
      </c>
      <c r="AC11">
        <f>'Weather Data'!T191</f>
        <v>0</v>
      </c>
      <c r="AD11">
        <v>330.19999999999993</v>
      </c>
      <c r="AE11">
        <v>0</v>
      </c>
      <c r="AF11">
        <v>6472.1</v>
      </c>
      <c r="AG11">
        <v>80.900000000000006</v>
      </c>
      <c r="AH11">
        <v>190.8</v>
      </c>
      <c r="AI11">
        <f t="shared" si="6"/>
        <v>10</v>
      </c>
      <c r="AJ11">
        <v>0</v>
      </c>
      <c r="AK11">
        <v>1</v>
      </c>
      <c r="AL11">
        <v>1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1</v>
      </c>
      <c r="AW11">
        <v>0</v>
      </c>
      <c r="AX11">
        <v>0</v>
      </c>
      <c r="AY11">
        <v>21</v>
      </c>
      <c r="AZ11">
        <v>31</v>
      </c>
      <c r="BA11">
        <v>0</v>
      </c>
      <c r="BB11">
        <v>0</v>
      </c>
    </row>
    <row r="12" spans="1:54" x14ac:dyDescent="0.2">
      <c r="A12" s="3">
        <f>'Monthly Data-EOP'!A72</f>
        <v>40118</v>
      </c>
      <c r="B12" s="102">
        <f t="shared" si="7"/>
        <v>2009</v>
      </c>
      <c r="C12" s="8">
        <f>'Monthly Data-EOP'!B72+'Monthly Data-FE'!B72+'Monthly Data-PC'!B72</f>
        <v>42262625.200000003</v>
      </c>
      <c r="D12" s="8">
        <v>0</v>
      </c>
      <c r="E12" s="8">
        <v>1901.148810360821</v>
      </c>
      <c r="F12" s="8">
        <f t="shared" si="1"/>
        <v>11</v>
      </c>
      <c r="G12" s="8">
        <f t="shared" si="2"/>
        <v>145226.64523589602</v>
      </c>
      <c r="H12" s="8">
        <f t="shared" si="3"/>
        <v>42407851.845235899</v>
      </c>
      <c r="I12" s="8">
        <f>'Monthly Data-EOP'!C72+'Monthly Data-FE'!C72+'Monthly Data-PC'!C72</f>
        <v>12737543</v>
      </c>
      <c r="J12" s="8">
        <f>'Monthly Data-EOP'!D72+'Monthly Data-FE'!D72+'Monthly Data-PC'!D72</f>
        <v>25522</v>
      </c>
      <c r="K12" s="8">
        <f>'Monthly Data-EOP'!E72+'Monthly Data-FE'!E72+'Monthly Data-PC'!E72</f>
        <v>4271806.8</v>
      </c>
      <c r="L12" s="8">
        <f>'Monthly Data-EOP'!F72+'Monthly Data-FE'!F72+'Monthly Data-PC'!F72</f>
        <v>2520</v>
      </c>
      <c r="M12" s="8">
        <f>'Monthly Data-EOP'!G72+'Monthly Data-FE'!G72+'Monthly Data-PC'!G72</f>
        <v>17892451.10873197</v>
      </c>
      <c r="N12" s="8">
        <v>398782.44</v>
      </c>
      <c r="O12" s="8">
        <f t="shared" si="4"/>
        <v>17493668.668731969</v>
      </c>
      <c r="P12" s="8">
        <f>'Monthly Data-EOP'!H72+'Monthly Data-FE'!H72+'Monthly Data-PC'!H72</f>
        <v>59722.369916351745</v>
      </c>
      <c r="Q12" s="8">
        <v>1134</v>
      </c>
      <c r="R12" s="8">
        <f t="shared" si="5"/>
        <v>58588.369916351745</v>
      </c>
      <c r="S12" s="8">
        <f>'Monthly Data-EOP'!I72+'Monthly Data-FE'!I72+'Monthly Data-PC'!I72</f>
        <v>245</v>
      </c>
      <c r="T12" s="8">
        <f>'Monthly Data-EOP'!J72+'Monthly Data-FE'!J72+'Monthly Data-PC'!J72</f>
        <v>368462.45869525411</v>
      </c>
      <c r="U12" s="8">
        <f>'Monthly Data-EOP'!K72+'Monthly Data-FE'!K72+'Monthly Data-PC'!K72</f>
        <v>1194</v>
      </c>
      <c r="V12" s="8">
        <f>'Monthly Data-EOP'!L72+'Monthly Data-FE'!L72+'Monthly Data-PC'!L72</f>
        <v>5743</v>
      </c>
      <c r="W12" s="8">
        <f>'Monthly Data-EOP'!M72+'Monthly Data-FE'!M72+'Monthly Data-PC'!M72</f>
        <v>45542.627302351815</v>
      </c>
      <c r="X12" s="8">
        <f>'Monthly Data-EOP'!N72+'Monthly Data-FE'!N72+'Monthly Data-PC'!N72</f>
        <v>210.58333333333334</v>
      </c>
      <c r="Y12" s="8">
        <f>'Monthly Data-EOP'!O72+'Monthly Data-FE'!O72+'Monthly Data-PC'!O72</f>
        <v>1088</v>
      </c>
      <c r="Z12" s="8">
        <f>'Monthly Data-EOP'!P72+'Monthly Data-FE'!P72+'Monthly Data-PC'!P72</f>
        <v>81329.74900000004</v>
      </c>
      <c r="AA12" s="8">
        <f>'Monthly Data-EOP'!Q72+'Monthly Data-FE'!Q72+'Monthly Data-PC'!Q72</f>
        <v>39</v>
      </c>
      <c r="AB12">
        <f>'Weather Data'!S192</f>
        <v>359.59999999999997</v>
      </c>
      <c r="AC12">
        <f>'Weather Data'!T192</f>
        <v>0</v>
      </c>
      <c r="AD12">
        <v>384.49999999999989</v>
      </c>
      <c r="AE12">
        <v>0</v>
      </c>
      <c r="AF12">
        <v>6465.6</v>
      </c>
      <c r="AG12">
        <v>81.2</v>
      </c>
      <c r="AH12">
        <v>189.5</v>
      </c>
      <c r="AI12">
        <f t="shared" si="6"/>
        <v>11</v>
      </c>
      <c r="AJ12">
        <v>0</v>
      </c>
      <c r="AK12">
        <v>1</v>
      </c>
      <c r="AL12">
        <v>1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1</v>
      </c>
      <c r="AX12">
        <v>0</v>
      </c>
      <c r="AY12">
        <v>21</v>
      </c>
      <c r="AZ12">
        <v>30</v>
      </c>
      <c r="BA12">
        <v>0</v>
      </c>
      <c r="BB12">
        <v>0</v>
      </c>
    </row>
    <row r="13" spans="1:54" x14ac:dyDescent="0.2">
      <c r="A13" s="3">
        <f>'Monthly Data-EOP'!A73</f>
        <v>40148</v>
      </c>
      <c r="B13" s="102">
        <f t="shared" si="7"/>
        <v>2009</v>
      </c>
      <c r="C13" s="8">
        <f>'Monthly Data-EOP'!B73+'Monthly Data-FE'!B73+'Monthly Data-PC'!B73</f>
        <v>49546329.600000001</v>
      </c>
      <c r="D13" s="8">
        <v>0</v>
      </c>
      <c r="E13" s="8">
        <v>1901.148810360821</v>
      </c>
      <c r="F13" s="8">
        <f t="shared" si="1"/>
        <v>12</v>
      </c>
      <c r="G13" s="8">
        <f t="shared" si="2"/>
        <v>158429.06753006839</v>
      </c>
      <c r="H13" s="8">
        <f t="shared" si="3"/>
        <v>49704758.667530067</v>
      </c>
      <c r="I13" s="8">
        <f>'Monthly Data-EOP'!C73+'Monthly Data-FE'!C73+'Monthly Data-PC'!C73</f>
        <v>20075436</v>
      </c>
      <c r="J13" s="8">
        <f>'Monthly Data-EOP'!D73+'Monthly Data-FE'!D73+'Monthly Data-PC'!D73</f>
        <v>25522</v>
      </c>
      <c r="K13" s="8">
        <f>'Monthly Data-EOP'!E73+'Monthly Data-FE'!E73+'Monthly Data-PC'!E73</f>
        <v>6775103</v>
      </c>
      <c r="L13" s="8">
        <f>'Monthly Data-EOP'!F73+'Monthly Data-FE'!F73+'Monthly Data-PC'!F73</f>
        <v>2520</v>
      </c>
      <c r="M13" s="8">
        <f>'Monthly Data-EOP'!G73+'Monthly Data-FE'!G73+'Monthly Data-PC'!G73</f>
        <v>25162103.401114196</v>
      </c>
      <c r="N13" s="8">
        <v>527845.5</v>
      </c>
      <c r="O13" s="8">
        <f t="shared" si="4"/>
        <v>24634257.901114196</v>
      </c>
      <c r="P13" s="8">
        <f>'Monthly Data-EOP'!H73+'Monthly Data-FE'!H73+'Monthly Data-PC'!H73</f>
        <v>63517.653445815617</v>
      </c>
      <c r="Q13" s="8">
        <v>1280.1600000000001</v>
      </c>
      <c r="R13" s="8">
        <f t="shared" si="5"/>
        <v>62237.493445815613</v>
      </c>
      <c r="S13" s="8">
        <f>'Monthly Data-EOP'!I73+'Monthly Data-FE'!I73+'Monthly Data-PC'!I73</f>
        <v>245</v>
      </c>
      <c r="T13" s="8">
        <f>'Monthly Data-EOP'!J73+'Monthly Data-FE'!J73+'Monthly Data-PC'!J73</f>
        <v>515133.53011364967</v>
      </c>
      <c r="U13" s="8">
        <f>'Monthly Data-EOP'!K73+'Monthly Data-FE'!K73+'Monthly Data-PC'!K73</f>
        <v>1194</v>
      </c>
      <c r="V13" s="8">
        <f>'Monthly Data-EOP'!L73+'Monthly Data-FE'!L73+'Monthly Data-PC'!L73</f>
        <v>5743</v>
      </c>
      <c r="W13" s="8">
        <f>'Monthly Data-EOP'!M73+'Monthly Data-FE'!M73+'Monthly Data-PC'!M73</f>
        <v>57853.65874096124</v>
      </c>
      <c r="X13" s="8">
        <f>'Monthly Data-EOP'!N73+'Monthly Data-FE'!N73+'Monthly Data-PC'!N73</f>
        <v>210.58333333333334</v>
      </c>
      <c r="Y13" s="8">
        <f>'Monthly Data-EOP'!O73+'Monthly Data-FE'!O73+'Monthly Data-PC'!O73</f>
        <v>1088</v>
      </c>
      <c r="Z13" s="8">
        <f>'Monthly Data-EOP'!P73+'Monthly Data-FE'!P73+'Monthly Data-PC'!P73</f>
        <v>232498.799</v>
      </c>
      <c r="AA13" s="8">
        <f>'Monthly Data-EOP'!Q73+'Monthly Data-FE'!Q73+'Monthly Data-PC'!Q73</f>
        <v>39</v>
      </c>
      <c r="AB13">
        <f>'Weather Data'!S193</f>
        <v>612.29999999999984</v>
      </c>
      <c r="AC13">
        <f>'Weather Data'!T193</f>
        <v>0</v>
      </c>
      <c r="AD13">
        <v>696.79999999999984</v>
      </c>
      <c r="AE13">
        <v>0</v>
      </c>
      <c r="AF13">
        <v>6467.5</v>
      </c>
      <c r="AG13">
        <v>81.2</v>
      </c>
      <c r="AH13">
        <v>188.5</v>
      </c>
      <c r="AI13">
        <f t="shared" si="6"/>
        <v>12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1</v>
      </c>
      <c r="AY13">
        <v>21</v>
      </c>
      <c r="AZ13">
        <v>31</v>
      </c>
      <c r="BA13">
        <v>0</v>
      </c>
      <c r="BB13">
        <v>0</v>
      </c>
    </row>
    <row r="14" spans="1:54" x14ac:dyDescent="0.2">
      <c r="A14" s="3">
        <f>'Monthly Data-EOP'!A74</f>
        <v>40179</v>
      </c>
      <c r="B14" s="102">
        <f t="shared" si="7"/>
        <v>2010</v>
      </c>
      <c r="C14" s="8">
        <f>'Monthly Data-EOP'!B74+'Monthly Data-FE'!B74+'Monthly Data-PC'!B74</f>
        <v>51090364.299999997</v>
      </c>
      <c r="D14" s="8">
        <v>1689.1145663239051</v>
      </c>
      <c r="E14" s="8">
        <v>2267.5947925424725</v>
      </c>
      <c r="F14" s="8">
        <f t="shared" si="1"/>
        <v>1</v>
      </c>
      <c r="G14" s="8">
        <f t="shared" si="2"/>
        <v>156506.7332529815</v>
      </c>
      <c r="H14" s="8">
        <f t="shared" si="3"/>
        <v>51246871.033252977</v>
      </c>
      <c r="I14" s="8">
        <f>'Monthly Data-EOP'!C74+'Monthly Data-FE'!C74+'Monthly Data-PC'!C74</f>
        <v>21448906</v>
      </c>
      <c r="J14" s="8">
        <f>'Monthly Data-EOP'!D74+'Monthly Data-FE'!D74+'Monthly Data-PC'!D74</f>
        <v>25529</v>
      </c>
      <c r="K14" s="8">
        <f>'Monthly Data-EOP'!E74+'Monthly Data-FE'!E74+'Monthly Data-PC'!E74</f>
        <v>5741455.4000000004</v>
      </c>
      <c r="L14" s="8">
        <f>'Monthly Data-EOP'!F74+'Monthly Data-FE'!F74+'Monthly Data-PC'!F74</f>
        <v>2501</v>
      </c>
      <c r="M14" s="8">
        <f>'Monthly Data-EOP'!G74+'Monthly Data-FE'!G74+'Monthly Data-PC'!G74</f>
        <v>18598718.56014993</v>
      </c>
      <c r="N14" s="8">
        <v>490588.56</v>
      </c>
      <c r="O14" s="8">
        <f t="shared" si="4"/>
        <v>18108130.000149932</v>
      </c>
      <c r="P14" s="8">
        <f>'Monthly Data-EOP'!H74+'Monthly Data-FE'!H74+'Monthly Data-PC'!H74</f>
        <v>50575.664401684844</v>
      </c>
      <c r="Q14" s="8">
        <v>957.6</v>
      </c>
      <c r="R14" s="8">
        <f t="shared" si="5"/>
        <v>49618.064401684846</v>
      </c>
      <c r="S14" s="8">
        <f>'Monthly Data-EOP'!I74+'Monthly Data-FE'!I74+'Monthly Data-PC'!I74</f>
        <v>234</v>
      </c>
      <c r="T14" s="8">
        <f>'Monthly Data-EOP'!J74+'Monthly Data-FE'!J74+'Monthly Data-PC'!J74</f>
        <v>407457.46988635027</v>
      </c>
      <c r="U14" s="8">
        <f>'Monthly Data-EOP'!K74+'Monthly Data-FE'!K74+'Monthly Data-PC'!K74</f>
        <v>1207</v>
      </c>
      <c r="V14" s="8">
        <f>'Monthly Data-EOP'!L74+'Monthly Data-FE'!L74+'Monthly Data-PC'!L74</f>
        <v>5711</v>
      </c>
      <c r="W14" s="8">
        <f>'Monthly Data-EOP'!M74+'Monthly Data-FE'!M74+'Monthly Data-PC'!M74</f>
        <v>60680.447667817658</v>
      </c>
      <c r="X14" s="8">
        <f>'Monthly Data-EOP'!N74+'Monthly Data-FE'!N74+'Monthly Data-PC'!N74</f>
        <v>232.91666666666666</v>
      </c>
      <c r="Y14" s="8">
        <f>'Monthly Data-EOP'!O74+'Monthly Data-FE'!O74+'Monthly Data-PC'!O74</f>
        <v>966</v>
      </c>
      <c r="Z14" s="8">
        <f>'Monthly Data-EOP'!P74+'Monthly Data-FE'!P74+'Monthly Data-PC'!P74</f>
        <v>14967.633</v>
      </c>
      <c r="AA14" s="8">
        <f>'Monthly Data-EOP'!Q74+'Monthly Data-FE'!Q74+'Monthly Data-PC'!Q74</f>
        <v>39</v>
      </c>
      <c r="AB14">
        <f>'Weather Data'!S194</f>
        <v>711.09999999999991</v>
      </c>
      <c r="AC14">
        <f>'Weather Data'!T194</f>
        <v>0</v>
      </c>
      <c r="AD14">
        <v>750.59999999999991</v>
      </c>
      <c r="AE14">
        <v>0</v>
      </c>
      <c r="AF14">
        <v>6434.5</v>
      </c>
      <c r="AG14">
        <v>80</v>
      </c>
      <c r="AH14">
        <v>186.4</v>
      </c>
      <c r="AI14">
        <f t="shared" ref="AI14:AI72" si="8">AI13+1</f>
        <v>13</v>
      </c>
      <c r="AJ14">
        <f t="shared" ref="AJ14:AX18" si="9">AJ2</f>
        <v>0</v>
      </c>
      <c r="AK14">
        <f t="shared" si="9"/>
        <v>0</v>
      </c>
      <c r="AL14">
        <f t="shared" si="9"/>
        <v>0</v>
      </c>
      <c r="AM14">
        <f t="shared" si="9"/>
        <v>1</v>
      </c>
      <c r="AN14">
        <f t="shared" si="9"/>
        <v>0</v>
      </c>
      <c r="AO14">
        <f t="shared" si="9"/>
        <v>0</v>
      </c>
      <c r="AP14">
        <f t="shared" si="9"/>
        <v>0</v>
      </c>
      <c r="AQ14">
        <f t="shared" si="9"/>
        <v>0</v>
      </c>
      <c r="AR14">
        <f t="shared" si="9"/>
        <v>0</v>
      </c>
      <c r="AS14">
        <f t="shared" si="9"/>
        <v>0</v>
      </c>
      <c r="AT14">
        <f t="shared" si="9"/>
        <v>0</v>
      </c>
      <c r="AU14">
        <f t="shared" si="9"/>
        <v>0</v>
      </c>
      <c r="AV14">
        <f t="shared" si="9"/>
        <v>0</v>
      </c>
      <c r="AW14">
        <f t="shared" si="9"/>
        <v>0</v>
      </c>
      <c r="AX14">
        <f t="shared" si="9"/>
        <v>0</v>
      </c>
      <c r="AY14">
        <v>20</v>
      </c>
      <c r="AZ14">
        <v>31</v>
      </c>
      <c r="BA14">
        <v>0</v>
      </c>
      <c r="BB14">
        <v>0</v>
      </c>
    </row>
    <row r="15" spans="1:54" x14ac:dyDescent="0.2">
      <c r="A15" s="3">
        <f>'Monthly Data-EOP'!A75</f>
        <v>40210</v>
      </c>
      <c r="B15" s="102">
        <f t="shared" si="7"/>
        <v>2010</v>
      </c>
      <c r="C15" s="8">
        <f>'Monthly Data-EOP'!B75+'Monthly Data-FE'!B75+'Monthly Data-PC'!B75</f>
        <v>46540089.599999994</v>
      </c>
      <c r="D15" s="8">
        <v>1689.1145663239051</v>
      </c>
      <c r="E15" s="8">
        <v>2267.5947925424725</v>
      </c>
      <c r="F15" s="8">
        <f t="shared" si="1"/>
        <v>2</v>
      </c>
      <c r="G15" s="8">
        <f t="shared" si="2"/>
        <v>172253.91931230421</v>
      </c>
      <c r="H15" s="8">
        <f t="shared" si="3"/>
        <v>46712343.5193123</v>
      </c>
      <c r="I15" s="8">
        <f>'Monthly Data-EOP'!C75+'Monthly Data-FE'!C75+'Monthly Data-PC'!C75</f>
        <v>18337840</v>
      </c>
      <c r="J15" s="8">
        <f>'Monthly Data-EOP'!D75+'Monthly Data-FE'!D75+'Monthly Data-PC'!D75</f>
        <v>25529</v>
      </c>
      <c r="K15" s="8">
        <f>'Monthly Data-EOP'!E75+'Monthly Data-FE'!E75+'Monthly Data-PC'!E75</f>
        <v>5971898.2000000002</v>
      </c>
      <c r="L15" s="8">
        <f>'Monthly Data-EOP'!F75+'Monthly Data-FE'!F75+'Monthly Data-PC'!F75</f>
        <v>2501</v>
      </c>
      <c r="M15" s="8">
        <f>'Monthly Data-EOP'!G75+'Monthly Data-FE'!G75+'Monthly Data-PC'!G75</f>
        <v>14304325.242592048</v>
      </c>
      <c r="N15" s="8">
        <v>413020.44</v>
      </c>
      <c r="O15" s="8">
        <f t="shared" si="4"/>
        <v>13891304.802592048</v>
      </c>
      <c r="P15" s="8">
        <f>'Monthly Data-EOP'!H75+'Monthly Data-FE'!H75+'Monthly Data-PC'!H75</f>
        <v>68206.461453223659</v>
      </c>
      <c r="Q15" s="8">
        <v>856.8</v>
      </c>
      <c r="R15" s="8">
        <f t="shared" si="5"/>
        <v>67349.661453223656</v>
      </c>
      <c r="S15" s="8">
        <f>'Monthly Data-EOP'!I75+'Monthly Data-FE'!I75+'Monthly Data-PC'!I75</f>
        <v>234</v>
      </c>
      <c r="T15" s="8">
        <f>'Monthly Data-EOP'!J75+'Monthly Data-FE'!J75+'Monthly Data-PC'!J75</f>
        <v>-413664.7387155263</v>
      </c>
      <c r="U15" s="8">
        <f>'Monthly Data-EOP'!K75+'Monthly Data-FE'!K75+'Monthly Data-PC'!K75</f>
        <v>1207</v>
      </c>
      <c r="V15" s="8">
        <f>'Monthly Data-EOP'!L75+'Monthly Data-FE'!L75+'Monthly Data-PC'!L75</f>
        <v>5711</v>
      </c>
      <c r="W15" s="8">
        <f>'Monthly Data-EOP'!M75+'Monthly Data-FE'!M75+'Monthly Data-PC'!M75</f>
        <v>70429.038871570388</v>
      </c>
      <c r="X15" s="8">
        <f>'Monthly Data-EOP'!N75+'Monthly Data-FE'!N75+'Monthly Data-PC'!N75</f>
        <v>232.91666666666666</v>
      </c>
      <c r="Y15" s="8">
        <f>'Monthly Data-EOP'!O75+'Monthly Data-FE'!O75+'Monthly Data-PC'!O75</f>
        <v>966</v>
      </c>
      <c r="Z15" s="8">
        <f>'Monthly Data-EOP'!P75+'Monthly Data-FE'!P75+'Monthly Data-PC'!P75</f>
        <v>61203.096000000005</v>
      </c>
      <c r="AA15" s="8">
        <f>'Monthly Data-EOP'!Q75+'Monthly Data-FE'!Q75+'Monthly Data-PC'!Q75</f>
        <v>39</v>
      </c>
      <c r="AB15">
        <f>'Weather Data'!S195</f>
        <v>632.5</v>
      </c>
      <c r="AC15">
        <f>'Weather Data'!T195</f>
        <v>0</v>
      </c>
      <c r="AD15">
        <v>620.40000000000009</v>
      </c>
      <c r="AE15">
        <v>0</v>
      </c>
      <c r="AF15">
        <v>6404.1</v>
      </c>
      <c r="AG15">
        <v>77.7</v>
      </c>
      <c r="AH15">
        <v>184.7</v>
      </c>
      <c r="AI15">
        <f t="shared" si="8"/>
        <v>14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1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  <c r="AS15">
        <f t="shared" si="9"/>
        <v>0</v>
      </c>
      <c r="AT15">
        <f t="shared" si="9"/>
        <v>0</v>
      </c>
      <c r="AU15">
        <f t="shared" si="9"/>
        <v>0</v>
      </c>
      <c r="AV15">
        <f t="shared" si="9"/>
        <v>0</v>
      </c>
      <c r="AW15">
        <f t="shared" si="9"/>
        <v>0</v>
      </c>
      <c r="AX15">
        <f t="shared" si="9"/>
        <v>0</v>
      </c>
      <c r="AY15">
        <v>19</v>
      </c>
      <c r="AZ15">
        <v>28</v>
      </c>
      <c r="BA15">
        <v>0</v>
      </c>
      <c r="BB15">
        <v>0</v>
      </c>
    </row>
    <row r="16" spans="1:54" x14ac:dyDescent="0.2">
      <c r="A16" s="3">
        <f>'Monthly Data-EOP'!A76</f>
        <v>40238</v>
      </c>
      <c r="B16" s="102">
        <f t="shared" si="7"/>
        <v>2010</v>
      </c>
      <c r="C16" s="8">
        <f>'Monthly Data-EOP'!B76+'Monthly Data-FE'!B76+'Monthly Data-PC'!B76</f>
        <v>46977747.5</v>
      </c>
      <c r="D16" s="8">
        <v>1689.1145663239051</v>
      </c>
      <c r="E16" s="8">
        <v>2267.5947925424725</v>
      </c>
      <c r="F16" s="8">
        <f t="shared" si="1"/>
        <v>3</v>
      </c>
      <c r="G16" s="8">
        <f t="shared" si="2"/>
        <v>188001.10537162694</v>
      </c>
      <c r="H16" s="8">
        <f t="shared" si="3"/>
        <v>47165748.605371624</v>
      </c>
      <c r="I16" s="8">
        <f>'Monthly Data-EOP'!C76+'Monthly Data-FE'!C76+'Monthly Data-PC'!C76</f>
        <v>22000480</v>
      </c>
      <c r="J16" s="8">
        <f>'Monthly Data-EOP'!D76+'Monthly Data-FE'!D76+'Monthly Data-PC'!D76</f>
        <v>25529</v>
      </c>
      <c r="K16" s="8">
        <f>'Monthly Data-EOP'!E76+'Monthly Data-FE'!E76+'Monthly Data-PC'!E76</f>
        <v>7215072.7999999998</v>
      </c>
      <c r="L16" s="8">
        <f>'Monthly Data-EOP'!F76+'Monthly Data-FE'!F76+'Monthly Data-PC'!F76</f>
        <v>2501</v>
      </c>
      <c r="M16" s="8">
        <f>'Monthly Data-EOP'!G76+'Monthly Data-FE'!G76+'Monthly Data-PC'!G76</f>
        <v>24682671.925598562</v>
      </c>
      <c r="N16" s="8">
        <v>411528.6</v>
      </c>
      <c r="O16" s="8">
        <f t="shared" si="4"/>
        <v>24271143.32559856</v>
      </c>
      <c r="P16" s="8">
        <f>'Monthly Data-EOP'!H76+'Monthly Data-FE'!H76+'Monthly Data-PC'!H76</f>
        <v>60975.005055473797</v>
      </c>
      <c r="Q16" s="8">
        <v>1048.32</v>
      </c>
      <c r="R16" s="8">
        <f t="shared" si="5"/>
        <v>59926.685055473798</v>
      </c>
      <c r="S16" s="8">
        <f>'Monthly Data-EOP'!I76+'Monthly Data-FE'!I76+'Monthly Data-PC'!I76</f>
        <v>234</v>
      </c>
      <c r="T16" s="8">
        <f>'Monthly Data-EOP'!J76+'Monthly Data-FE'!J76+'Monthly Data-PC'!J76</f>
        <v>750629.744705869</v>
      </c>
      <c r="U16" s="8">
        <f>'Monthly Data-EOP'!K76+'Monthly Data-FE'!K76+'Monthly Data-PC'!K76</f>
        <v>1207</v>
      </c>
      <c r="V16" s="8">
        <f>'Monthly Data-EOP'!L76+'Monthly Data-FE'!L76+'Monthly Data-PC'!L76</f>
        <v>5711</v>
      </c>
      <c r="W16" s="8">
        <f>'Monthly Data-EOP'!M76+'Monthly Data-FE'!M76+'Monthly Data-PC'!M76</f>
        <v>60357.957610902246</v>
      </c>
      <c r="X16" s="8">
        <f>'Monthly Data-EOP'!N76+'Monthly Data-FE'!N76+'Monthly Data-PC'!N76</f>
        <v>232.91666666666666</v>
      </c>
      <c r="Y16" s="8">
        <f>'Monthly Data-EOP'!O76+'Monthly Data-FE'!O76+'Monthly Data-PC'!O76</f>
        <v>966</v>
      </c>
      <c r="Z16" s="8">
        <f>'Monthly Data-EOP'!P76+'Monthly Data-FE'!P76+'Monthly Data-PC'!P76</f>
        <v>292461.18199999997</v>
      </c>
      <c r="AA16" s="8">
        <f>'Monthly Data-EOP'!Q76+'Monthly Data-FE'!Q76+'Monthly Data-PC'!Q76</f>
        <v>39</v>
      </c>
      <c r="AB16">
        <f>'Weather Data'!S196</f>
        <v>468</v>
      </c>
      <c r="AC16">
        <f>'Weather Data'!T196</f>
        <v>0</v>
      </c>
      <c r="AD16">
        <v>451.89999999999992</v>
      </c>
      <c r="AE16">
        <v>0</v>
      </c>
      <c r="AF16">
        <v>6377.2</v>
      </c>
      <c r="AG16">
        <v>76.400000000000006</v>
      </c>
      <c r="AH16">
        <v>184.8</v>
      </c>
      <c r="AI16">
        <f t="shared" si="8"/>
        <v>15</v>
      </c>
      <c r="AJ16">
        <f t="shared" si="9"/>
        <v>1</v>
      </c>
      <c r="AK16">
        <f t="shared" si="9"/>
        <v>0</v>
      </c>
      <c r="AL16">
        <f t="shared" si="9"/>
        <v>1</v>
      </c>
      <c r="AM16">
        <f t="shared" si="9"/>
        <v>0</v>
      </c>
      <c r="AN16">
        <f t="shared" si="9"/>
        <v>0</v>
      </c>
      <c r="AO16">
        <f t="shared" si="9"/>
        <v>1</v>
      </c>
      <c r="AP16">
        <f t="shared" si="9"/>
        <v>0</v>
      </c>
      <c r="AQ16">
        <f t="shared" si="9"/>
        <v>0</v>
      </c>
      <c r="AR16">
        <f t="shared" si="9"/>
        <v>0</v>
      </c>
      <c r="AS16">
        <f t="shared" si="9"/>
        <v>0</v>
      </c>
      <c r="AT16">
        <f t="shared" si="9"/>
        <v>0</v>
      </c>
      <c r="AU16">
        <f t="shared" si="9"/>
        <v>0</v>
      </c>
      <c r="AV16">
        <f t="shared" si="9"/>
        <v>0</v>
      </c>
      <c r="AW16">
        <f t="shared" si="9"/>
        <v>0</v>
      </c>
      <c r="AX16">
        <f t="shared" si="9"/>
        <v>0</v>
      </c>
      <c r="AY16">
        <v>23</v>
      </c>
      <c r="AZ16">
        <v>31</v>
      </c>
      <c r="BA16">
        <v>0</v>
      </c>
      <c r="BB16">
        <v>0</v>
      </c>
    </row>
    <row r="17" spans="1:54" x14ac:dyDescent="0.2">
      <c r="A17" s="3">
        <f>'Monthly Data-EOP'!A77</f>
        <v>40269</v>
      </c>
      <c r="B17" s="102">
        <f t="shared" si="7"/>
        <v>2010</v>
      </c>
      <c r="C17" s="8">
        <f>'Monthly Data-EOP'!B77+'Monthly Data-FE'!B77+'Monthly Data-PC'!B77</f>
        <v>39694110.600000001</v>
      </c>
      <c r="D17" s="8">
        <v>1689.1145663239051</v>
      </c>
      <c r="E17" s="8">
        <v>2267.5947925424725</v>
      </c>
      <c r="F17" s="8">
        <f t="shared" si="1"/>
        <v>4</v>
      </c>
      <c r="G17" s="8">
        <f t="shared" si="2"/>
        <v>203748.29143094967</v>
      </c>
      <c r="H17" s="8">
        <f t="shared" si="3"/>
        <v>39897858.891430952</v>
      </c>
      <c r="I17" s="8">
        <f>'Monthly Data-EOP'!C77+'Monthly Data-FE'!C77+'Monthly Data-PC'!C77</f>
        <v>10469998</v>
      </c>
      <c r="J17" s="8">
        <f>'Monthly Data-EOP'!D77+'Monthly Data-FE'!D77+'Monthly Data-PC'!D77</f>
        <v>25529</v>
      </c>
      <c r="K17" s="8">
        <f>'Monthly Data-EOP'!E77+'Monthly Data-FE'!E77+'Monthly Data-PC'!E77</f>
        <v>4406600.8</v>
      </c>
      <c r="L17" s="8">
        <f>'Monthly Data-EOP'!F77+'Monthly Data-FE'!F77+'Monthly Data-PC'!F77</f>
        <v>2501</v>
      </c>
      <c r="M17" s="8">
        <f>'Monthly Data-EOP'!G77+'Monthly Data-FE'!G77+'Monthly Data-PC'!G77</f>
        <v>16981600.621853091</v>
      </c>
      <c r="N17" s="8">
        <v>330437.52</v>
      </c>
      <c r="O17" s="8">
        <f t="shared" si="4"/>
        <v>16651163.101853091</v>
      </c>
      <c r="P17" s="8">
        <f>'Monthly Data-EOP'!H77+'Monthly Data-FE'!H77+'Monthly Data-PC'!H77</f>
        <v>64601.064658028561</v>
      </c>
      <c r="Q17" s="8">
        <v>937.44</v>
      </c>
      <c r="R17" s="8">
        <f t="shared" si="5"/>
        <v>63663.624658028559</v>
      </c>
      <c r="S17" s="8">
        <f>'Monthly Data-EOP'!I77+'Monthly Data-FE'!I77+'Monthly Data-PC'!I77</f>
        <v>234</v>
      </c>
      <c r="T17" s="8">
        <f>'Monthly Data-EOP'!J77+'Monthly Data-FE'!J77+'Monthly Data-PC'!J77</f>
        <v>398850.3937159467</v>
      </c>
      <c r="U17" s="8">
        <f>'Monthly Data-EOP'!K77+'Monthly Data-FE'!K77+'Monthly Data-PC'!K77</f>
        <v>1207</v>
      </c>
      <c r="V17" s="8">
        <f>'Monthly Data-EOP'!L77+'Monthly Data-FE'!L77+'Monthly Data-PC'!L77</f>
        <v>5711</v>
      </c>
      <c r="W17" s="8">
        <f>'Monthly Data-EOP'!M77+'Monthly Data-FE'!M77+'Monthly Data-PC'!M77</f>
        <v>63309.917076521087</v>
      </c>
      <c r="X17" s="8">
        <f>'Monthly Data-EOP'!N77+'Monthly Data-FE'!N77+'Monthly Data-PC'!N77</f>
        <v>232.91666666666666</v>
      </c>
      <c r="Y17" s="8">
        <f>'Monthly Data-EOP'!O77+'Monthly Data-FE'!O77+'Monthly Data-PC'!O77</f>
        <v>966</v>
      </c>
      <c r="Z17" s="8">
        <f>'Monthly Data-EOP'!P77+'Monthly Data-FE'!P77+'Monthly Data-PC'!P77</f>
        <v>82042.996000000043</v>
      </c>
      <c r="AA17" s="8">
        <f>'Monthly Data-EOP'!Q77+'Monthly Data-FE'!Q77+'Monthly Data-PC'!Q77</f>
        <v>39</v>
      </c>
      <c r="AB17">
        <f>'Weather Data'!S197</f>
        <v>251</v>
      </c>
      <c r="AC17">
        <f>'Weather Data'!T197</f>
        <v>0</v>
      </c>
      <c r="AD17">
        <v>243.49999999999989</v>
      </c>
      <c r="AE17">
        <v>1.3</v>
      </c>
      <c r="AF17">
        <v>6401.7</v>
      </c>
      <c r="AG17">
        <v>76.400000000000006</v>
      </c>
      <c r="AH17">
        <v>184.9</v>
      </c>
      <c r="AI17">
        <f t="shared" si="8"/>
        <v>16</v>
      </c>
      <c r="AJ17">
        <f t="shared" si="9"/>
        <v>1</v>
      </c>
      <c r="AK17">
        <f t="shared" si="9"/>
        <v>0</v>
      </c>
      <c r="AL17">
        <f t="shared" si="9"/>
        <v>1</v>
      </c>
      <c r="AM17">
        <f t="shared" si="9"/>
        <v>0</v>
      </c>
      <c r="AN17">
        <f t="shared" si="9"/>
        <v>0</v>
      </c>
      <c r="AO17">
        <f t="shared" si="9"/>
        <v>0</v>
      </c>
      <c r="AP17">
        <f t="shared" si="9"/>
        <v>1</v>
      </c>
      <c r="AQ17">
        <f t="shared" si="9"/>
        <v>0</v>
      </c>
      <c r="AR17">
        <f t="shared" si="9"/>
        <v>0</v>
      </c>
      <c r="AS17">
        <f t="shared" si="9"/>
        <v>0</v>
      </c>
      <c r="AT17">
        <f t="shared" si="9"/>
        <v>0</v>
      </c>
      <c r="AU17">
        <f t="shared" si="9"/>
        <v>0</v>
      </c>
      <c r="AV17">
        <f t="shared" si="9"/>
        <v>0</v>
      </c>
      <c r="AW17">
        <f t="shared" si="9"/>
        <v>0</v>
      </c>
      <c r="AX17">
        <f t="shared" si="9"/>
        <v>0</v>
      </c>
      <c r="AY17">
        <v>20</v>
      </c>
      <c r="AZ17">
        <v>30</v>
      </c>
      <c r="BA17">
        <v>0</v>
      </c>
      <c r="BB17">
        <v>0</v>
      </c>
    </row>
    <row r="18" spans="1:54" x14ac:dyDescent="0.2">
      <c r="A18" s="3">
        <f>'Monthly Data-EOP'!A78</f>
        <v>40299</v>
      </c>
      <c r="B18" s="102">
        <f t="shared" si="7"/>
        <v>2010</v>
      </c>
      <c r="C18" s="8">
        <f>'Monthly Data-EOP'!B78+'Monthly Data-FE'!B78+'Monthly Data-PC'!B78</f>
        <v>42117970.700000003</v>
      </c>
      <c r="D18" s="8">
        <v>1689.1145663239051</v>
      </c>
      <c r="E18" s="8">
        <v>2267.5947925424725</v>
      </c>
      <c r="F18" s="8">
        <f t="shared" si="1"/>
        <v>5</v>
      </c>
      <c r="G18" s="8">
        <f t="shared" si="2"/>
        <v>219495.47749027237</v>
      </c>
      <c r="H18" s="8">
        <f t="shared" si="3"/>
        <v>42337466.177490279</v>
      </c>
      <c r="I18" s="8">
        <f>'Monthly Data-EOP'!C78+'Monthly Data-FE'!C78+'Monthly Data-PC'!C78</f>
        <v>14001549</v>
      </c>
      <c r="J18" s="8">
        <f>'Monthly Data-EOP'!D78+'Monthly Data-FE'!D78+'Monthly Data-PC'!D78</f>
        <v>25529</v>
      </c>
      <c r="K18" s="8">
        <f>'Monthly Data-EOP'!E78+'Monthly Data-FE'!E78+'Monthly Data-PC'!E78</f>
        <v>5909845.2000000002</v>
      </c>
      <c r="L18" s="8">
        <f>'Monthly Data-EOP'!F78+'Monthly Data-FE'!F78+'Monthly Data-PC'!F78</f>
        <v>2501</v>
      </c>
      <c r="M18" s="8">
        <f>'Monthly Data-EOP'!G78+'Monthly Data-FE'!G78+'Monthly Data-PC'!G78</f>
        <v>21115374.708798718</v>
      </c>
      <c r="N18" s="8">
        <v>377492.22</v>
      </c>
      <c r="O18" s="8">
        <f t="shared" si="4"/>
        <v>20737882.488798719</v>
      </c>
      <c r="P18" s="8">
        <f>'Monthly Data-EOP'!H78+'Monthly Data-FE'!H78+'Monthly Data-PC'!H78</f>
        <v>69962.353674299171</v>
      </c>
      <c r="Q18" s="8">
        <v>1038.24</v>
      </c>
      <c r="R18" s="8">
        <f t="shared" si="5"/>
        <v>68924.113674299166</v>
      </c>
      <c r="S18" s="8">
        <f>'Monthly Data-EOP'!I78+'Monthly Data-FE'!I78+'Monthly Data-PC'!I78</f>
        <v>234</v>
      </c>
      <c r="T18" s="8">
        <f>'Monthly Data-EOP'!J78+'Monthly Data-FE'!J78+'Monthly Data-PC'!J78</f>
        <v>312879.4344675797</v>
      </c>
      <c r="U18" s="8">
        <f>'Monthly Data-EOP'!K78+'Monthly Data-FE'!K78+'Monthly Data-PC'!K78</f>
        <v>1207</v>
      </c>
      <c r="V18" s="8">
        <f>'Monthly Data-EOP'!L78+'Monthly Data-FE'!L78+'Monthly Data-PC'!L78</f>
        <v>5711</v>
      </c>
      <c r="W18" s="8">
        <f>'Monthly Data-EOP'!M78+'Monthly Data-FE'!M78+'Monthly Data-PC'!M78</f>
        <v>71326.050332296611</v>
      </c>
      <c r="X18" s="8">
        <f>'Monthly Data-EOP'!N78+'Monthly Data-FE'!N78+'Monthly Data-PC'!N78</f>
        <v>232.91666666666666</v>
      </c>
      <c r="Y18" s="8">
        <f>'Monthly Data-EOP'!O78+'Monthly Data-FE'!O78+'Monthly Data-PC'!O78</f>
        <v>966</v>
      </c>
      <c r="Z18" s="8">
        <f>'Monthly Data-EOP'!P78+'Monthly Data-FE'!P78+'Monthly Data-PC'!P78</f>
        <v>174029.96999999997</v>
      </c>
      <c r="AA18" s="8">
        <f>'Monthly Data-EOP'!Q78+'Monthly Data-FE'!Q78+'Monthly Data-PC'!Q78</f>
        <v>39</v>
      </c>
      <c r="AB18">
        <f>'Weather Data'!S198</f>
        <v>125.40000000000003</v>
      </c>
      <c r="AC18">
        <f>'Weather Data'!T198</f>
        <v>27.5</v>
      </c>
      <c r="AD18">
        <v>110.2</v>
      </c>
      <c r="AE18">
        <v>26.100000000000005</v>
      </c>
      <c r="AF18">
        <v>6468.9</v>
      </c>
      <c r="AG18">
        <v>77.599999999999994</v>
      </c>
      <c r="AH18">
        <v>188.2</v>
      </c>
      <c r="AI18">
        <f t="shared" si="8"/>
        <v>17</v>
      </c>
      <c r="AJ18">
        <f t="shared" si="9"/>
        <v>1</v>
      </c>
      <c r="AK18">
        <f t="shared" si="9"/>
        <v>0</v>
      </c>
      <c r="AL18">
        <f t="shared" si="9"/>
        <v>1</v>
      </c>
      <c r="AM18">
        <f t="shared" si="9"/>
        <v>0</v>
      </c>
      <c r="AN18">
        <f t="shared" si="9"/>
        <v>0</v>
      </c>
      <c r="AO18">
        <f t="shared" si="9"/>
        <v>0</v>
      </c>
      <c r="AP18">
        <f t="shared" si="9"/>
        <v>0</v>
      </c>
      <c r="AQ18">
        <f t="shared" si="9"/>
        <v>1</v>
      </c>
      <c r="AR18">
        <f t="shared" si="9"/>
        <v>0</v>
      </c>
      <c r="AS18">
        <f t="shared" si="9"/>
        <v>0</v>
      </c>
      <c r="AT18">
        <f t="shared" si="9"/>
        <v>0</v>
      </c>
      <c r="AU18">
        <f t="shared" si="9"/>
        <v>0</v>
      </c>
      <c r="AV18">
        <f t="shared" si="9"/>
        <v>0</v>
      </c>
      <c r="AW18">
        <f t="shared" si="9"/>
        <v>0</v>
      </c>
      <c r="AX18">
        <f t="shared" si="9"/>
        <v>0</v>
      </c>
      <c r="AY18">
        <v>20</v>
      </c>
      <c r="AZ18">
        <v>31</v>
      </c>
      <c r="BA18">
        <v>0</v>
      </c>
      <c r="BB18">
        <v>0</v>
      </c>
    </row>
    <row r="19" spans="1:54" x14ac:dyDescent="0.2">
      <c r="A19" s="3">
        <f>'Monthly Data-EOP'!A79</f>
        <v>40330</v>
      </c>
      <c r="B19" s="102">
        <f t="shared" si="7"/>
        <v>2010</v>
      </c>
      <c r="C19" s="8">
        <f>'Monthly Data-EOP'!B79+'Monthly Data-FE'!B79+'Monthly Data-PC'!B79</f>
        <v>45921610.299999997</v>
      </c>
      <c r="D19" s="8">
        <v>1689.1145663239051</v>
      </c>
      <c r="E19" s="8">
        <v>2267.5947925424725</v>
      </c>
      <c r="F19" s="8">
        <f t="shared" si="1"/>
        <v>6</v>
      </c>
      <c r="G19" s="8">
        <f t="shared" si="2"/>
        <v>235242.66354959513</v>
      </c>
      <c r="H19" s="8">
        <f t="shared" si="3"/>
        <v>46156852.963549592</v>
      </c>
      <c r="I19" s="8">
        <f>'Monthly Data-EOP'!C79+'Monthly Data-FE'!C79+'Monthly Data-PC'!C79</f>
        <v>16196587</v>
      </c>
      <c r="J19" s="8">
        <f>'Monthly Data-EOP'!D79+'Monthly Data-FE'!D79+'Monthly Data-PC'!D79</f>
        <v>25529</v>
      </c>
      <c r="K19" s="8">
        <f>'Monthly Data-EOP'!E79+'Monthly Data-FE'!E79+'Monthly Data-PC'!E79</f>
        <v>6300023</v>
      </c>
      <c r="L19" s="8">
        <f>'Monthly Data-EOP'!F79+'Monthly Data-FE'!F79+'Monthly Data-PC'!F79</f>
        <v>2501</v>
      </c>
      <c r="M19" s="8">
        <f>'Monthly Data-EOP'!G79+'Monthly Data-FE'!G79+'Monthly Data-PC'!G79</f>
        <v>22733211.722543009</v>
      </c>
      <c r="N19" s="8">
        <v>411384.96</v>
      </c>
      <c r="O19" s="8">
        <f t="shared" si="4"/>
        <v>22321826.762543008</v>
      </c>
      <c r="P19" s="8">
        <f>'Monthly Data-EOP'!H79+'Monthly Data-FE'!H79+'Monthly Data-PC'!H79</f>
        <v>61559.406395876467</v>
      </c>
      <c r="Q19" s="8">
        <v>1073.52</v>
      </c>
      <c r="R19" s="8">
        <f t="shared" si="5"/>
        <v>60485.88639587647</v>
      </c>
      <c r="S19" s="8">
        <f>'Monthly Data-EOP'!I79+'Monthly Data-FE'!I79+'Monthly Data-PC'!I79</f>
        <v>234</v>
      </c>
      <c r="T19" s="8">
        <f>'Monthly Data-EOP'!J79+'Monthly Data-FE'!J79+'Monthly Data-PC'!J79</f>
        <v>80006.945767991827</v>
      </c>
      <c r="U19" s="8">
        <f>'Monthly Data-EOP'!K79+'Monthly Data-FE'!K79+'Monthly Data-PC'!K79</f>
        <v>1207</v>
      </c>
      <c r="V19" s="8">
        <f>'Monthly Data-EOP'!L79+'Monthly Data-FE'!L79+'Monthly Data-PC'!L79</f>
        <v>5711</v>
      </c>
      <c r="W19" s="8">
        <f>'Monthly Data-EOP'!M79+'Monthly Data-FE'!M79+'Monthly Data-PC'!M79</f>
        <v>40993.092101171671</v>
      </c>
      <c r="X19" s="8">
        <f>'Monthly Data-EOP'!N79+'Monthly Data-FE'!N79+'Monthly Data-PC'!N79</f>
        <v>232.91666666666666</v>
      </c>
      <c r="Y19" s="8">
        <f>'Monthly Data-EOP'!O79+'Monthly Data-FE'!O79+'Monthly Data-PC'!O79</f>
        <v>966</v>
      </c>
      <c r="Z19" s="8">
        <f>'Monthly Data-EOP'!P79+'Monthly Data-FE'!P79+'Monthly Data-PC'!P79</f>
        <v>127887.78499999996</v>
      </c>
      <c r="AA19" s="8">
        <f>'Monthly Data-EOP'!Q79+'Monthly Data-FE'!Q79+'Monthly Data-PC'!Q79</f>
        <v>39</v>
      </c>
      <c r="AB19">
        <f>'Weather Data'!S199</f>
        <v>23.599999999999994</v>
      </c>
      <c r="AC19">
        <f>'Weather Data'!T199</f>
        <v>55.100000000000009</v>
      </c>
      <c r="AD19">
        <v>38.300000000000004</v>
      </c>
      <c r="AE19">
        <v>33.700000000000003</v>
      </c>
      <c r="AF19">
        <v>6578.9</v>
      </c>
      <c r="AG19">
        <v>77.7</v>
      </c>
      <c r="AH19">
        <v>193.5</v>
      </c>
      <c r="AI19">
        <f t="shared" si="8"/>
        <v>18</v>
      </c>
      <c r="AJ19">
        <f t="shared" ref="AJ19:AX34" si="10">AJ7</f>
        <v>0</v>
      </c>
      <c r="AK19">
        <f t="shared" si="10"/>
        <v>0</v>
      </c>
      <c r="AL19">
        <f t="shared" si="10"/>
        <v>0</v>
      </c>
      <c r="AM19">
        <f t="shared" si="10"/>
        <v>0</v>
      </c>
      <c r="AN19">
        <f t="shared" si="10"/>
        <v>0</v>
      </c>
      <c r="AO19">
        <f t="shared" si="10"/>
        <v>0</v>
      </c>
      <c r="AP19">
        <f t="shared" si="10"/>
        <v>0</v>
      </c>
      <c r="AQ19">
        <f t="shared" si="10"/>
        <v>0</v>
      </c>
      <c r="AR19">
        <f t="shared" si="10"/>
        <v>1</v>
      </c>
      <c r="AS19">
        <f t="shared" si="10"/>
        <v>0</v>
      </c>
      <c r="AT19">
        <f t="shared" si="10"/>
        <v>0</v>
      </c>
      <c r="AU19">
        <f t="shared" si="10"/>
        <v>0</v>
      </c>
      <c r="AV19">
        <f t="shared" si="10"/>
        <v>0</v>
      </c>
      <c r="AW19">
        <f t="shared" si="10"/>
        <v>0</v>
      </c>
      <c r="AX19">
        <f t="shared" si="10"/>
        <v>0</v>
      </c>
      <c r="AY19">
        <v>22</v>
      </c>
      <c r="AZ19">
        <v>30</v>
      </c>
      <c r="BA19">
        <v>0</v>
      </c>
      <c r="BB19">
        <v>0</v>
      </c>
    </row>
    <row r="20" spans="1:54" x14ac:dyDescent="0.2">
      <c r="A20" s="3">
        <f>'Monthly Data-EOP'!A80</f>
        <v>40360</v>
      </c>
      <c r="B20" s="102">
        <f t="shared" si="7"/>
        <v>2010</v>
      </c>
      <c r="C20" s="8">
        <f>'Monthly Data-EOP'!B80+'Monthly Data-FE'!B80+'Monthly Data-PC'!B80</f>
        <v>55531120.200000003</v>
      </c>
      <c r="D20" s="8">
        <v>1689.1145663239051</v>
      </c>
      <c r="E20" s="8">
        <v>2267.5947925424725</v>
      </c>
      <c r="F20" s="8">
        <f t="shared" si="1"/>
        <v>7</v>
      </c>
      <c r="G20" s="8">
        <f t="shared" si="2"/>
        <v>250989.84960891784</v>
      </c>
      <c r="H20" s="8">
        <f t="shared" si="3"/>
        <v>55782110.049608923</v>
      </c>
      <c r="I20" s="8">
        <f>'Monthly Data-EOP'!C80+'Monthly Data-FE'!C80+'Monthly Data-PC'!C80</f>
        <v>21725133</v>
      </c>
      <c r="J20" s="8">
        <f>'Monthly Data-EOP'!D80+'Monthly Data-FE'!D80+'Monthly Data-PC'!D80</f>
        <v>25529</v>
      </c>
      <c r="K20" s="8">
        <f>'Monthly Data-EOP'!E80+'Monthly Data-FE'!E80+'Monthly Data-PC'!E80</f>
        <v>6461658.5999999996</v>
      </c>
      <c r="L20" s="8">
        <f>'Monthly Data-EOP'!F80+'Monthly Data-FE'!F80+'Monthly Data-PC'!F80</f>
        <v>2501</v>
      </c>
      <c r="M20" s="8">
        <f>'Monthly Data-EOP'!G80+'Monthly Data-FE'!G80+'Monthly Data-PC'!G80</f>
        <v>23052270.604151674</v>
      </c>
      <c r="N20" s="8">
        <v>516615.12</v>
      </c>
      <c r="O20" s="8">
        <f t="shared" si="4"/>
        <v>22535655.484151673</v>
      </c>
      <c r="P20" s="8">
        <f>'Monthly Data-EOP'!H80+'Monthly Data-FE'!H80+'Monthly Data-PC'!H80</f>
        <v>85752.860779309922</v>
      </c>
      <c r="Q20" s="8">
        <v>1391.04</v>
      </c>
      <c r="R20" s="8">
        <f t="shared" si="5"/>
        <v>84361.820779309928</v>
      </c>
      <c r="S20" s="8">
        <f>'Monthly Data-EOP'!I80+'Monthly Data-FE'!I80+'Monthly Data-PC'!I80</f>
        <v>234</v>
      </c>
      <c r="T20" s="8">
        <f>'Monthly Data-EOP'!J80+'Monthly Data-FE'!J80+'Monthly Data-PC'!J80</f>
        <v>492177.4376425161</v>
      </c>
      <c r="U20" s="8">
        <f>'Monthly Data-EOP'!K80+'Monthly Data-FE'!K80+'Monthly Data-PC'!K80</f>
        <v>1207</v>
      </c>
      <c r="V20" s="8">
        <f>'Monthly Data-EOP'!L80+'Monthly Data-FE'!L80+'Monthly Data-PC'!L80</f>
        <v>5711</v>
      </c>
      <c r="W20" s="8">
        <f>'Monthly Data-EOP'!M80+'Monthly Data-FE'!M80+'Monthly Data-PC'!M80</f>
        <v>87874.579440013738</v>
      </c>
      <c r="X20" s="8">
        <f>'Monthly Data-EOP'!N80+'Monthly Data-FE'!N80+'Monthly Data-PC'!N80</f>
        <v>232.91666666666666</v>
      </c>
      <c r="Y20" s="8">
        <f>'Monthly Data-EOP'!O80+'Monthly Data-FE'!O80+'Monthly Data-PC'!O80</f>
        <v>966</v>
      </c>
      <c r="Z20" s="8">
        <f>'Monthly Data-EOP'!P80+'Monthly Data-FE'!P80+'Monthly Data-PC'!P80</f>
        <v>135791.09600000005</v>
      </c>
      <c r="AA20" s="8">
        <f>'Monthly Data-EOP'!Q80+'Monthly Data-FE'!Q80+'Monthly Data-PC'!Q80</f>
        <v>39</v>
      </c>
      <c r="AB20">
        <f>'Weather Data'!S200</f>
        <v>4.5999999999999996</v>
      </c>
      <c r="AC20">
        <f>'Weather Data'!T200</f>
        <v>123.99999999999999</v>
      </c>
      <c r="AD20">
        <v>3.4000000000000004</v>
      </c>
      <c r="AE20">
        <v>139.79999999999995</v>
      </c>
      <c r="AF20">
        <v>6640.9</v>
      </c>
      <c r="AG20">
        <v>78.5</v>
      </c>
      <c r="AH20">
        <v>196.1</v>
      </c>
      <c r="AI20">
        <f t="shared" si="8"/>
        <v>19</v>
      </c>
      <c r="AJ20">
        <f t="shared" si="10"/>
        <v>0</v>
      </c>
      <c r="AK20">
        <f t="shared" si="10"/>
        <v>0</v>
      </c>
      <c r="AL20">
        <f t="shared" si="10"/>
        <v>0</v>
      </c>
      <c r="AM20">
        <f t="shared" si="10"/>
        <v>0</v>
      </c>
      <c r="AN20">
        <f t="shared" si="10"/>
        <v>0</v>
      </c>
      <c r="AO20">
        <f t="shared" si="10"/>
        <v>0</v>
      </c>
      <c r="AP20">
        <f t="shared" si="10"/>
        <v>0</v>
      </c>
      <c r="AQ20">
        <f t="shared" si="10"/>
        <v>0</v>
      </c>
      <c r="AR20">
        <f t="shared" si="10"/>
        <v>0</v>
      </c>
      <c r="AS20">
        <f t="shared" si="10"/>
        <v>1</v>
      </c>
      <c r="AT20">
        <f t="shared" si="10"/>
        <v>0</v>
      </c>
      <c r="AU20">
        <f t="shared" si="10"/>
        <v>0</v>
      </c>
      <c r="AV20">
        <f t="shared" si="10"/>
        <v>0</v>
      </c>
      <c r="AW20">
        <f t="shared" si="10"/>
        <v>0</v>
      </c>
      <c r="AX20">
        <f t="shared" si="10"/>
        <v>0</v>
      </c>
      <c r="AY20">
        <v>21</v>
      </c>
      <c r="AZ20">
        <v>31</v>
      </c>
      <c r="BA20">
        <v>0</v>
      </c>
      <c r="BB20">
        <v>0</v>
      </c>
    </row>
    <row r="21" spans="1:54" x14ac:dyDescent="0.2">
      <c r="A21" s="3">
        <f>'Monthly Data-EOP'!A81</f>
        <v>40391</v>
      </c>
      <c r="B21" s="102">
        <f t="shared" si="7"/>
        <v>2010</v>
      </c>
      <c r="C21" s="8">
        <f>'Monthly Data-EOP'!B81+'Monthly Data-FE'!B81+'Monthly Data-PC'!B81</f>
        <v>54409471.399999999</v>
      </c>
      <c r="D21" s="8">
        <v>1689.1145663239051</v>
      </c>
      <c r="E21" s="8">
        <v>2267.5947925424725</v>
      </c>
      <c r="F21" s="8">
        <f t="shared" si="1"/>
        <v>8</v>
      </c>
      <c r="G21" s="8">
        <f t="shared" si="2"/>
        <v>266737.03566824057</v>
      </c>
      <c r="H21" s="8">
        <f t="shared" si="3"/>
        <v>54676208.435668238</v>
      </c>
      <c r="I21" s="8">
        <f>'Monthly Data-EOP'!C81+'Monthly Data-FE'!C81+'Monthly Data-PC'!C81</f>
        <v>20663039</v>
      </c>
      <c r="J21" s="8">
        <f>'Monthly Data-EOP'!D81+'Monthly Data-FE'!D81+'Monthly Data-PC'!D81</f>
        <v>25529</v>
      </c>
      <c r="K21" s="8">
        <f>'Monthly Data-EOP'!E81+'Monthly Data-FE'!E81+'Monthly Data-PC'!E81</f>
        <v>5816341</v>
      </c>
      <c r="L21" s="8">
        <f>'Monthly Data-EOP'!F81+'Monthly Data-FE'!F81+'Monthly Data-PC'!F81</f>
        <v>2501</v>
      </c>
      <c r="M21" s="8">
        <f>'Monthly Data-EOP'!G81+'Monthly Data-FE'!G81+'Monthly Data-PC'!G81</f>
        <v>19544866.602915153</v>
      </c>
      <c r="N21" s="8">
        <v>485048.34</v>
      </c>
      <c r="O21" s="8">
        <f t="shared" si="4"/>
        <v>19059818.262915153</v>
      </c>
      <c r="P21" s="8">
        <f>'Monthly Data-EOP'!H81+'Monthly Data-FE'!H81+'Monthly Data-PC'!H81</f>
        <v>78675.145193154254</v>
      </c>
      <c r="Q21" s="8">
        <v>1295.28</v>
      </c>
      <c r="R21" s="8">
        <f t="shared" si="5"/>
        <v>77379.865193154255</v>
      </c>
      <c r="S21" s="8">
        <f>'Monthly Data-EOP'!I81+'Monthly Data-FE'!I81+'Monthly Data-PC'!I81</f>
        <v>234</v>
      </c>
      <c r="T21" s="8">
        <f>'Monthly Data-EOP'!J81+'Monthly Data-FE'!J81+'Monthly Data-PC'!J81</f>
        <v>270995.90151503019</v>
      </c>
      <c r="U21" s="8">
        <f>'Monthly Data-EOP'!K81+'Monthly Data-FE'!K81+'Monthly Data-PC'!K81</f>
        <v>1207</v>
      </c>
      <c r="V21" s="8">
        <f>'Monthly Data-EOP'!L81+'Monthly Data-FE'!L81+'Monthly Data-PC'!L81</f>
        <v>5711</v>
      </c>
      <c r="W21" s="8">
        <f>'Monthly Data-EOP'!M81+'Monthly Data-FE'!M81+'Monthly Data-PC'!M81</f>
        <v>65047.835351429196</v>
      </c>
      <c r="X21" s="8">
        <f>'Monthly Data-EOP'!N81+'Monthly Data-FE'!N81+'Monthly Data-PC'!N81</f>
        <v>232.91666666666666</v>
      </c>
      <c r="Y21" s="8">
        <f>'Monthly Data-EOP'!O81+'Monthly Data-FE'!O81+'Monthly Data-PC'!O81</f>
        <v>966</v>
      </c>
      <c r="Z21" s="8">
        <f>'Monthly Data-EOP'!P81+'Monthly Data-FE'!P81+'Monthly Data-PC'!P81</f>
        <v>107142.71200000003</v>
      </c>
      <c r="AA21" s="8">
        <f>'Monthly Data-EOP'!Q81+'Monthly Data-FE'!Q81+'Monthly Data-PC'!Q81</f>
        <v>39</v>
      </c>
      <c r="AB21">
        <f>'Weather Data'!S201</f>
        <v>7.6999999999999993</v>
      </c>
      <c r="AC21">
        <f>'Weather Data'!T201</f>
        <v>103.40000000000003</v>
      </c>
      <c r="AD21">
        <v>10.100000000000001</v>
      </c>
      <c r="AE21">
        <v>90.299999999999969</v>
      </c>
      <c r="AF21">
        <v>6662.6</v>
      </c>
      <c r="AG21">
        <v>78.099999999999994</v>
      </c>
      <c r="AH21">
        <v>195.6</v>
      </c>
      <c r="AI21">
        <f t="shared" si="8"/>
        <v>20</v>
      </c>
      <c r="AJ21">
        <f t="shared" si="10"/>
        <v>0</v>
      </c>
      <c r="AK21">
        <f t="shared" si="10"/>
        <v>0</v>
      </c>
      <c r="AL21">
        <f t="shared" si="10"/>
        <v>0</v>
      </c>
      <c r="AM21">
        <f t="shared" si="10"/>
        <v>0</v>
      </c>
      <c r="AN21">
        <f t="shared" si="10"/>
        <v>0</v>
      </c>
      <c r="AO21">
        <f t="shared" si="10"/>
        <v>0</v>
      </c>
      <c r="AP21">
        <f t="shared" si="10"/>
        <v>0</v>
      </c>
      <c r="AQ21">
        <f t="shared" si="10"/>
        <v>0</v>
      </c>
      <c r="AR21">
        <f t="shared" si="10"/>
        <v>0</v>
      </c>
      <c r="AS21">
        <f t="shared" si="10"/>
        <v>0</v>
      </c>
      <c r="AT21">
        <f t="shared" si="10"/>
        <v>1</v>
      </c>
      <c r="AU21">
        <f t="shared" si="10"/>
        <v>0</v>
      </c>
      <c r="AV21">
        <f t="shared" si="10"/>
        <v>0</v>
      </c>
      <c r="AW21">
        <f t="shared" si="10"/>
        <v>0</v>
      </c>
      <c r="AX21">
        <f t="shared" si="10"/>
        <v>0</v>
      </c>
      <c r="AY21">
        <v>21</v>
      </c>
      <c r="AZ21">
        <v>31</v>
      </c>
      <c r="BA21">
        <v>0</v>
      </c>
      <c r="BB21">
        <v>0</v>
      </c>
    </row>
    <row r="22" spans="1:54" x14ac:dyDescent="0.2">
      <c r="A22" s="3">
        <f>'Monthly Data-EOP'!A82</f>
        <v>40422</v>
      </c>
      <c r="B22" s="102">
        <f t="shared" si="7"/>
        <v>2010</v>
      </c>
      <c r="C22" s="8">
        <f>'Monthly Data-EOP'!B82+'Monthly Data-FE'!B82+'Monthly Data-PC'!B82</f>
        <v>43721214.200000003</v>
      </c>
      <c r="D22" s="8">
        <v>1689.1145663239051</v>
      </c>
      <c r="E22" s="8">
        <v>2267.5947925424725</v>
      </c>
      <c r="F22" s="8">
        <f t="shared" si="1"/>
        <v>9</v>
      </c>
      <c r="G22" s="8">
        <f t="shared" si="2"/>
        <v>282484.2217275633</v>
      </c>
      <c r="H22" s="8">
        <f t="shared" si="3"/>
        <v>44003698.421727568</v>
      </c>
      <c r="I22" s="8">
        <f>'Monthly Data-EOP'!C82+'Monthly Data-FE'!C82+'Monthly Data-PC'!C82</f>
        <v>16353076</v>
      </c>
      <c r="J22" s="8">
        <f>'Monthly Data-EOP'!D82+'Monthly Data-FE'!D82+'Monthly Data-PC'!D82</f>
        <v>25529</v>
      </c>
      <c r="K22" s="8">
        <f>'Monthly Data-EOP'!E82+'Monthly Data-FE'!E82+'Monthly Data-PC'!E82</f>
        <v>5329262.4000000004</v>
      </c>
      <c r="L22" s="8">
        <f>'Monthly Data-EOP'!F82+'Monthly Data-FE'!F82+'Monthly Data-PC'!F82</f>
        <v>2501</v>
      </c>
      <c r="M22" s="8">
        <f>'Monthly Data-EOP'!G82+'Monthly Data-FE'!G82+'Monthly Data-PC'!G82</f>
        <v>22402861.218947925</v>
      </c>
      <c r="N22" s="8">
        <v>379049.58</v>
      </c>
      <c r="O22" s="8">
        <f t="shared" si="4"/>
        <v>22023811.638947926</v>
      </c>
      <c r="P22" s="8">
        <f>'Monthly Data-EOP'!H82+'Monthly Data-FE'!H82+'Monthly Data-PC'!H82</f>
        <v>72949.169137698103</v>
      </c>
      <c r="Q22" s="8">
        <v>1169.28</v>
      </c>
      <c r="R22" s="8">
        <f t="shared" si="5"/>
        <v>71779.889137698105</v>
      </c>
      <c r="S22" s="8">
        <f>'Monthly Data-EOP'!I82+'Monthly Data-FE'!I82+'Monthly Data-PC'!I82</f>
        <v>234</v>
      </c>
      <c r="T22" s="8">
        <f>'Monthly Data-EOP'!J82+'Monthly Data-FE'!J82+'Monthly Data-PC'!J82</f>
        <v>328683.41424851416</v>
      </c>
      <c r="U22" s="8">
        <f>'Monthly Data-EOP'!K82+'Monthly Data-FE'!K82+'Monthly Data-PC'!K82</f>
        <v>1207</v>
      </c>
      <c r="V22" s="8">
        <f>'Monthly Data-EOP'!L82+'Monthly Data-FE'!L82+'Monthly Data-PC'!L82</f>
        <v>5711</v>
      </c>
      <c r="W22" s="8">
        <f>'Monthly Data-EOP'!M82+'Monthly Data-FE'!M82+'Monthly Data-PC'!M82</f>
        <v>67941.239629463598</v>
      </c>
      <c r="X22" s="8">
        <f>'Monthly Data-EOP'!N82+'Monthly Data-FE'!N82+'Monthly Data-PC'!N82</f>
        <v>232.91666666666666</v>
      </c>
      <c r="Y22" s="8">
        <f>'Monthly Data-EOP'!O82+'Monthly Data-FE'!O82+'Monthly Data-PC'!O82</f>
        <v>966</v>
      </c>
      <c r="Z22" s="8">
        <f>'Monthly Data-EOP'!P82+'Monthly Data-FE'!P82+'Monthly Data-PC'!P82</f>
        <v>92963.580999999947</v>
      </c>
      <c r="AA22" s="8">
        <f>'Monthly Data-EOP'!Q82+'Monthly Data-FE'!Q82+'Monthly Data-PC'!Q82</f>
        <v>39</v>
      </c>
      <c r="AB22">
        <f>'Weather Data'!S202</f>
        <v>79</v>
      </c>
      <c r="AC22">
        <f>'Weather Data'!T202</f>
        <v>32.300000000000004</v>
      </c>
      <c r="AD22">
        <v>99.40000000000002</v>
      </c>
      <c r="AE22">
        <v>29.400000000000002</v>
      </c>
      <c r="AF22">
        <v>6611.2</v>
      </c>
      <c r="AG22">
        <v>77.2</v>
      </c>
      <c r="AH22">
        <v>191.5</v>
      </c>
      <c r="AI22">
        <f t="shared" si="8"/>
        <v>21</v>
      </c>
      <c r="AJ22">
        <f t="shared" si="10"/>
        <v>0</v>
      </c>
      <c r="AK22">
        <f t="shared" si="10"/>
        <v>1</v>
      </c>
      <c r="AL22">
        <f t="shared" si="10"/>
        <v>1</v>
      </c>
      <c r="AM22">
        <f t="shared" si="10"/>
        <v>0</v>
      </c>
      <c r="AN22">
        <f t="shared" si="10"/>
        <v>0</v>
      </c>
      <c r="AO22">
        <f t="shared" si="10"/>
        <v>0</v>
      </c>
      <c r="AP22">
        <f t="shared" si="10"/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1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v>21</v>
      </c>
      <c r="AZ22">
        <v>30</v>
      </c>
      <c r="BA22">
        <v>0</v>
      </c>
      <c r="BB22">
        <v>0</v>
      </c>
    </row>
    <row r="23" spans="1:54" x14ac:dyDescent="0.2">
      <c r="A23" s="3">
        <f>'Monthly Data-EOP'!A83</f>
        <v>40452</v>
      </c>
      <c r="B23" s="102">
        <f t="shared" si="7"/>
        <v>2010</v>
      </c>
      <c r="C23" s="8">
        <f>'Monthly Data-EOP'!B83+'Monthly Data-FE'!B83+'Monthly Data-PC'!B83</f>
        <v>42849260.199999996</v>
      </c>
      <c r="D23" s="8">
        <v>1689.1145663239051</v>
      </c>
      <c r="E23" s="8">
        <v>2267.5947925424725</v>
      </c>
      <c r="F23" s="8">
        <f t="shared" si="1"/>
        <v>10</v>
      </c>
      <c r="G23" s="8">
        <f t="shared" si="2"/>
        <v>298231.40778688603</v>
      </c>
      <c r="H23" s="8">
        <f t="shared" si="3"/>
        <v>43147491.607786879</v>
      </c>
      <c r="I23" s="8">
        <f>'Monthly Data-EOP'!C83+'Monthly Data-FE'!C83+'Monthly Data-PC'!C83</f>
        <v>13146590</v>
      </c>
      <c r="J23" s="8">
        <f>'Monthly Data-EOP'!D83+'Monthly Data-FE'!D83+'Monthly Data-PC'!D83</f>
        <v>25529</v>
      </c>
      <c r="K23" s="8">
        <f>'Monthly Data-EOP'!E83+'Monthly Data-FE'!E83+'Monthly Data-PC'!E83</f>
        <v>5513406.5999999996</v>
      </c>
      <c r="L23" s="8">
        <f>'Monthly Data-EOP'!F83+'Monthly Data-FE'!F83+'Monthly Data-PC'!F83</f>
        <v>2501</v>
      </c>
      <c r="M23" s="8">
        <f>'Monthly Data-EOP'!G83+'Monthly Data-FE'!G83+'Monthly Data-PC'!G83</f>
        <v>21565547.217085548</v>
      </c>
      <c r="N23" s="8">
        <v>396946.62</v>
      </c>
      <c r="O23" s="8">
        <f t="shared" si="4"/>
        <v>21168600.597085547</v>
      </c>
      <c r="P23" s="8">
        <f>'Monthly Data-EOP'!H83+'Monthly Data-FE'!H83+'Monthly Data-PC'!H83</f>
        <v>65460.08220639763</v>
      </c>
      <c r="Q23" s="8">
        <v>932.4</v>
      </c>
      <c r="R23" s="8">
        <f t="shared" si="5"/>
        <v>64527.682206397629</v>
      </c>
      <c r="S23" s="8">
        <f>'Monthly Data-EOP'!I83+'Monthly Data-FE'!I83+'Monthly Data-PC'!I83</f>
        <v>234</v>
      </c>
      <c r="T23" s="8">
        <f>'Monthly Data-EOP'!J83+'Monthly Data-FE'!J83+'Monthly Data-PC'!J83</f>
        <v>356189.35804355313</v>
      </c>
      <c r="U23" s="8">
        <f>'Monthly Data-EOP'!K83+'Monthly Data-FE'!K83+'Monthly Data-PC'!K83</f>
        <v>1207</v>
      </c>
      <c r="V23" s="8">
        <f>'Monthly Data-EOP'!L83+'Monthly Data-FE'!L83+'Monthly Data-PC'!L83</f>
        <v>5711</v>
      </c>
      <c r="W23" s="8">
        <f>'Monthly Data-EOP'!M83+'Monthly Data-FE'!M83+'Monthly Data-PC'!M83</f>
        <v>65975.137632613711</v>
      </c>
      <c r="X23" s="8">
        <f>'Monthly Data-EOP'!N83+'Monthly Data-FE'!N83+'Monthly Data-PC'!N83</f>
        <v>232.91666666666666</v>
      </c>
      <c r="Y23" s="8">
        <f>'Monthly Data-EOP'!O83+'Monthly Data-FE'!O83+'Monthly Data-PC'!O83</f>
        <v>966</v>
      </c>
      <c r="Z23" s="8">
        <f>'Monthly Data-EOP'!P83+'Monthly Data-FE'!P83+'Monthly Data-PC'!P83</f>
        <v>188067.82300000003</v>
      </c>
      <c r="AA23" s="8">
        <f>'Monthly Data-EOP'!Q83+'Monthly Data-FE'!Q83+'Monthly Data-PC'!Q83</f>
        <v>39</v>
      </c>
      <c r="AB23">
        <f>'Weather Data'!S203</f>
        <v>250.99999999999997</v>
      </c>
      <c r="AC23">
        <f>'Weather Data'!T203</f>
        <v>0.1</v>
      </c>
      <c r="AD23">
        <v>284.69999999999993</v>
      </c>
      <c r="AE23">
        <v>0</v>
      </c>
      <c r="AF23">
        <v>6587.1</v>
      </c>
      <c r="AG23">
        <v>75.099999999999994</v>
      </c>
      <c r="AH23">
        <v>191.4</v>
      </c>
      <c r="AI23">
        <f t="shared" si="8"/>
        <v>22</v>
      </c>
      <c r="AJ23">
        <f t="shared" si="10"/>
        <v>0</v>
      </c>
      <c r="AK23">
        <f t="shared" si="10"/>
        <v>1</v>
      </c>
      <c r="AL23">
        <f t="shared" si="10"/>
        <v>1</v>
      </c>
      <c r="AM23">
        <f t="shared" si="10"/>
        <v>0</v>
      </c>
      <c r="AN23">
        <f t="shared" si="10"/>
        <v>0</v>
      </c>
      <c r="AO23">
        <f t="shared" si="10"/>
        <v>0</v>
      </c>
      <c r="AP23">
        <f t="shared" si="10"/>
        <v>0</v>
      </c>
      <c r="AQ23">
        <f t="shared" si="10"/>
        <v>0</v>
      </c>
      <c r="AR23">
        <f t="shared" si="10"/>
        <v>0</v>
      </c>
      <c r="AS23">
        <f t="shared" si="10"/>
        <v>0</v>
      </c>
      <c r="AT23">
        <f t="shared" si="10"/>
        <v>0</v>
      </c>
      <c r="AU23">
        <f t="shared" si="10"/>
        <v>0</v>
      </c>
      <c r="AV23">
        <f t="shared" si="10"/>
        <v>1</v>
      </c>
      <c r="AW23">
        <f t="shared" si="10"/>
        <v>0</v>
      </c>
      <c r="AX23">
        <f t="shared" si="10"/>
        <v>0</v>
      </c>
      <c r="AY23">
        <v>20</v>
      </c>
      <c r="AZ23">
        <v>31</v>
      </c>
      <c r="BA23">
        <v>0</v>
      </c>
      <c r="BB23">
        <v>0</v>
      </c>
    </row>
    <row r="24" spans="1:54" x14ac:dyDescent="0.2">
      <c r="A24" s="3">
        <f>'Monthly Data-EOP'!A84</f>
        <v>40483</v>
      </c>
      <c r="B24" s="102">
        <f t="shared" si="7"/>
        <v>2010</v>
      </c>
      <c r="C24" s="8">
        <f>'Monthly Data-EOP'!B84+'Monthly Data-FE'!B84+'Monthly Data-PC'!B84</f>
        <v>43470906.5</v>
      </c>
      <c r="D24" s="8">
        <v>1689.1145663239051</v>
      </c>
      <c r="E24" s="8">
        <v>2267.5947925424725</v>
      </c>
      <c r="F24" s="8">
        <f t="shared" si="1"/>
        <v>11</v>
      </c>
      <c r="G24" s="8">
        <f t="shared" si="2"/>
        <v>313978.59384620877</v>
      </c>
      <c r="H24" s="8">
        <f t="shared" si="3"/>
        <v>43784885.093846209</v>
      </c>
      <c r="I24" s="8">
        <f>'Monthly Data-EOP'!C84+'Monthly Data-FE'!C84+'Monthly Data-PC'!C84</f>
        <v>13006331</v>
      </c>
      <c r="J24" s="8">
        <f>'Monthly Data-EOP'!D84+'Monthly Data-FE'!D84+'Monthly Data-PC'!D84</f>
        <v>25529</v>
      </c>
      <c r="K24" s="8">
        <f>'Monthly Data-EOP'!E84+'Monthly Data-FE'!E84+'Monthly Data-PC'!E84</f>
        <v>5918723.5999999996</v>
      </c>
      <c r="L24" s="8">
        <f>'Monthly Data-EOP'!F84+'Monthly Data-FE'!F84+'Monthly Data-PC'!F84</f>
        <v>2501</v>
      </c>
      <c r="M24" s="8">
        <f>'Monthly Data-EOP'!G84+'Monthly Data-FE'!G84+'Monthly Data-PC'!G84</f>
        <v>21568766.125845607</v>
      </c>
      <c r="N24" s="8">
        <v>423417.96</v>
      </c>
      <c r="O24" s="8">
        <f t="shared" si="4"/>
        <v>21145348.165845606</v>
      </c>
      <c r="P24" s="8">
        <f>'Monthly Data-EOP'!H84+'Monthly Data-FE'!H84+'Monthly Data-PC'!H84</f>
        <v>66035.580036078871</v>
      </c>
      <c r="Q24" s="8">
        <v>987.84</v>
      </c>
      <c r="R24" s="8">
        <f t="shared" si="5"/>
        <v>65047.740036078874</v>
      </c>
      <c r="S24" s="8">
        <f>'Monthly Data-EOP'!I84+'Monthly Data-FE'!I84+'Monthly Data-PC'!I84</f>
        <v>234</v>
      </c>
      <c r="T24" s="8">
        <f>'Monthly Data-EOP'!J84+'Monthly Data-FE'!J84+'Monthly Data-PC'!J84</f>
        <v>419908.66889667988</v>
      </c>
      <c r="U24" s="8">
        <f>'Monthly Data-EOP'!K84+'Monthly Data-FE'!K84+'Monthly Data-PC'!K84</f>
        <v>1207</v>
      </c>
      <c r="V24" s="8">
        <f>'Monthly Data-EOP'!L84+'Monthly Data-FE'!L84+'Monthly Data-PC'!L84</f>
        <v>5711</v>
      </c>
      <c r="W24" s="8">
        <f>'Monthly Data-EOP'!M84+'Monthly Data-FE'!M84+'Monthly Data-PC'!M84</f>
        <v>72450.591748185616</v>
      </c>
      <c r="X24" s="8">
        <f>'Monthly Data-EOP'!N84+'Monthly Data-FE'!N84+'Monthly Data-PC'!N84</f>
        <v>232.91666666666666</v>
      </c>
      <c r="Y24" s="8">
        <f>'Monthly Data-EOP'!O84+'Monthly Data-FE'!O84+'Monthly Data-PC'!O84</f>
        <v>966</v>
      </c>
      <c r="Z24" s="8">
        <f>'Monthly Data-EOP'!P84+'Monthly Data-FE'!P84+'Monthly Data-PC'!P84</f>
        <v>116923.64600000001</v>
      </c>
      <c r="AA24" s="8">
        <f>'Monthly Data-EOP'!Q84+'Monthly Data-FE'!Q84+'Monthly Data-PC'!Q84</f>
        <v>39</v>
      </c>
      <c r="AB24">
        <f>'Weather Data'!S204</f>
        <v>387.19999999999993</v>
      </c>
      <c r="AC24">
        <f>'Weather Data'!T204</f>
        <v>0</v>
      </c>
      <c r="AD24">
        <v>451.4</v>
      </c>
      <c r="AE24">
        <v>0</v>
      </c>
      <c r="AF24">
        <v>6566.6</v>
      </c>
      <c r="AG24">
        <v>74.5</v>
      </c>
      <c r="AH24">
        <v>191.5</v>
      </c>
      <c r="AI24">
        <f t="shared" si="8"/>
        <v>23</v>
      </c>
      <c r="AJ24">
        <f t="shared" si="10"/>
        <v>0</v>
      </c>
      <c r="AK24">
        <f t="shared" si="10"/>
        <v>1</v>
      </c>
      <c r="AL24">
        <f t="shared" si="10"/>
        <v>1</v>
      </c>
      <c r="AM24">
        <f t="shared" si="10"/>
        <v>0</v>
      </c>
      <c r="AN24">
        <f t="shared" si="10"/>
        <v>0</v>
      </c>
      <c r="AO24">
        <f t="shared" si="10"/>
        <v>0</v>
      </c>
      <c r="AP24">
        <f t="shared" si="10"/>
        <v>0</v>
      </c>
      <c r="AQ24">
        <f t="shared" si="10"/>
        <v>0</v>
      </c>
      <c r="AR24">
        <f t="shared" si="10"/>
        <v>0</v>
      </c>
      <c r="AS24">
        <f t="shared" si="10"/>
        <v>0</v>
      </c>
      <c r="AT24">
        <f t="shared" si="10"/>
        <v>0</v>
      </c>
      <c r="AU24">
        <f t="shared" si="10"/>
        <v>0</v>
      </c>
      <c r="AV24">
        <f t="shared" si="10"/>
        <v>0</v>
      </c>
      <c r="AW24">
        <f t="shared" si="10"/>
        <v>1</v>
      </c>
      <c r="AX24">
        <f t="shared" si="10"/>
        <v>0</v>
      </c>
      <c r="AY24">
        <v>22</v>
      </c>
      <c r="AZ24">
        <v>30</v>
      </c>
      <c r="BA24">
        <v>0</v>
      </c>
      <c r="BB24">
        <v>0</v>
      </c>
    </row>
    <row r="25" spans="1:54" x14ac:dyDescent="0.2">
      <c r="A25" s="3">
        <f>'Monthly Data-EOP'!A85</f>
        <v>40513</v>
      </c>
      <c r="B25" s="102">
        <f t="shared" si="7"/>
        <v>2010</v>
      </c>
      <c r="C25" s="8">
        <f>'Monthly Data-EOP'!B85+'Monthly Data-FE'!B85+'Monthly Data-PC'!B85</f>
        <v>49680403.900000006</v>
      </c>
      <c r="D25" s="8">
        <v>1689.1145663239051</v>
      </c>
      <c r="E25" s="8">
        <v>2267.5947925424725</v>
      </c>
      <c r="F25" s="8">
        <f t="shared" si="1"/>
        <v>12</v>
      </c>
      <c r="G25" s="8">
        <f t="shared" si="2"/>
        <v>329725.77990553144</v>
      </c>
      <c r="H25" s="8">
        <f t="shared" si="3"/>
        <v>50010129.679905534</v>
      </c>
      <c r="I25" s="8">
        <f>'Monthly Data-EOP'!C85+'Monthly Data-FE'!C85+'Monthly Data-PC'!C85</f>
        <v>19591264</v>
      </c>
      <c r="J25" s="8">
        <f>'Monthly Data-EOP'!D85+'Monthly Data-FE'!D85+'Monthly Data-PC'!D85</f>
        <v>25529</v>
      </c>
      <c r="K25" s="8">
        <f>'Monthly Data-EOP'!E85+'Monthly Data-FE'!E85+'Monthly Data-PC'!E85</f>
        <v>5389823.4700000007</v>
      </c>
      <c r="L25" s="8">
        <f>'Monthly Data-EOP'!F85+'Monthly Data-FE'!F85+'Monthly Data-PC'!F85</f>
        <v>2501</v>
      </c>
      <c r="M25" s="8">
        <f>'Monthly Data-EOP'!G85+'Monthly Data-FE'!G85+'Monthly Data-PC'!G85</f>
        <v>22850616.963333443</v>
      </c>
      <c r="N25" s="8">
        <v>495491.22</v>
      </c>
      <c r="O25" s="8">
        <f t="shared" si="4"/>
        <v>22355125.743333444</v>
      </c>
      <c r="P25" s="8">
        <f>'Monthly Data-EOP'!H85+'Monthly Data-FE'!H85+'Monthly Data-PC'!H85</f>
        <v>61684.207008774727</v>
      </c>
      <c r="Q25" s="8">
        <v>1063.44</v>
      </c>
      <c r="R25" s="8">
        <f t="shared" si="5"/>
        <v>60620.767008774725</v>
      </c>
      <c r="S25" s="8">
        <f>'Monthly Data-EOP'!I85+'Monthly Data-FE'!I85+'Monthly Data-PC'!I85</f>
        <v>234</v>
      </c>
      <c r="T25" s="8">
        <f>'Monthly Data-EOP'!J85+'Monthly Data-FE'!J85+'Monthly Data-PC'!J85</f>
        <v>468884.1322776989</v>
      </c>
      <c r="U25" s="8">
        <f>'Monthly Data-EOP'!K85+'Monthly Data-FE'!K85+'Monthly Data-PC'!K85</f>
        <v>1207</v>
      </c>
      <c r="V25" s="8">
        <f>'Monthly Data-EOP'!L85+'Monthly Data-FE'!L85+'Monthly Data-PC'!L85</f>
        <v>5711</v>
      </c>
      <c r="W25" s="8">
        <f>'Monthly Data-EOP'!M85+'Monthly Data-FE'!M85+'Monthly Data-PC'!M85</f>
        <v>63493.455956193473</v>
      </c>
      <c r="X25" s="8">
        <f>'Monthly Data-EOP'!N85+'Monthly Data-FE'!N85+'Monthly Data-PC'!N85</f>
        <v>232.91666666666666</v>
      </c>
      <c r="Y25" s="8">
        <f>'Monthly Data-EOP'!O85+'Monthly Data-FE'!O85+'Monthly Data-PC'!O85</f>
        <v>966</v>
      </c>
      <c r="Z25" s="8">
        <f>'Monthly Data-EOP'!P85+'Monthly Data-FE'!P85+'Monthly Data-PC'!P85</f>
        <v>130766.00000000003</v>
      </c>
      <c r="AA25" s="8">
        <f>'Monthly Data-EOP'!Q85+'Monthly Data-FE'!Q85+'Monthly Data-PC'!Q85</f>
        <v>39</v>
      </c>
      <c r="AB25">
        <f>'Weather Data'!S205</f>
        <v>671.3</v>
      </c>
      <c r="AC25">
        <f>'Weather Data'!T205</f>
        <v>0</v>
      </c>
      <c r="AD25">
        <v>713.49999999999989</v>
      </c>
      <c r="AE25">
        <v>0</v>
      </c>
      <c r="AF25">
        <v>6584.1</v>
      </c>
      <c r="AG25">
        <v>75.5</v>
      </c>
      <c r="AH25">
        <v>192</v>
      </c>
      <c r="AI25">
        <f t="shared" si="8"/>
        <v>24</v>
      </c>
      <c r="AJ25">
        <f t="shared" si="10"/>
        <v>0</v>
      </c>
      <c r="AK25">
        <f t="shared" si="10"/>
        <v>0</v>
      </c>
      <c r="AL25">
        <f t="shared" si="10"/>
        <v>0</v>
      </c>
      <c r="AM25">
        <f t="shared" si="10"/>
        <v>0</v>
      </c>
      <c r="AN25">
        <f t="shared" si="10"/>
        <v>0</v>
      </c>
      <c r="AO25">
        <f t="shared" si="10"/>
        <v>0</v>
      </c>
      <c r="AP25">
        <f t="shared" si="10"/>
        <v>0</v>
      </c>
      <c r="AQ25">
        <f t="shared" si="10"/>
        <v>0</v>
      </c>
      <c r="AR25">
        <f t="shared" si="10"/>
        <v>0</v>
      </c>
      <c r="AS25">
        <f t="shared" si="10"/>
        <v>0</v>
      </c>
      <c r="AT25">
        <f t="shared" si="10"/>
        <v>0</v>
      </c>
      <c r="AU25">
        <f t="shared" si="10"/>
        <v>0</v>
      </c>
      <c r="AV25">
        <f t="shared" si="10"/>
        <v>0</v>
      </c>
      <c r="AW25">
        <f t="shared" si="10"/>
        <v>0</v>
      </c>
      <c r="AX25">
        <f t="shared" si="10"/>
        <v>1</v>
      </c>
      <c r="AY25">
        <v>21</v>
      </c>
      <c r="AZ25">
        <v>31</v>
      </c>
      <c r="BA25">
        <v>0</v>
      </c>
      <c r="BB25">
        <v>0</v>
      </c>
    </row>
    <row r="26" spans="1:54" x14ac:dyDescent="0.2">
      <c r="A26" s="3">
        <f>'Monthly Data-EOP'!A86</f>
        <v>40544</v>
      </c>
      <c r="B26" s="102">
        <f t="shared" si="7"/>
        <v>2011</v>
      </c>
      <c r="C26" s="8">
        <f>'Monthly Data-EOP'!B86+'Monthly Data-FE'!B86+'Monthly Data-PC'!B86</f>
        <v>52303781.079999998</v>
      </c>
      <c r="D26" s="8">
        <v>3585.8400847949142</v>
      </c>
      <c r="E26" s="8">
        <v>2241.7976160217772</v>
      </c>
      <c r="F26" s="8">
        <f t="shared" si="1"/>
        <v>1</v>
      </c>
      <c r="G26" s="8">
        <f t="shared" si="2"/>
        <v>314388.04606639408</v>
      </c>
      <c r="H26" s="8">
        <f t="shared" si="3"/>
        <v>52618169.126066394</v>
      </c>
      <c r="I26" s="8">
        <f>'Monthly Data-EOP'!C86+'Monthly Data-FE'!C86+'Monthly Data-PC'!C86</f>
        <v>24004464</v>
      </c>
      <c r="J26" s="8">
        <f>'Monthly Data-EOP'!D86+'Monthly Data-FE'!D86+'Monthly Data-PC'!D86</f>
        <v>25557</v>
      </c>
      <c r="K26" s="8">
        <f>'Monthly Data-EOP'!E86+'Monthly Data-FE'!E86+'Monthly Data-PC'!E86</f>
        <v>6840084.7800000003</v>
      </c>
      <c r="L26" s="8">
        <f>'Monthly Data-EOP'!F86+'Monthly Data-FE'!F86+'Monthly Data-PC'!F86</f>
        <v>2506</v>
      </c>
      <c r="M26" s="8">
        <f>'Monthly Data-EOP'!G86+'Monthly Data-FE'!G86+'Monthly Data-PC'!G86</f>
        <v>15273332.843896102</v>
      </c>
      <c r="N26" s="8">
        <v>450185.4</v>
      </c>
      <c r="O26" s="8">
        <f t="shared" si="4"/>
        <v>14823147.443896102</v>
      </c>
      <c r="P26" s="8">
        <f>'Monthly Data-EOP'!H86+'Monthly Data-FE'!H86+'Monthly Data-PC'!H86</f>
        <v>58056</v>
      </c>
      <c r="Q26" s="8">
        <v>882</v>
      </c>
      <c r="R26" s="8">
        <f t="shared" si="5"/>
        <v>57174</v>
      </c>
      <c r="S26" s="8">
        <f>'Monthly Data-EOP'!I86+'Monthly Data-FE'!I86+'Monthly Data-PC'!I86</f>
        <v>235</v>
      </c>
      <c r="T26" s="8">
        <f>'Monthly Data-EOP'!J86+'Monthly Data-FE'!J86+'Monthly Data-PC'!J86</f>
        <v>479077.5657867578</v>
      </c>
      <c r="U26" s="8">
        <f>'Monthly Data-EOP'!K86+'Monthly Data-FE'!K86+'Monthly Data-PC'!K86</f>
        <v>1149</v>
      </c>
      <c r="V26" s="8">
        <f>'Monthly Data-EOP'!L86+'Monthly Data-FE'!L86+'Monthly Data-PC'!L86</f>
        <v>5696</v>
      </c>
      <c r="W26" s="8">
        <f>'Monthly Data-EOP'!M86+'Monthly Data-FE'!M86+'Monthly Data-PC'!M86</f>
        <v>68082.93795366431</v>
      </c>
      <c r="X26" s="8">
        <f>'Monthly Data-EOP'!N86+'Monthly Data-FE'!N86+'Monthly Data-PC'!N86</f>
        <v>195</v>
      </c>
      <c r="Y26" s="8">
        <f>'Monthly Data-EOP'!O86+'Monthly Data-FE'!O86+'Monthly Data-PC'!O86</f>
        <v>961</v>
      </c>
      <c r="Z26" s="8">
        <f>'Monthly Data-EOP'!P86+'Monthly Data-FE'!P86+'Monthly Data-PC'!P86</f>
        <v>130348.504</v>
      </c>
      <c r="AA26" s="8">
        <f>'Monthly Data-EOP'!Q86+'Monthly Data-FE'!Q86+'Monthly Data-PC'!Q86</f>
        <v>39</v>
      </c>
      <c r="AB26">
        <f>'Weather Data'!S206</f>
        <v>794.6</v>
      </c>
      <c r="AC26">
        <f>'Weather Data'!T206</f>
        <v>0</v>
      </c>
      <c r="AD26">
        <v>853.19999999999982</v>
      </c>
      <c r="AE26">
        <v>0</v>
      </c>
      <c r="AF26">
        <v>6571.2</v>
      </c>
      <c r="AG26">
        <v>76.2</v>
      </c>
      <c r="AH26">
        <v>191.3</v>
      </c>
      <c r="AI26">
        <f t="shared" si="8"/>
        <v>25</v>
      </c>
      <c r="AJ26">
        <f t="shared" si="10"/>
        <v>0</v>
      </c>
      <c r="AK26">
        <f t="shared" si="10"/>
        <v>0</v>
      </c>
      <c r="AL26">
        <f t="shared" si="10"/>
        <v>0</v>
      </c>
      <c r="AM26">
        <f t="shared" si="10"/>
        <v>1</v>
      </c>
      <c r="AN26">
        <f t="shared" si="10"/>
        <v>0</v>
      </c>
      <c r="AO26">
        <f t="shared" si="10"/>
        <v>0</v>
      </c>
      <c r="AP26">
        <f t="shared" si="10"/>
        <v>0</v>
      </c>
      <c r="AQ26">
        <f t="shared" si="10"/>
        <v>0</v>
      </c>
      <c r="AR26">
        <f t="shared" si="10"/>
        <v>0</v>
      </c>
      <c r="AS26">
        <f t="shared" si="10"/>
        <v>0</v>
      </c>
      <c r="AT26">
        <f t="shared" si="10"/>
        <v>0</v>
      </c>
      <c r="AU26">
        <f t="shared" si="10"/>
        <v>0</v>
      </c>
      <c r="AV26">
        <f t="shared" si="10"/>
        <v>0</v>
      </c>
      <c r="AW26">
        <f t="shared" si="10"/>
        <v>0</v>
      </c>
      <c r="AX26">
        <f t="shared" si="10"/>
        <v>0</v>
      </c>
      <c r="AY26">
        <v>20</v>
      </c>
      <c r="AZ26">
        <v>31</v>
      </c>
      <c r="BA26">
        <v>0</v>
      </c>
      <c r="BB26">
        <v>0</v>
      </c>
    </row>
    <row r="27" spans="1:54" x14ac:dyDescent="0.2">
      <c r="A27" s="3">
        <f>'Monthly Data-EOP'!A87</f>
        <v>40575</v>
      </c>
      <c r="B27" s="102">
        <f t="shared" si="7"/>
        <v>2011</v>
      </c>
      <c r="C27" s="8">
        <f>'Monthly Data-EOP'!B87+'Monthly Data-FE'!B87+'Monthly Data-PC'!B87</f>
        <v>47592238.090000004</v>
      </c>
      <c r="D27" s="8">
        <v>3585.8400847949142</v>
      </c>
      <c r="E27" s="8">
        <v>2241.7976160217772</v>
      </c>
      <c r="F27" s="8">
        <f t="shared" si="1"/>
        <v>2</v>
      </c>
      <c r="G27" s="8">
        <f t="shared" si="2"/>
        <v>329956.08506654529</v>
      </c>
      <c r="H27" s="8">
        <f t="shared" si="3"/>
        <v>47922194.175066546</v>
      </c>
      <c r="I27" s="8">
        <f>'Monthly Data-EOP'!C87+'Monthly Data-FE'!C87+'Monthly Data-PC'!C87</f>
        <v>18667817</v>
      </c>
      <c r="J27" s="8">
        <f>'Monthly Data-EOP'!D87+'Monthly Data-FE'!D87+'Monthly Data-PC'!D87</f>
        <v>25553</v>
      </c>
      <c r="K27" s="8">
        <f>'Monthly Data-EOP'!E87+'Monthly Data-FE'!E87+'Monthly Data-PC'!E87</f>
        <v>6594338.75</v>
      </c>
      <c r="L27" s="8">
        <f>'Monthly Data-EOP'!F87+'Monthly Data-FE'!F87+'Monthly Data-PC'!F87</f>
        <v>2514</v>
      </c>
      <c r="M27" s="8">
        <f>'Monthly Data-EOP'!G87+'Monthly Data-FE'!G87+'Monthly Data-PC'!G87</f>
        <v>18166032.160564553</v>
      </c>
      <c r="N27" s="8">
        <v>400708.98</v>
      </c>
      <c r="O27" s="8">
        <f t="shared" si="4"/>
        <v>17765323.180564553</v>
      </c>
      <c r="P27" s="8">
        <f>'Monthly Data-EOP'!H87+'Monthly Data-FE'!H87+'Monthly Data-PC'!H87</f>
        <v>58877</v>
      </c>
      <c r="Q27" s="8">
        <v>836.64</v>
      </c>
      <c r="R27" s="8">
        <f t="shared" si="5"/>
        <v>58040.36</v>
      </c>
      <c r="S27" s="8">
        <f>'Monthly Data-EOP'!I87+'Monthly Data-FE'!I87+'Monthly Data-PC'!I87</f>
        <v>235</v>
      </c>
      <c r="T27" s="8">
        <f>'Monthly Data-EOP'!J87+'Monthly Data-FE'!J87+'Monthly Data-PC'!J87</f>
        <v>477379.92077041807</v>
      </c>
      <c r="U27" s="8">
        <f>'Monthly Data-EOP'!K87+'Monthly Data-FE'!K87+'Monthly Data-PC'!K87</f>
        <v>1148</v>
      </c>
      <c r="V27" s="8">
        <f>'Monthly Data-EOP'!L87+'Monthly Data-FE'!L87+'Monthly Data-PC'!L87</f>
        <v>5696</v>
      </c>
      <c r="W27" s="8">
        <f>'Monthly Data-EOP'!M87+'Monthly Data-FE'!M87+'Monthly Data-PC'!M87</f>
        <v>61472.745592484382</v>
      </c>
      <c r="X27" s="8">
        <f>'Monthly Data-EOP'!N87+'Monthly Data-FE'!N87+'Monthly Data-PC'!N87</f>
        <v>191</v>
      </c>
      <c r="Y27" s="8">
        <f>'Monthly Data-EOP'!O87+'Monthly Data-FE'!O87+'Monthly Data-PC'!O87</f>
        <v>961</v>
      </c>
      <c r="Z27" s="8">
        <f>'Monthly Data-EOP'!P87+'Monthly Data-FE'!P87+'Monthly Data-PC'!P87</f>
        <v>112178.20199999999</v>
      </c>
      <c r="AA27" s="8">
        <f>'Monthly Data-EOP'!Q87+'Monthly Data-FE'!Q87+'Monthly Data-PC'!Q87</f>
        <v>39</v>
      </c>
      <c r="AB27">
        <f>'Weather Data'!S207</f>
        <v>645.30000000000007</v>
      </c>
      <c r="AC27">
        <f>'Weather Data'!T207</f>
        <v>0</v>
      </c>
      <c r="AD27">
        <v>700.39999999999986</v>
      </c>
      <c r="AE27">
        <v>0</v>
      </c>
      <c r="AF27">
        <v>6548.1</v>
      </c>
      <c r="AG27">
        <v>76.2</v>
      </c>
      <c r="AH27">
        <v>189.7</v>
      </c>
      <c r="AI27">
        <f t="shared" si="8"/>
        <v>26</v>
      </c>
      <c r="AJ27">
        <f t="shared" si="10"/>
        <v>0</v>
      </c>
      <c r="AK27">
        <f t="shared" si="10"/>
        <v>0</v>
      </c>
      <c r="AL27">
        <f t="shared" si="10"/>
        <v>0</v>
      </c>
      <c r="AM27">
        <f t="shared" si="10"/>
        <v>0</v>
      </c>
      <c r="AN27">
        <f t="shared" si="10"/>
        <v>1</v>
      </c>
      <c r="AO27">
        <f t="shared" si="10"/>
        <v>0</v>
      </c>
      <c r="AP27">
        <f t="shared" si="10"/>
        <v>0</v>
      </c>
      <c r="AQ27">
        <f t="shared" si="10"/>
        <v>0</v>
      </c>
      <c r="AR27">
        <f t="shared" si="10"/>
        <v>0</v>
      </c>
      <c r="AS27">
        <f t="shared" si="10"/>
        <v>0</v>
      </c>
      <c r="AT27">
        <f t="shared" si="10"/>
        <v>0</v>
      </c>
      <c r="AU27">
        <f t="shared" si="10"/>
        <v>0</v>
      </c>
      <c r="AV27">
        <f t="shared" si="10"/>
        <v>0</v>
      </c>
      <c r="AW27">
        <f t="shared" si="10"/>
        <v>0</v>
      </c>
      <c r="AX27">
        <f t="shared" si="10"/>
        <v>0</v>
      </c>
      <c r="AY27">
        <v>19</v>
      </c>
      <c r="AZ27">
        <v>28</v>
      </c>
      <c r="BA27">
        <v>0</v>
      </c>
      <c r="BB27">
        <v>0</v>
      </c>
    </row>
    <row r="28" spans="1:54" x14ac:dyDescent="0.2">
      <c r="A28" s="3">
        <f>'Monthly Data-EOP'!A88</f>
        <v>40603</v>
      </c>
      <c r="B28" s="102">
        <f t="shared" si="7"/>
        <v>2011</v>
      </c>
      <c r="C28" s="8">
        <f>'Monthly Data-EOP'!B88+'Monthly Data-FE'!B88+'Monthly Data-PC'!B88</f>
        <v>49786411.509999998</v>
      </c>
      <c r="D28" s="8">
        <v>3585.8400847949142</v>
      </c>
      <c r="E28" s="8">
        <v>2241.7976160217772</v>
      </c>
      <c r="F28" s="8">
        <f t="shared" si="1"/>
        <v>3</v>
      </c>
      <c r="G28" s="8">
        <f t="shared" si="2"/>
        <v>345524.12406669656</v>
      </c>
      <c r="H28" s="8">
        <f t="shared" si="3"/>
        <v>50131935.634066693</v>
      </c>
      <c r="I28" s="8">
        <f>'Monthly Data-EOP'!C88+'Monthly Data-FE'!C88+'Monthly Data-PC'!C88</f>
        <v>12926067.478284243</v>
      </c>
      <c r="J28" s="8">
        <f>'Monthly Data-EOP'!D88+'Monthly Data-FE'!D88+'Monthly Data-PC'!D88</f>
        <v>25558</v>
      </c>
      <c r="K28" s="8">
        <f>'Monthly Data-EOP'!E88+'Monthly Data-FE'!E88+'Monthly Data-PC'!E88</f>
        <v>5501756.1092342027</v>
      </c>
      <c r="L28" s="8">
        <f>'Monthly Data-EOP'!F88+'Monthly Data-FE'!F88+'Monthly Data-PC'!F88</f>
        <v>2506</v>
      </c>
      <c r="M28" s="8">
        <f>'Monthly Data-EOP'!G88+'Monthly Data-FE'!G88+'Monthly Data-PC'!G88</f>
        <v>27173584.995651599</v>
      </c>
      <c r="N28" s="8">
        <v>440371.26</v>
      </c>
      <c r="O28" s="8">
        <f t="shared" si="4"/>
        <v>26733213.735651597</v>
      </c>
      <c r="P28" s="8">
        <f>'Monthly Data-EOP'!H88+'Monthly Data-FE'!H88+'Monthly Data-PC'!H88</f>
        <v>54706</v>
      </c>
      <c r="Q28" s="8">
        <v>771.12</v>
      </c>
      <c r="R28" s="8">
        <f t="shared" si="5"/>
        <v>53934.879999999997</v>
      </c>
      <c r="S28" s="8">
        <f>'Monthly Data-EOP'!I88+'Monthly Data-FE'!I88+'Monthly Data-PC'!I88</f>
        <v>229</v>
      </c>
      <c r="T28" s="8">
        <f>'Monthly Data-EOP'!J88+'Monthly Data-FE'!J88+'Monthly Data-PC'!J88</f>
        <v>531733.36671289639</v>
      </c>
      <c r="U28" s="8">
        <f>'Monthly Data-EOP'!K88+'Monthly Data-FE'!K88+'Monthly Data-PC'!K88</f>
        <v>1147</v>
      </c>
      <c r="V28" s="8">
        <f>'Monthly Data-EOP'!L88+'Monthly Data-FE'!L88+'Monthly Data-PC'!L88</f>
        <v>5696</v>
      </c>
      <c r="W28" s="8">
        <f>'Monthly Data-EOP'!M88+'Monthly Data-FE'!M88+'Monthly Data-PC'!M88</f>
        <v>58198.885868555044</v>
      </c>
      <c r="X28" s="8">
        <f>'Monthly Data-EOP'!N88+'Monthly Data-FE'!N88+'Monthly Data-PC'!N88</f>
        <v>195</v>
      </c>
      <c r="Y28" s="8">
        <f>'Monthly Data-EOP'!O88+'Monthly Data-FE'!O88+'Monthly Data-PC'!O88</f>
        <v>961</v>
      </c>
      <c r="Z28" s="8">
        <f>'Monthly Data-EOP'!P88+'Monthly Data-FE'!P88+'Monthly Data-PC'!P88</f>
        <v>99802.291269406225</v>
      </c>
      <c r="AA28" s="8">
        <f>'Monthly Data-EOP'!Q88+'Monthly Data-FE'!Q88+'Monthly Data-PC'!Q88</f>
        <v>39</v>
      </c>
      <c r="AB28">
        <f>'Weather Data'!S208</f>
        <v>567.1</v>
      </c>
      <c r="AC28">
        <f>'Weather Data'!T208</f>
        <v>0</v>
      </c>
      <c r="AD28">
        <v>595.70000000000016</v>
      </c>
      <c r="AE28">
        <v>0</v>
      </c>
      <c r="AF28">
        <v>6523.7</v>
      </c>
      <c r="AG28">
        <v>75.900000000000006</v>
      </c>
      <c r="AH28">
        <v>189.7</v>
      </c>
      <c r="AI28">
        <f t="shared" si="8"/>
        <v>27</v>
      </c>
      <c r="AJ28">
        <f t="shared" si="10"/>
        <v>1</v>
      </c>
      <c r="AK28">
        <f t="shared" si="10"/>
        <v>0</v>
      </c>
      <c r="AL28">
        <f t="shared" si="10"/>
        <v>1</v>
      </c>
      <c r="AM28">
        <f t="shared" si="10"/>
        <v>0</v>
      </c>
      <c r="AN28">
        <f t="shared" si="10"/>
        <v>0</v>
      </c>
      <c r="AO28">
        <f t="shared" si="10"/>
        <v>1</v>
      </c>
      <c r="AP28">
        <f t="shared" si="10"/>
        <v>0</v>
      </c>
      <c r="AQ28">
        <f t="shared" si="10"/>
        <v>0</v>
      </c>
      <c r="AR28">
        <f t="shared" si="10"/>
        <v>0</v>
      </c>
      <c r="AS28">
        <f t="shared" si="10"/>
        <v>0</v>
      </c>
      <c r="AT28">
        <f t="shared" si="10"/>
        <v>0</v>
      </c>
      <c r="AU28">
        <f t="shared" si="10"/>
        <v>0</v>
      </c>
      <c r="AV28">
        <f t="shared" si="10"/>
        <v>0</v>
      </c>
      <c r="AW28">
        <f t="shared" si="10"/>
        <v>0</v>
      </c>
      <c r="AX28">
        <f t="shared" si="10"/>
        <v>0</v>
      </c>
      <c r="AY28">
        <v>23</v>
      </c>
      <c r="AZ28">
        <v>31</v>
      </c>
      <c r="BA28">
        <v>0</v>
      </c>
      <c r="BB28">
        <v>0</v>
      </c>
    </row>
    <row r="29" spans="1:54" x14ac:dyDescent="0.2">
      <c r="A29" s="3">
        <f>'Monthly Data-EOP'!A89</f>
        <v>40634</v>
      </c>
      <c r="B29" s="102">
        <f t="shared" si="7"/>
        <v>2011</v>
      </c>
      <c r="C29" s="8">
        <f>'Monthly Data-EOP'!B89+'Monthly Data-FE'!B89+'Monthly Data-PC'!B89</f>
        <v>43724823.849999994</v>
      </c>
      <c r="D29" s="8">
        <v>3585.8400847949142</v>
      </c>
      <c r="E29" s="8">
        <v>2241.7976160217772</v>
      </c>
      <c r="F29" s="8">
        <f t="shared" si="1"/>
        <v>4</v>
      </c>
      <c r="G29" s="8">
        <f t="shared" si="2"/>
        <v>361092.16306684777</v>
      </c>
      <c r="H29" s="8">
        <f t="shared" si="3"/>
        <v>44085916.013066843</v>
      </c>
      <c r="I29" s="8">
        <f>'Monthly Data-EOP'!C89+'Monthly Data-FE'!C89+'Monthly Data-PC'!C89</f>
        <v>20013617.52171576</v>
      </c>
      <c r="J29" s="8">
        <f>'Monthly Data-EOP'!D89+'Monthly Data-FE'!D89+'Monthly Data-PC'!D89</f>
        <v>25522</v>
      </c>
      <c r="K29" s="8">
        <f>'Monthly Data-EOP'!E89+'Monthly Data-FE'!E89+'Monthly Data-PC'!E89</f>
        <v>5998727.5907657947</v>
      </c>
      <c r="L29" s="8">
        <f>'Monthly Data-EOP'!F89+'Monthly Data-FE'!F89+'Monthly Data-PC'!F89</f>
        <v>2503</v>
      </c>
      <c r="M29" s="8">
        <f>'Monthly Data-EOP'!G89+'Monthly Data-FE'!G89+'Monthly Data-PC'!G89</f>
        <v>12191359.724335657</v>
      </c>
      <c r="N29" s="8">
        <v>371449.26</v>
      </c>
      <c r="O29" s="8">
        <f t="shared" si="4"/>
        <v>11819910.464335658</v>
      </c>
      <c r="P29" s="8">
        <f>'Monthly Data-EOP'!H89+'Monthly Data-FE'!H89+'Monthly Data-PC'!H89</f>
        <v>67834</v>
      </c>
      <c r="Q29" s="8">
        <v>882</v>
      </c>
      <c r="R29" s="8">
        <f t="shared" si="5"/>
        <v>66952</v>
      </c>
      <c r="S29" s="8">
        <f>'Monthly Data-EOP'!I89+'Monthly Data-FE'!I89+'Monthly Data-PC'!I89</f>
        <v>229</v>
      </c>
      <c r="T29" s="8">
        <f>'Monthly Data-EOP'!J89+'Monthly Data-FE'!J89+'Monthly Data-PC'!J89</f>
        <v>250913.93678739679</v>
      </c>
      <c r="U29" s="8">
        <f>'Monthly Data-EOP'!K89+'Monthly Data-FE'!K89+'Monthly Data-PC'!K89</f>
        <v>1146</v>
      </c>
      <c r="V29" s="8">
        <f>'Monthly Data-EOP'!L89+'Monthly Data-FE'!L89+'Monthly Data-PC'!L89</f>
        <v>5696</v>
      </c>
      <c r="W29" s="8">
        <f>'Monthly Data-EOP'!M89+'Monthly Data-FE'!M89+'Monthly Data-PC'!M89</f>
        <v>59580.889157858335</v>
      </c>
      <c r="X29" s="8">
        <f>'Monthly Data-EOP'!N89+'Monthly Data-FE'!N89+'Monthly Data-PC'!N89</f>
        <v>174</v>
      </c>
      <c r="Y29" s="8">
        <f>'Monthly Data-EOP'!O89+'Monthly Data-FE'!O89+'Monthly Data-PC'!O89</f>
        <v>961</v>
      </c>
      <c r="Z29" s="8">
        <f>'Monthly Data-EOP'!P89+'Monthly Data-FE'!P89+'Monthly Data-PC'!P89</f>
        <v>143430.5717305938</v>
      </c>
      <c r="AA29" s="8">
        <f>'Monthly Data-EOP'!Q89+'Monthly Data-FE'!Q89+'Monthly Data-PC'!Q89</f>
        <v>39</v>
      </c>
      <c r="AB29">
        <f>'Weather Data'!S209</f>
        <v>324.89999999999998</v>
      </c>
      <c r="AC29">
        <f>'Weather Data'!T209</f>
        <v>0.4</v>
      </c>
      <c r="AD29">
        <v>350.99999999999989</v>
      </c>
      <c r="AE29">
        <v>0</v>
      </c>
      <c r="AF29">
        <v>6550</v>
      </c>
      <c r="AG29">
        <v>77.7</v>
      </c>
      <c r="AH29">
        <v>190.7</v>
      </c>
      <c r="AI29">
        <f t="shared" si="8"/>
        <v>28</v>
      </c>
      <c r="AJ29">
        <f t="shared" si="10"/>
        <v>1</v>
      </c>
      <c r="AK29">
        <f t="shared" si="10"/>
        <v>0</v>
      </c>
      <c r="AL29">
        <f t="shared" si="10"/>
        <v>1</v>
      </c>
      <c r="AM29">
        <f t="shared" si="10"/>
        <v>0</v>
      </c>
      <c r="AN29">
        <f t="shared" si="10"/>
        <v>0</v>
      </c>
      <c r="AO29">
        <f t="shared" si="10"/>
        <v>0</v>
      </c>
      <c r="AP29">
        <f t="shared" si="10"/>
        <v>1</v>
      </c>
      <c r="AQ29">
        <f t="shared" si="10"/>
        <v>0</v>
      </c>
      <c r="AR29">
        <f t="shared" si="10"/>
        <v>0</v>
      </c>
      <c r="AS29">
        <f t="shared" si="10"/>
        <v>0</v>
      </c>
      <c r="AT29">
        <f t="shared" si="10"/>
        <v>0</v>
      </c>
      <c r="AU29">
        <f t="shared" si="10"/>
        <v>0</v>
      </c>
      <c r="AV29">
        <f t="shared" si="10"/>
        <v>0</v>
      </c>
      <c r="AW29">
        <f t="shared" si="10"/>
        <v>0</v>
      </c>
      <c r="AX29">
        <f t="shared" si="10"/>
        <v>0</v>
      </c>
      <c r="AY29">
        <v>19</v>
      </c>
      <c r="AZ29">
        <v>30</v>
      </c>
      <c r="BA29">
        <v>0</v>
      </c>
      <c r="BB29">
        <v>0</v>
      </c>
    </row>
    <row r="30" spans="1:54" x14ac:dyDescent="0.2">
      <c r="A30" s="3">
        <f>'Monthly Data-EOP'!A90</f>
        <v>40664</v>
      </c>
      <c r="B30" s="102">
        <f t="shared" si="7"/>
        <v>2011</v>
      </c>
      <c r="C30" s="8">
        <f>'Monthly Data-EOP'!B90+'Monthly Data-FE'!B90+'Monthly Data-PC'!B90</f>
        <v>42930546.329999998</v>
      </c>
      <c r="D30" s="8">
        <v>3585.8400847949142</v>
      </c>
      <c r="E30" s="8">
        <v>2241.7976160217772</v>
      </c>
      <c r="F30" s="8">
        <f t="shared" si="1"/>
        <v>5</v>
      </c>
      <c r="G30" s="8">
        <f t="shared" si="2"/>
        <v>376660.20206699899</v>
      </c>
      <c r="H30" s="8">
        <f t="shared" si="3"/>
        <v>43307206.532067001</v>
      </c>
      <c r="I30" s="8">
        <f>'Monthly Data-EOP'!C90+'Monthly Data-FE'!C90+'Monthly Data-PC'!C90</f>
        <v>13242837</v>
      </c>
      <c r="J30" s="8">
        <f>'Monthly Data-EOP'!D90+'Monthly Data-FE'!D90+'Monthly Data-PC'!D90</f>
        <v>25512</v>
      </c>
      <c r="K30" s="8">
        <f>'Monthly Data-EOP'!E90+'Monthly Data-FE'!E90+'Monthly Data-PC'!E90</f>
        <v>5447157</v>
      </c>
      <c r="L30" s="8">
        <f>'Monthly Data-EOP'!F90+'Monthly Data-FE'!F90+'Monthly Data-PC'!F90</f>
        <v>2502</v>
      </c>
      <c r="M30" s="8">
        <f>'Monthly Data-EOP'!G90+'Monthly Data-FE'!G90+'Monthly Data-PC'!G90</f>
        <v>19935185.766243663</v>
      </c>
      <c r="N30" s="8">
        <v>379955.52</v>
      </c>
      <c r="O30" s="8">
        <f t="shared" si="4"/>
        <v>19555230.246243663</v>
      </c>
      <c r="P30" s="8">
        <f>'Monthly Data-EOP'!H90+'Monthly Data-FE'!H90+'Monthly Data-PC'!H90</f>
        <v>60314</v>
      </c>
      <c r="Q30" s="8">
        <v>927.36</v>
      </c>
      <c r="R30" s="8">
        <f t="shared" si="5"/>
        <v>59386.64</v>
      </c>
      <c r="S30" s="8">
        <f>'Monthly Data-EOP'!I90+'Monthly Data-FE'!I90+'Monthly Data-PC'!I90</f>
        <v>228</v>
      </c>
      <c r="T30" s="8">
        <f>'Monthly Data-EOP'!J90+'Monthly Data-FE'!J90+'Monthly Data-PC'!J90</f>
        <v>325364.17568806646</v>
      </c>
      <c r="U30" s="8">
        <f>'Monthly Data-EOP'!K90+'Monthly Data-FE'!K90+'Monthly Data-PC'!K90</f>
        <v>1145</v>
      </c>
      <c r="V30" s="8">
        <f>'Monthly Data-EOP'!L90+'Monthly Data-FE'!L90+'Monthly Data-PC'!L90</f>
        <v>5696</v>
      </c>
      <c r="W30" s="8">
        <f>'Monthly Data-EOP'!M90+'Monthly Data-FE'!M90+'Monthly Data-PC'!M90</f>
        <v>70972.110046582675</v>
      </c>
      <c r="X30" s="8">
        <f>'Monthly Data-EOP'!N90+'Monthly Data-FE'!N90+'Monthly Data-PC'!N90</f>
        <v>216</v>
      </c>
      <c r="Y30" s="8">
        <f>'Monthly Data-EOP'!O90+'Monthly Data-FE'!O90+'Monthly Data-PC'!O90</f>
        <v>961</v>
      </c>
      <c r="Z30" s="8">
        <f>'Monthly Data-EOP'!P90+'Monthly Data-FE'!P90+'Monthly Data-PC'!P90</f>
        <v>138076.48099999997</v>
      </c>
      <c r="AA30" s="8">
        <f>'Monthly Data-EOP'!Q90+'Monthly Data-FE'!Q90+'Monthly Data-PC'!Q90</f>
        <v>39</v>
      </c>
      <c r="AB30">
        <f>'Weather Data'!S210</f>
        <v>136.00000000000003</v>
      </c>
      <c r="AC30">
        <f>'Weather Data'!T210</f>
        <v>12.5</v>
      </c>
      <c r="AD30">
        <v>150</v>
      </c>
      <c r="AE30">
        <v>1.2999999999999998</v>
      </c>
      <c r="AF30">
        <v>6612</v>
      </c>
      <c r="AG30">
        <v>78.8</v>
      </c>
      <c r="AH30">
        <v>193.3</v>
      </c>
      <c r="AI30">
        <f t="shared" si="8"/>
        <v>29</v>
      </c>
      <c r="AJ30">
        <f t="shared" si="10"/>
        <v>1</v>
      </c>
      <c r="AK30">
        <f t="shared" si="10"/>
        <v>0</v>
      </c>
      <c r="AL30">
        <f t="shared" si="10"/>
        <v>1</v>
      </c>
      <c r="AM30">
        <f t="shared" si="10"/>
        <v>0</v>
      </c>
      <c r="AN30">
        <f t="shared" si="10"/>
        <v>0</v>
      </c>
      <c r="AO30">
        <f t="shared" si="10"/>
        <v>0</v>
      </c>
      <c r="AP30">
        <f t="shared" si="10"/>
        <v>0</v>
      </c>
      <c r="AQ30">
        <f t="shared" si="10"/>
        <v>1</v>
      </c>
      <c r="AR30">
        <f t="shared" si="10"/>
        <v>0</v>
      </c>
      <c r="AS30">
        <f t="shared" si="10"/>
        <v>0</v>
      </c>
      <c r="AT30">
        <f t="shared" si="10"/>
        <v>0</v>
      </c>
      <c r="AU30">
        <f t="shared" si="10"/>
        <v>0</v>
      </c>
      <c r="AV30">
        <f t="shared" si="10"/>
        <v>0</v>
      </c>
      <c r="AW30">
        <f t="shared" si="10"/>
        <v>0</v>
      </c>
      <c r="AX30">
        <f t="shared" si="10"/>
        <v>0</v>
      </c>
      <c r="AY30">
        <v>21</v>
      </c>
      <c r="AZ30">
        <v>31</v>
      </c>
      <c r="BA30">
        <v>0</v>
      </c>
      <c r="BB30">
        <v>0</v>
      </c>
    </row>
    <row r="31" spans="1:54" x14ac:dyDescent="0.2">
      <c r="A31" s="3">
        <f>'Monthly Data-EOP'!A91</f>
        <v>40695</v>
      </c>
      <c r="B31" s="102">
        <f t="shared" si="7"/>
        <v>2011</v>
      </c>
      <c r="C31" s="8">
        <f>'Monthly Data-EOP'!B91+'Monthly Data-FE'!B91+'Monthly Data-PC'!B91</f>
        <v>45240261.659999996</v>
      </c>
      <c r="D31" s="8">
        <v>3585.8400847949142</v>
      </c>
      <c r="E31" s="8">
        <v>2241.7976160217772</v>
      </c>
      <c r="F31" s="8">
        <f t="shared" si="1"/>
        <v>6</v>
      </c>
      <c r="G31" s="8">
        <f t="shared" si="2"/>
        <v>392228.24106715026</v>
      </c>
      <c r="H31" s="8">
        <f t="shared" si="3"/>
        <v>45632489.901067145</v>
      </c>
      <c r="I31" s="8">
        <f>'Monthly Data-EOP'!C91+'Monthly Data-FE'!C91+'Monthly Data-PC'!C91</f>
        <v>14688454</v>
      </c>
      <c r="J31" s="8">
        <f>'Monthly Data-EOP'!D91+'Monthly Data-FE'!D91+'Monthly Data-PC'!D91</f>
        <v>25530</v>
      </c>
      <c r="K31" s="8">
        <f>'Monthly Data-EOP'!E91+'Monthly Data-FE'!E91+'Monthly Data-PC'!E91</f>
        <v>6058908.2000000011</v>
      </c>
      <c r="L31" s="8">
        <f>'Monthly Data-EOP'!F91+'Monthly Data-FE'!F91+'Monthly Data-PC'!F91</f>
        <v>2509</v>
      </c>
      <c r="M31" s="8">
        <f>'Monthly Data-EOP'!G91+'Monthly Data-FE'!G91+'Monthly Data-PC'!G91</f>
        <v>21347324.013289161</v>
      </c>
      <c r="N31" s="8">
        <v>368896.5</v>
      </c>
      <c r="O31" s="8">
        <f t="shared" si="4"/>
        <v>20978427.513289161</v>
      </c>
      <c r="P31" s="8">
        <f>'Monthly Data-EOP'!H91+'Monthly Data-FE'!H91+'Monthly Data-PC'!H91</f>
        <v>69090</v>
      </c>
      <c r="Q31" s="8">
        <v>982.8</v>
      </c>
      <c r="R31" s="8">
        <f t="shared" si="5"/>
        <v>68107.199999999997</v>
      </c>
      <c r="S31" s="8">
        <f>'Monthly Data-EOP'!I91+'Monthly Data-FE'!I91+'Monthly Data-PC'!I91</f>
        <v>227</v>
      </c>
      <c r="T31" s="8">
        <f>'Monthly Data-EOP'!J91+'Monthly Data-FE'!J91+'Monthly Data-PC'!J91</f>
        <v>304189.1456056906</v>
      </c>
      <c r="U31" s="8">
        <f>'Monthly Data-EOP'!K91+'Monthly Data-FE'!K91+'Monthly Data-PC'!K91</f>
        <v>1144</v>
      </c>
      <c r="V31" s="8">
        <f>'Monthly Data-EOP'!L91+'Monthly Data-FE'!L91+'Monthly Data-PC'!L91</f>
        <v>5696</v>
      </c>
      <c r="W31" s="8">
        <f>'Monthly Data-EOP'!M91+'Monthly Data-FE'!M91+'Monthly Data-PC'!M91</f>
        <v>65064.418637577342</v>
      </c>
      <c r="X31" s="8">
        <f>'Monthly Data-EOP'!N91+'Monthly Data-FE'!N91+'Monthly Data-PC'!N91</f>
        <v>185</v>
      </c>
      <c r="Y31" s="8">
        <f>'Monthly Data-EOP'!O91+'Monthly Data-FE'!O91+'Monthly Data-PC'!O91</f>
        <v>961</v>
      </c>
      <c r="Z31" s="8">
        <f>'Monthly Data-EOP'!P91+'Monthly Data-FE'!P91+'Monthly Data-PC'!P91</f>
        <v>135981.07900000006</v>
      </c>
      <c r="AA31" s="8">
        <f>'Monthly Data-EOP'!Q91+'Monthly Data-FE'!Q91+'Monthly Data-PC'!Q91</f>
        <v>39</v>
      </c>
      <c r="AB31">
        <f>'Weather Data'!S211</f>
        <v>22.700000000000003</v>
      </c>
      <c r="AC31">
        <f>'Weather Data'!T211</f>
        <v>40.200000000000003</v>
      </c>
      <c r="AD31">
        <v>25.199999999999996</v>
      </c>
      <c r="AE31">
        <v>24.900000000000002</v>
      </c>
      <c r="AF31">
        <v>6706.8</v>
      </c>
      <c r="AG31">
        <v>81</v>
      </c>
      <c r="AH31">
        <v>197.3</v>
      </c>
      <c r="AI31">
        <f t="shared" si="8"/>
        <v>30</v>
      </c>
      <c r="AJ31">
        <f t="shared" si="10"/>
        <v>0</v>
      </c>
      <c r="AK31">
        <f t="shared" si="10"/>
        <v>0</v>
      </c>
      <c r="AL31">
        <f t="shared" si="10"/>
        <v>0</v>
      </c>
      <c r="AM31">
        <f t="shared" si="10"/>
        <v>0</v>
      </c>
      <c r="AN31">
        <f t="shared" si="10"/>
        <v>0</v>
      </c>
      <c r="AO31">
        <f t="shared" si="10"/>
        <v>0</v>
      </c>
      <c r="AP31">
        <f t="shared" si="10"/>
        <v>0</v>
      </c>
      <c r="AQ31">
        <f t="shared" si="10"/>
        <v>0</v>
      </c>
      <c r="AR31">
        <f t="shared" si="10"/>
        <v>1</v>
      </c>
      <c r="AS31">
        <f t="shared" si="10"/>
        <v>0</v>
      </c>
      <c r="AT31">
        <f t="shared" si="10"/>
        <v>0</v>
      </c>
      <c r="AU31">
        <f t="shared" si="10"/>
        <v>0</v>
      </c>
      <c r="AV31">
        <f t="shared" si="10"/>
        <v>0</v>
      </c>
      <c r="AW31">
        <f t="shared" si="10"/>
        <v>0</v>
      </c>
      <c r="AX31">
        <f t="shared" si="10"/>
        <v>0</v>
      </c>
      <c r="AY31">
        <v>22</v>
      </c>
      <c r="AZ31">
        <v>30</v>
      </c>
      <c r="BA31">
        <v>0</v>
      </c>
      <c r="BB31">
        <v>0</v>
      </c>
    </row>
    <row r="32" spans="1:54" x14ac:dyDescent="0.2">
      <c r="A32" s="3">
        <f>'Monthly Data-EOP'!A92</f>
        <v>40725</v>
      </c>
      <c r="B32" s="102">
        <f t="shared" si="7"/>
        <v>2011</v>
      </c>
      <c r="C32" s="8">
        <f>'Monthly Data-EOP'!B92+'Monthly Data-FE'!B92+'Monthly Data-PC'!B92</f>
        <v>56133024.959999993</v>
      </c>
      <c r="D32" s="8">
        <v>3585.8400847949142</v>
      </c>
      <c r="E32" s="8">
        <v>2241.7976160217772</v>
      </c>
      <c r="F32" s="8">
        <f t="shared" si="1"/>
        <v>7</v>
      </c>
      <c r="G32" s="8">
        <f t="shared" si="2"/>
        <v>407796.28006730147</v>
      </c>
      <c r="H32" s="8">
        <f t="shared" si="3"/>
        <v>56540821.240067296</v>
      </c>
      <c r="I32" s="8">
        <f>'Monthly Data-EOP'!C92+'Monthly Data-FE'!C92+'Monthly Data-PC'!C92</f>
        <v>19551503</v>
      </c>
      <c r="J32" s="8">
        <f>'Monthly Data-EOP'!D92+'Monthly Data-FE'!D92+'Monthly Data-PC'!D92</f>
        <v>25500</v>
      </c>
      <c r="K32" s="8">
        <f>'Monthly Data-EOP'!E92+'Monthly Data-FE'!E92+'Monthly Data-PC'!E92</f>
        <v>5999016.200000003</v>
      </c>
      <c r="L32" s="8">
        <f>'Monthly Data-EOP'!F92+'Monthly Data-FE'!F92+'Monthly Data-PC'!F92</f>
        <v>2496</v>
      </c>
      <c r="M32" s="8">
        <f>'Monthly Data-EOP'!G92+'Monthly Data-FE'!G92+'Monthly Data-PC'!G92</f>
        <v>25520961.230261251</v>
      </c>
      <c r="N32" s="8">
        <v>524686.68000000005</v>
      </c>
      <c r="O32" s="8">
        <f t="shared" si="4"/>
        <v>24996274.550261252</v>
      </c>
      <c r="P32" s="8">
        <f>'Monthly Data-EOP'!H92+'Monthly Data-FE'!H92+'Monthly Data-PC'!H92</f>
        <v>58281</v>
      </c>
      <c r="Q32" s="8">
        <v>1310.4000000000001</v>
      </c>
      <c r="R32" s="8">
        <f t="shared" si="5"/>
        <v>56970.6</v>
      </c>
      <c r="S32" s="8">
        <f>'Monthly Data-EOP'!I92+'Monthly Data-FE'!I92+'Monthly Data-PC'!I92</f>
        <v>224</v>
      </c>
      <c r="T32" s="8">
        <f>'Monthly Data-EOP'!J92+'Monthly Data-FE'!J92+'Monthly Data-PC'!J92</f>
        <v>267844.55324589013</v>
      </c>
      <c r="U32" s="8">
        <f>'Monthly Data-EOP'!K92+'Monthly Data-FE'!K92+'Monthly Data-PC'!K92</f>
        <v>1143</v>
      </c>
      <c r="V32" s="8">
        <f>'Monthly Data-EOP'!L92+'Monthly Data-FE'!L92+'Monthly Data-PC'!L92</f>
        <v>5696</v>
      </c>
      <c r="W32" s="8">
        <f>'Monthly Data-EOP'!M92+'Monthly Data-FE'!M92+'Monthly Data-PC'!M92</f>
        <v>61817.039946944024</v>
      </c>
      <c r="X32" s="8">
        <f>'Monthly Data-EOP'!N92+'Monthly Data-FE'!N92+'Monthly Data-PC'!N92</f>
        <v>183</v>
      </c>
      <c r="Y32" s="8">
        <f>'Monthly Data-EOP'!O92+'Monthly Data-FE'!O92+'Monthly Data-PC'!O92</f>
        <v>961</v>
      </c>
      <c r="Z32" s="8">
        <f>'Monthly Data-EOP'!P92+'Monthly Data-FE'!P92+'Monthly Data-PC'!P92</f>
        <v>146815.99100000001</v>
      </c>
      <c r="AA32" s="8">
        <f>'Monthly Data-EOP'!Q92+'Monthly Data-FE'!Q92+'Monthly Data-PC'!Q92</f>
        <v>39</v>
      </c>
      <c r="AB32">
        <f>'Weather Data'!S212</f>
        <v>0.2</v>
      </c>
      <c r="AC32">
        <f>'Weather Data'!T212</f>
        <v>158.6</v>
      </c>
      <c r="AD32">
        <v>0</v>
      </c>
      <c r="AE32">
        <v>118.30000000000003</v>
      </c>
      <c r="AF32">
        <v>6755.3</v>
      </c>
      <c r="AG32">
        <v>81.2</v>
      </c>
      <c r="AH32">
        <v>200.1</v>
      </c>
      <c r="AI32">
        <f t="shared" si="8"/>
        <v>31</v>
      </c>
      <c r="AJ32">
        <f t="shared" si="10"/>
        <v>0</v>
      </c>
      <c r="AK32">
        <f t="shared" si="10"/>
        <v>0</v>
      </c>
      <c r="AL32">
        <f t="shared" si="10"/>
        <v>0</v>
      </c>
      <c r="AM32">
        <f t="shared" si="10"/>
        <v>0</v>
      </c>
      <c r="AN32">
        <f t="shared" si="10"/>
        <v>0</v>
      </c>
      <c r="AO32">
        <f t="shared" si="10"/>
        <v>0</v>
      </c>
      <c r="AP32">
        <f t="shared" si="10"/>
        <v>0</v>
      </c>
      <c r="AQ32">
        <f t="shared" si="10"/>
        <v>0</v>
      </c>
      <c r="AR32">
        <f t="shared" si="10"/>
        <v>0</v>
      </c>
      <c r="AS32">
        <f t="shared" si="10"/>
        <v>1</v>
      </c>
      <c r="AT32">
        <f t="shared" si="10"/>
        <v>0</v>
      </c>
      <c r="AU32">
        <f t="shared" si="10"/>
        <v>0</v>
      </c>
      <c r="AV32">
        <f t="shared" si="10"/>
        <v>0</v>
      </c>
      <c r="AW32">
        <f t="shared" si="10"/>
        <v>0</v>
      </c>
      <c r="AX32">
        <f t="shared" si="10"/>
        <v>0</v>
      </c>
      <c r="AY32">
        <v>20</v>
      </c>
      <c r="AZ32">
        <v>31</v>
      </c>
      <c r="BA32">
        <v>0</v>
      </c>
      <c r="BB32">
        <v>0</v>
      </c>
    </row>
    <row r="33" spans="1:54" x14ac:dyDescent="0.2">
      <c r="A33" s="3">
        <f>'Monthly Data-EOP'!A93</f>
        <v>40756</v>
      </c>
      <c r="B33" s="102">
        <f t="shared" si="7"/>
        <v>2011</v>
      </c>
      <c r="C33" s="8">
        <f>'Monthly Data-EOP'!B93+'Monthly Data-FE'!B93+'Monthly Data-PC'!B93</f>
        <v>52792264.950000003</v>
      </c>
      <c r="D33" s="8">
        <v>3585.8400847949142</v>
      </c>
      <c r="E33" s="8">
        <v>2241.7976160217772</v>
      </c>
      <c r="F33" s="8">
        <f t="shared" si="1"/>
        <v>8</v>
      </c>
      <c r="G33" s="8">
        <f t="shared" si="2"/>
        <v>423364.31906745268</v>
      </c>
      <c r="H33" s="8">
        <f t="shared" si="3"/>
        <v>53215629.269067459</v>
      </c>
      <c r="I33" s="8">
        <f>'Monthly Data-EOP'!C93+'Monthly Data-FE'!C93+'Monthly Data-PC'!C93</f>
        <v>23355251</v>
      </c>
      <c r="J33" s="8">
        <f>'Monthly Data-EOP'!D93+'Monthly Data-FE'!D93+'Monthly Data-PC'!D93</f>
        <v>25508</v>
      </c>
      <c r="K33" s="8">
        <f>'Monthly Data-EOP'!E93+'Monthly Data-FE'!E93+'Monthly Data-PC'!E93</f>
        <v>6162125.5999999996</v>
      </c>
      <c r="L33" s="8">
        <f>'Monthly Data-EOP'!F93+'Monthly Data-FE'!F93+'Monthly Data-PC'!F93</f>
        <v>2494</v>
      </c>
      <c r="M33" s="8">
        <f>'Monthly Data-EOP'!G93+'Monthly Data-FE'!G93+'Monthly Data-PC'!G93</f>
        <v>16569929.955980685</v>
      </c>
      <c r="N33" s="8">
        <v>461572.02</v>
      </c>
      <c r="O33" s="8">
        <f t="shared" si="4"/>
        <v>16108357.935980685</v>
      </c>
      <c r="P33" s="8">
        <f>'Monthly Data-EOP'!H93+'Monthly Data-FE'!H93+'Monthly Data-PC'!H93</f>
        <v>70676</v>
      </c>
      <c r="Q33" s="8">
        <v>1128.96</v>
      </c>
      <c r="R33" s="8">
        <f t="shared" si="5"/>
        <v>69547.039999999994</v>
      </c>
      <c r="S33" s="8">
        <f>'Monthly Data-EOP'!I93+'Monthly Data-FE'!I93+'Monthly Data-PC'!I93</f>
        <v>219</v>
      </c>
      <c r="T33" s="8">
        <f>'Monthly Data-EOP'!J93+'Monthly Data-FE'!J93+'Monthly Data-PC'!J93</f>
        <v>268324.53128746076</v>
      </c>
      <c r="U33" s="8">
        <f>'Monthly Data-EOP'!K93+'Monthly Data-FE'!K93+'Monthly Data-PC'!K93</f>
        <v>1142</v>
      </c>
      <c r="V33" s="8">
        <f>'Monthly Data-EOP'!L93+'Monthly Data-FE'!L93+'Monthly Data-PC'!L93</f>
        <v>5696</v>
      </c>
      <c r="W33" s="8">
        <f>'Monthly Data-EOP'!M93+'Monthly Data-FE'!M93+'Monthly Data-PC'!M93</f>
        <v>60724.062519786596</v>
      </c>
      <c r="X33" s="8">
        <f>'Monthly Data-EOP'!N93+'Monthly Data-FE'!N93+'Monthly Data-PC'!N93</f>
        <v>201</v>
      </c>
      <c r="Y33" s="8">
        <f>'Monthly Data-EOP'!O93+'Monthly Data-FE'!O93+'Monthly Data-PC'!O93</f>
        <v>961</v>
      </c>
      <c r="Z33" s="8">
        <f>'Monthly Data-EOP'!P93+'Monthly Data-FE'!P93+'Monthly Data-PC'!P93</f>
        <v>98444.84299999995</v>
      </c>
      <c r="AA33" s="8">
        <f>'Monthly Data-EOP'!Q93+'Monthly Data-FE'!Q93+'Monthly Data-PC'!Q93</f>
        <v>39</v>
      </c>
      <c r="AB33">
        <f>'Weather Data'!S213</f>
        <v>4.0999999999999996</v>
      </c>
      <c r="AC33">
        <f>'Weather Data'!T213</f>
        <v>88.8</v>
      </c>
      <c r="AD33">
        <v>7</v>
      </c>
      <c r="AE33">
        <v>68.2</v>
      </c>
      <c r="AF33">
        <v>6778</v>
      </c>
      <c r="AG33">
        <v>82</v>
      </c>
      <c r="AH33">
        <v>201.8</v>
      </c>
      <c r="AI33">
        <f t="shared" si="8"/>
        <v>32</v>
      </c>
      <c r="AJ33">
        <f t="shared" si="10"/>
        <v>0</v>
      </c>
      <c r="AK33">
        <f t="shared" si="10"/>
        <v>0</v>
      </c>
      <c r="AL33">
        <f t="shared" si="10"/>
        <v>0</v>
      </c>
      <c r="AM33">
        <f t="shared" si="10"/>
        <v>0</v>
      </c>
      <c r="AN33">
        <f t="shared" si="10"/>
        <v>0</v>
      </c>
      <c r="AO33">
        <f t="shared" si="10"/>
        <v>0</v>
      </c>
      <c r="AP33">
        <f t="shared" si="10"/>
        <v>0</v>
      </c>
      <c r="AQ33">
        <f t="shared" si="10"/>
        <v>0</v>
      </c>
      <c r="AR33">
        <f t="shared" si="10"/>
        <v>0</v>
      </c>
      <c r="AS33">
        <f t="shared" si="10"/>
        <v>0</v>
      </c>
      <c r="AT33">
        <f t="shared" si="10"/>
        <v>1</v>
      </c>
      <c r="AU33">
        <f t="shared" si="10"/>
        <v>0</v>
      </c>
      <c r="AV33">
        <f t="shared" si="10"/>
        <v>0</v>
      </c>
      <c r="AW33">
        <f t="shared" si="10"/>
        <v>0</v>
      </c>
      <c r="AX33">
        <f t="shared" si="10"/>
        <v>0</v>
      </c>
      <c r="AY33">
        <v>22</v>
      </c>
      <c r="AZ33">
        <v>31</v>
      </c>
      <c r="BA33">
        <v>0</v>
      </c>
      <c r="BB33">
        <v>0</v>
      </c>
    </row>
    <row r="34" spans="1:54" x14ac:dyDescent="0.2">
      <c r="A34" s="3">
        <f>'Monthly Data-EOP'!A94</f>
        <v>40787</v>
      </c>
      <c r="B34" s="102">
        <f t="shared" si="7"/>
        <v>2011</v>
      </c>
      <c r="C34" s="8">
        <f>'Monthly Data-EOP'!B94+'Monthly Data-FE'!B94+'Monthly Data-PC'!B94</f>
        <v>45672904.43</v>
      </c>
      <c r="D34" s="8">
        <v>3585.8400847949142</v>
      </c>
      <c r="E34" s="8">
        <v>2241.7976160217772</v>
      </c>
      <c r="F34" s="8">
        <f t="shared" si="1"/>
        <v>9</v>
      </c>
      <c r="G34" s="8">
        <f t="shared" si="2"/>
        <v>438932.3580676039</v>
      </c>
      <c r="H34" s="8">
        <f t="shared" si="3"/>
        <v>46111836.788067602</v>
      </c>
      <c r="I34" s="8">
        <f>'Monthly Data-EOP'!C94+'Monthly Data-FE'!C94+'Monthly Data-PC'!C94</f>
        <v>17690936</v>
      </c>
      <c r="J34" s="8">
        <f>'Monthly Data-EOP'!D94+'Monthly Data-FE'!D94+'Monthly Data-PC'!D94</f>
        <v>25525</v>
      </c>
      <c r="K34" s="8">
        <f>'Monthly Data-EOP'!E94+'Monthly Data-FE'!E94+'Monthly Data-PC'!E94</f>
        <v>6095311.6000000034</v>
      </c>
      <c r="L34" s="8">
        <f>'Monthly Data-EOP'!F94+'Monthly Data-FE'!F94+'Monthly Data-PC'!F94</f>
        <v>2496</v>
      </c>
      <c r="M34" s="8">
        <f>'Monthly Data-EOP'!G94+'Monthly Data-FE'!G94+'Monthly Data-PC'!G94</f>
        <v>21192199.921990752</v>
      </c>
      <c r="N34" s="8">
        <v>385623</v>
      </c>
      <c r="O34" s="8">
        <f t="shared" si="4"/>
        <v>20806576.921990752</v>
      </c>
      <c r="P34" s="8">
        <f>'Monthly Data-EOP'!H94+'Monthly Data-FE'!H94+'Monthly Data-PC'!H94</f>
        <v>69022</v>
      </c>
      <c r="Q34" s="8">
        <v>1179.3599999999999</v>
      </c>
      <c r="R34" s="8">
        <f t="shared" si="5"/>
        <v>67842.64</v>
      </c>
      <c r="S34" s="8">
        <f>'Monthly Data-EOP'!I94+'Monthly Data-FE'!I94+'Monthly Data-PC'!I94</f>
        <v>220</v>
      </c>
      <c r="T34" s="8">
        <f>'Monthly Data-EOP'!J94+'Monthly Data-FE'!J94+'Monthly Data-PC'!J94</f>
        <v>311492.18894181057</v>
      </c>
      <c r="U34" s="8">
        <f>'Monthly Data-EOP'!K94+'Monthly Data-FE'!K94+'Monthly Data-PC'!K94</f>
        <v>1148</v>
      </c>
      <c r="V34" s="8">
        <f>'Monthly Data-EOP'!L94+'Monthly Data-FE'!L94+'Monthly Data-PC'!L94</f>
        <v>5696</v>
      </c>
      <c r="W34" s="8">
        <f>'Monthly Data-EOP'!M94+'Monthly Data-FE'!M94+'Monthly Data-PC'!M94</f>
        <v>60490.605693404003</v>
      </c>
      <c r="X34" s="8">
        <f>'Monthly Data-EOP'!N94+'Monthly Data-FE'!N94+'Monthly Data-PC'!N94</f>
        <v>191</v>
      </c>
      <c r="Y34" s="8">
        <f>'Monthly Data-EOP'!O94+'Monthly Data-FE'!O94+'Monthly Data-PC'!O94</f>
        <v>961</v>
      </c>
      <c r="Z34" s="8">
        <f>'Monthly Data-EOP'!P94+'Monthly Data-FE'!P94+'Monthly Data-PC'!P94</f>
        <v>135624.10500000001</v>
      </c>
      <c r="AA34" s="8">
        <f>'Monthly Data-EOP'!Q94+'Monthly Data-FE'!Q94+'Monthly Data-PC'!Q94</f>
        <v>39</v>
      </c>
      <c r="AB34">
        <f>'Weather Data'!S214</f>
        <v>55</v>
      </c>
      <c r="AC34">
        <f>'Weather Data'!T214</f>
        <v>35.199999999999996</v>
      </c>
      <c r="AD34">
        <v>72.5</v>
      </c>
      <c r="AE34">
        <v>24.500000000000004</v>
      </c>
      <c r="AF34">
        <v>6734.6</v>
      </c>
      <c r="AG34">
        <v>80.5</v>
      </c>
      <c r="AH34">
        <v>201.6</v>
      </c>
      <c r="AI34">
        <f t="shared" si="8"/>
        <v>33</v>
      </c>
      <c r="AJ34">
        <f t="shared" si="10"/>
        <v>0</v>
      </c>
      <c r="AK34">
        <f t="shared" si="10"/>
        <v>1</v>
      </c>
      <c r="AL34">
        <f t="shared" si="10"/>
        <v>1</v>
      </c>
      <c r="AM34">
        <f t="shared" si="10"/>
        <v>0</v>
      </c>
      <c r="AN34">
        <f t="shared" si="10"/>
        <v>0</v>
      </c>
      <c r="AO34">
        <f t="shared" si="10"/>
        <v>0</v>
      </c>
      <c r="AP34">
        <f t="shared" si="10"/>
        <v>0</v>
      </c>
      <c r="AQ34">
        <f t="shared" si="10"/>
        <v>0</v>
      </c>
      <c r="AR34">
        <f t="shared" si="10"/>
        <v>0</v>
      </c>
      <c r="AS34">
        <f t="shared" si="10"/>
        <v>0</v>
      </c>
      <c r="AT34">
        <f t="shared" si="10"/>
        <v>0</v>
      </c>
      <c r="AU34">
        <f t="shared" si="10"/>
        <v>1</v>
      </c>
      <c r="AV34">
        <f t="shared" si="10"/>
        <v>0</v>
      </c>
      <c r="AW34">
        <f t="shared" si="10"/>
        <v>0</v>
      </c>
      <c r="AX34">
        <f t="shared" si="10"/>
        <v>0</v>
      </c>
      <c r="AY34">
        <v>21</v>
      </c>
      <c r="AZ34">
        <v>30</v>
      </c>
      <c r="BA34">
        <v>0</v>
      </c>
      <c r="BB34">
        <v>0</v>
      </c>
    </row>
    <row r="35" spans="1:54" x14ac:dyDescent="0.2">
      <c r="A35" s="3">
        <f>'Monthly Data-EOP'!A95</f>
        <v>40817</v>
      </c>
      <c r="B35" s="102">
        <f t="shared" si="7"/>
        <v>2011</v>
      </c>
      <c r="C35" s="8">
        <f>'Monthly Data-EOP'!B95+'Monthly Data-FE'!B95+'Monthly Data-PC'!B95</f>
        <v>43177328.170000002</v>
      </c>
      <c r="D35" s="8">
        <v>3585.8400847949142</v>
      </c>
      <c r="E35" s="8">
        <v>2241.7976160217772</v>
      </c>
      <c r="F35" s="8">
        <f t="shared" si="1"/>
        <v>10</v>
      </c>
      <c r="G35" s="8">
        <f t="shared" si="2"/>
        <v>454500.39706775517</v>
      </c>
      <c r="H35" s="8">
        <f t="shared" si="3"/>
        <v>43631828.567067757</v>
      </c>
      <c r="I35" s="8">
        <f>'Monthly Data-EOP'!C95+'Monthly Data-FE'!C95+'Monthly Data-PC'!C95</f>
        <v>12433688.400000006</v>
      </c>
      <c r="J35" s="8">
        <f>'Monthly Data-EOP'!D95+'Monthly Data-FE'!D95+'Monthly Data-PC'!D95</f>
        <v>25616</v>
      </c>
      <c r="K35" s="8">
        <f>'Monthly Data-EOP'!E95+'Monthly Data-FE'!E95+'Monthly Data-PC'!E95</f>
        <v>5348064.3999999985</v>
      </c>
      <c r="L35" s="8">
        <f>'Monthly Data-EOP'!F95+'Monthly Data-FE'!F95+'Monthly Data-PC'!F95</f>
        <v>2514</v>
      </c>
      <c r="M35" s="8">
        <f>'Monthly Data-EOP'!G95+'Monthly Data-FE'!G95+'Monthly Data-PC'!G95</f>
        <v>21398639.410812318</v>
      </c>
      <c r="N35" s="8">
        <v>378572.04</v>
      </c>
      <c r="O35" s="8">
        <f t="shared" si="4"/>
        <v>21020067.370812319</v>
      </c>
      <c r="P35" s="8">
        <f>'Monthly Data-EOP'!H95+'Monthly Data-FE'!H95+'Monthly Data-PC'!H95</f>
        <v>68864</v>
      </c>
      <c r="Q35" s="8">
        <v>966</v>
      </c>
      <c r="R35" s="8">
        <f t="shared" si="5"/>
        <v>67898</v>
      </c>
      <c r="S35" s="8">
        <f>'Monthly Data-EOP'!I95+'Monthly Data-FE'!I95+'Monthly Data-PC'!I95</f>
        <v>223</v>
      </c>
      <c r="T35" s="8">
        <f>'Monthly Data-EOP'!J95+'Monthly Data-FE'!J95+'Monthly Data-PC'!J95</f>
        <v>378474.05184742354</v>
      </c>
      <c r="U35" s="8">
        <f>'Monthly Data-EOP'!K95+'Monthly Data-FE'!K95+'Monthly Data-PC'!K95</f>
        <v>1134</v>
      </c>
      <c r="V35" s="8">
        <f>'Monthly Data-EOP'!L95+'Monthly Data-FE'!L95+'Monthly Data-PC'!L95</f>
        <v>5696</v>
      </c>
      <c r="W35" s="8">
        <f>'Monthly Data-EOP'!M95+'Monthly Data-FE'!M95+'Monthly Data-PC'!M95</f>
        <v>63478.130238256919</v>
      </c>
      <c r="X35" s="8">
        <f>'Monthly Data-EOP'!N95+'Monthly Data-FE'!N95+'Monthly Data-PC'!N95</f>
        <v>192</v>
      </c>
      <c r="Y35" s="8">
        <f>'Monthly Data-EOP'!O95+'Monthly Data-FE'!O95+'Monthly Data-PC'!O95</f>
        <v>961</v>
      </c>
      <c r="Z35" s="8">
        <f>'Monthly Data-EOP'!P95+'Monthly Data-FE'!P95+'Monthly Data-PC'!P95</f>
        <v>115832.28300000002</v>
      </c>
      <c r="AA35" s="8">
        <f>'Monthly Data-EOP'!Q95+'Monthly Data-FE'!Q95+'Monthly Data-PC'!Q95</f>
        <v>39</v>
      </c>
      <c r="AB35">
        <f>'Weather Data'!S215</f>
        <v>234.5</v>
      </c>
      <c r="AC35">
        <f>'Weather Data'!T215</f>
        <v>0</v>
      </c>
      <c r="AD35">
        <v>266.49999999999994</v>
      </c>
      <c r="AE35">
        <v>0.5</v>
      </c>
      <c r="AF35">
        <v>6702.2</v>
      </c>
      <c r="AG35">
        <v>79.7</v>
      </c>
      <c r="AH35">
        <v>200.6</v>
      </c>
      <c r="AI35">
        <f t="shared" si="8"/>
        <v>34</v>
      </c>
      <c r="AJ35">
        <f t="shared" ref="AJ35:AX37" si="11">AJ23</f>
        <v>0</v>
      </c>
      <c r="AK35">
        <f t="shared" si="11"/>
        <v>1</v>
      </c>
      <c r="AL35">
        <f t="shared" si="11"/>
        <v>1</v>
      </c>
      <c r="AM35">
        <f t="shared" si="11"/>
        <v>0</v>
      </c>
      <c r="AN35">
        <f t="shared" si="11"/>
        <v>0</v>
      </c>
      <c r="AO35">
        <f t="shared" si="11"/>
        <v>0</v>
      </c>
      <c r="AP35">
        <f t="shared" si="11"/>
        <v>0</v>
      </c>
      <c r="AQ35">
        <f t="shared" si="11"/>
        <v>0</v>
      </c>
      <c r="AR35">
        <f t="shared" si="11"/>
        <v>0</v>
      </c>
      <c r="AS35">
        <f t="shared" si="11"/>
        <v>0</v>
      </c>
      <c r="AT35">
        <f t="shared" si="11"/>
        <v>0</v>
      </c>
      <c r="AU35">
        <f t="shared" si="11"/>
        <v>0</v>
      </c>
      <c r="AV35">
        <f t="shared" si="11"/>
        <v>1</v>
      </c>
      <c r="AW35">
        <f t="shared" si="11"/>
        <v>0</v>
      </c>
      <c r="AX35">
        <f t="shared" si="11"/>
        <v>0</v>
      </c>
      <c r="AY35">
        <v>20</v>
      </c>
      <c r="AZ35">
        <v>31</v>
      </c>
      <c r="BA35">
        <v>0</v>
      </c>
      <c r="BB35">
        <v>0</v>
      </c>
    </row>
    <row r="36" spans="1:54" x14ac:dyDescent="0.2">
      <c r="A36" s="3">
        <f>'Monthly Data-EOP'!A96</f>
        <v>40848</v>
      </c>
      <c r="B36" s="102">
        <f t="shared" si="7"/>
        <v>2011</v>
      </c>
      <c r="C36" s="8">
        <f>'Monthly Data-EOP'!B96+'Monthly Data-FE'!B96+'Monthly Data-PC'!B96</f>
        <v>42120131.339999996</v>
      </c>
      <c r="D36" s="8">
        <v>3585.8400847949142</v>
      </c>
      <c r="E36" s="8">
        <v>2241.7976160217772</v>
      </c>
      <c r="F36" s="8">
        <f t="shared" si="1"/>
        <v>11</v>
      </c>
      <c r="G36" s="8">
        <f t="shared" si="2"/>
        <v>470068.43606790644</v>
      </c>
      <c r="H36" s="8">
        <f t="shared" si="3"/>
        <v>42590199.776067905</v>
      </c>
      <c r="I36" s="8">
        <f>'Monthly Data-EOP'!C96+'Monthly Data-FE'!C96+'Monthly Data-PC'!C96</f>
        <v>13184019</v>
      </c>
      <c r="J36" s="8">
        <f>'Monthly Data-EOP'!D96+'Monthly Data-FE'!D96+'Monthly Data-PC'!D96</f>
        <v>25680</v>
      </c>
      <c r="K36" s="8">
        <f>'Monthly Data-EOP'!E96+'Monthly Data-FE'!E96+'Monthly Data-PC'!E96</f>
        <v>4896200.4000000022</v>
      </c>
      <c r="L36" s="8">
        <f>'Monthly Data-EOP'!F96+'Monthly Data-FE'!F96+'Monthly Data-PC'!F96</f>
        <v>2514</v>
      </c>
      <c r="M36" s="8">
        <f>'Monthly Data-EOP'!G96+'Monthly Data-FE'!G96+'Monthly Data-PC'!G96</f>
        <v>19841706.686023638</v>
      </c>
      <c r="N36" s="8">
        <v>398351.1</v>
      </c>
      <c r="O36" s="8">
        <f t="shared" si="4"/>
        <v>19443355.586023636</v>
      </c>
      <c r="P36" s="8">
        <f>'Monthly Data-EOP'!H96+'Monthly Data-FE'!H96+'Monthly Data-PC'!H96</f>
        <v>62099</v>
      </c>
      <c r="Q36" s="8">
        <v>1033.2</v>
      </c>
      <c r="R36" s="8">
        <f t="shared" si="5"/>
        <v>61065.8</v>
      </c>
      <c r="S36" s="8">
        <f>'Monthly Data-EOP'!I96+'Monthly Data-FE'!I96+'Monthly Data-PC'!I96</f>
        <v>223</v>
      </c>
      <c r="T36" s="8">
        <f>'Monthly Data-EOP'!J96+'Monthly Data-FE'!J96+'Monthly Data-PC'!J96</f>
        <v>425690.84548388462</v>
      </c>
      <c r="U36" s="8">
        <f>'Monthly Data-EOP'!K96+'Monthly Data-FE'!K96+'Monthly Data-PC'!K96</f>
        <v>1139</v>
      </c>
      <c r="V36" s="8">
        <f>'Monthly Data-EOP'!L96+'Monthly Data-FE'!L96+'Monthly Data-PC'!L96</f>
        <v>5696</v>
      </c>
      <c r="W36" s="8">
        <f>'Monthly Data-EOP'!M96+'Monthly Data-FE'!M96+'Monthly Data-PC'!M96</f>
        <v>67376.078562106704</v>
      </c>
      <c r="X36" s="8">
        <f>'Monthly Data-EOP'!N96+'Monthly Data-FE'!N96+'Monthly Data-PC'!N96</f>
        <v>188</v>
      </c>
      <c r="Y36" s="8">
        <f>'Monthly Data-EOP'!O96+'Monthly Data-FE'!O96+'Monthly Data-PC'!O96</f>
        <v>961</v>
      </c>
      <c r="Z36" s="8">
        <f>'Monthly Data-EOP'!P96+'Monthly Data-FE'!P96+'Monthly Data-PC'!P96</f>
        <v>132556.27199999991</v>
      </c>
      <c r="AA36" s="8">
        <f>'Monthly Data-EOP'!Q96+'Monthly Data-FE'!Q96+'Monthly Data-PC'!Q96</f>
        <v>37</v>
      </c>
      <c r="AB36">
        <f>'Weather Data'!S216</f>
        <v>320.00000000000006</v>
      </c>
      <c r="AC36">
        <f>'Weather Data'!T216</f>
        <v>0</v>
      </c>
      <c r="AD36">
        <v>394.7</v>
      </c>
      <c r="AE36">
        <v>0</v>
      </c>
      <c r="AF36">
        <v>6669.4</v>
      </c>
      <c r="AG36">
        <v>78.7</v>
      </c>
      <c r="AH36">
        <v>198.2</v>
      </c>
      <c r="AI36">
        <f t="shared" si="8"/>
        <v>35</v>
      </c>
      <c r="AJ36">
        <f t="shared" si="11"/>
        <v>0</v>
      </c>
      <c r="AK36">
        <f t="shared" si="11"/>
        <v>1</v>
      </c>
      <c r="AL36">
        <f t="shared" si="11"/>
        <v>1</v>
      </c>
      <c r="AM36">
        <f t="shared" si="11"/>
        <v>0</v>
      </c>
      <c r="AN36">
        <f t="shared" si="11"/>
        <v>0</v>
      </c>
      <c r="AO36">
        <f t="shared" si="11"/>
        <v>0</v>
      </c>
      <c r="AP36">
        <f t="shared" si="11"/>
        <v>0</v>
      </c>
      <c r="AQ36">
        <f t="shared" si="11"/>
        <v>0</v>
      </c>
      <c r="AR36">
        <f t="shared" si="11"/>
        <v>0</v>
      </c>
      <c r="AS36">
        <f t="shared" si="11"/>
        <v>0</v>
      </c>
      <c r="AT36">
        <f t="shared" si="11"/>
        <v>0</v>
      </c>
      <c r="AU36">
        <f t="shared" si="11"/>
        <v>0</v>
      </c>
      <c r="AV36">
        <f t="shared" si="11"/>
        <v>0</v>
      </c>
      <c r="AW36">
        <f t="shared" si="11"/>
        <v>1</v>
      </c>
      <c r="AX36">
        <f t="shared" si="11"/>
        <v>0</v>
      </c>
      <c r="AY36">
        <v>22</v>
      </c>
      <c r="AZ36">
        <v>30</v>
      </c>
      <c r="BA36">
        <v>0</v>
      </c>
      <c r="BB36">
        <v>0</v>
      </c>
    </row>
    <row r="37" spans="1:54" x14ac:dyDescent="0.2">
      <c r="A37" s="3">
        <f>'Monthly Data-EOP'!A97</f>
        <v>40878</v>
      </c>
      <c r="B37" s="102">
        <f t="shared" si="7"/>
        <v>2011</v>
      </c>
      <c r="C37" s="8">
        <f>'Monthly Data-EOP'!B97+'Monthly Data-FE'!B97+'Monthly Data-PC'!B97</f>
        <v>45929710.689999998</v>
      </c>
      <c r="D37" s="8">
        <v>3585.8400847949142</v>
      </c>
      <c r="E37" s="8">
        <v>2241.7976160217772</v>
      </c>
      <c r="F37" s="8">
        <f t="shared" si="1"/>
        <v>12</v>
      </c>
      <c r="G37" s="8">
        <f t="shared" si="2"/>
        <v>485636.4750680576</v>
      </c>
      <c r="H37" s="8">
        <f t="shared" si="3"/>
        <v>46415347.165068053</v>
      </c>
      <c r="I37" s="8">
        <f>'Monthly Data-EOP'!C97+'Monthly Data-FE'!C97+'Monthly Data-PC'!C97</f>
        <v>17024073</v>
      </c>
      <c r="J37" s="8">
        <f>'Monthly Data-EOP'!D97+'Monthly Data-FE'!D97+'Monthly Data-PC'!D97</f>
        <v>25653</v>
      </c>
      <c r="K37" s="8">
        <f>'Monthly Data-EOP'!E97+'Monthly Data-FE'!E97+'Monthly Data-PC'!E97</f>
        <v>5991345.5999999978</v>
      </c>
      <c r="L37" s="8">
        <f>'Monthly Data-EOP'!F97+'Monthly Data-FE'!F97+'Monthly Data-PC'!F97</f>
        <v>2518</v>
      </c>
      <c r="M37" s="8">
        <f>'Monthly Data-EOP'!G97+'Monthly Data-FE'!G97+'Monthly Data-PC'!G97</f>
        <v>21068715.135811392</v>
      </c>
      <c r="N37" s="8">
        <v>450174.9</v>
      </c>
      <c r="O37" s="8">
        <f t="shared" si="4"/>
        <v>20618540.235811394</v>
      </c>
      <c r="P37" s="8">
        <f>'Monthly Data-EOP'!H97+'Monthly Data-FE'!H97+'Monthly Data-PC'!H97</f>
        <v>62472</v>
      </c>
      <c r="Q37" s="8">
        <v>1108.8</v>
      </c>
      <c r="R37" s="8">
        <f t="shared" si="5"/>
        <v>61363.199999999997</v>
      </c>
      <c r="S37" s="8">
        <f>'Monthly Data-EOP'!I97+'Monthly Data-FE'!I97+'Monthly Data-PC'!I97</f>
        <v>226</v>
      </c>
      <c r="T37" s="8">
        <f>'Monthly Data-EOP'!J97+'Monthly Data-FE'!J97+'Monthly Data-PC'!J97</f>
        <v>454918.36740230722</v>
      </c>
      <c r="U37" s="8">
        <f>'Monthly Data-EOP'!K97+'Monthly Data-FE'!K97+'Monthly Data-PC'!K97</f>
        <v>1138</v>
      </c>
      <c r="V37" s="8">
        <f>'Monthly Data-EOP'!L97+'Monthly Data-FE'!L97+'Monthly Data-PC'!L97</f>
        <v>5696</v>
      </c>
      <c r="W37" s="8">
        <f>'Monthly Data-EOP'!M97+'Monthly Data-FE'!M97+'Monthly Data-PC'!M97</f>
        <v>63776.926005675858</v>
      </c>
      <c r="X37" s="8">
        <f>'Monthly Data-EOP'!N97+'Monthly Data-FE'!N97+'Monthly Data-PC'!N97</f>
        <v>194</v>
      </c>
      <c r="Y37" s="8">
        <f>'Monthly Data-EOP'!O97+'Monthly Data-FE'!O97+'Monthly Data-PC'!O97</f>
        <v>961</v>
      </c>
      <c r="Z37" s="8">
        <f>'Monthly Data-EOP'!P97+'Monthly Data-FE'!P97+'Monthly Data-PC'!P97</f>
        <v>138837.55800000011</v>
      </c>
      <c r="AA37" s="8">
        <f>'Monthly Data-EOP'!Q97+'Monthly Data-FE'!Q97+'Monthly Data-PC'!Q97</f>
        <v>37</v>
      </c>
      <c r="AB37">
        <f>'Weather Data'!S217</f>
        <v>512</v>
      </c>
      <c r="AC37">
        <f>'Weather Data'!T217</f>
        <v>0</v>
      </c>
      <c r="AD37">
        <v>623.09999999999991</v>
      </c>
      <c r="AE37">
        <v>0</v>
      </c>
      <c r="AF37">
        <v>6668.3</v>
      </c>
      <c r="AG37">
        <v>79.599999999999994</v>
      </c>
      <c r="AH37">
        <v>195.7</v>
      </c>
      <c r="AI37">
        <f t="shared" si="8"/>
        <v>36</v>
      </c>
      <c r="AJ37">
        <f t="shared" si="11"/>
        <v>0</v>
      </c>
      <c r="AK37">
        <f t="shared" si="11"/>
        <v>0</v>
      </c>
      <c r="AL37">
        <f t="shared" si="11"/>
        <v>0</v>
      </c>
      <c r="AM37">
        <f t="shared" si="11"/>
        <v>0</v>
      </c>
      <c r="AN37">
        <f t="shared" si="11"/>
        <v>0</v>
      </c>
      <c r="AO37">
        <f t="shared" si="11"/>
        <v>0</v>
      </c>
      <c r="AP37">
        <f t="shared" si="11"/>
        <v>0</v>
      </c>
      <c r="AQ37">
        <f t="shared" si="11"/>
        <v>0</v>
      </c>
      <c r="AR37">
        <f t="shared" si="11"/>
        <v>0</v>
      </c>
      <c r="AS37">
        <f t="shared" si="11"/>
        <v>0</v>
      </c>
      <c r="AT37">
        <f t="shared" si="11"/>
        <v>0</v>
      </c>
      <c r="AU37">
        <f t="shared" si="11"/>
        <v>0</v>
      </c>
      <c r="AV37">
        <f t="shared" si="11"/>
        <v>0</v>
      </c>
      <c r="AW37">
        <f t="shared" si="11"/>
        <v>0</v>
      </c>
      <c r="AX37">
        <f t="shared" si="11"/>
        <v>1</v>
      </c>
      <c r="AY37">
        <v>20</v>
      </c>
      <c r="AZ37">
        <v>31</v>
      </c>
      <c r="BA37">
        <v>0</v>
      </c>
      <c r="BB37">
        <v>0</v>
      </c>
    </row>
    <row r="38" spans="1:54" x14ac:dyDescent="0.2">
      <c r="A38" s="3">
        <f>'Monthly Data-EOP'!A98</f>
        <v>40909</v>
      </c>
      <c r="B38" s="102">
        <f t="shared" si="7"/>
        <v>2012</v>
      </c>
      <c r="C38" s="8">
        <f>'Monthly Data-EOP'!B98+'Monthly Data-FE'!B98+'Monthly Data-PC'!B98</f>
        <v>49800957.219999999</v>
      </c>
      <c r="D38" s="8">
        <v>5491.5178935002941</v>
      </c>
      <c r="E38" s="8">
        <v>1981.5586994826185</v>
      </c>
      <c r="F38" s="8">
        <f t="shared" si="1"/>
        <v>1</v>
      </c>
      <c r="G38" s="8">
        <f t="shared" si="2"/>
        <v>471387.31542698713</v>
      </c>
      <c r="H38" s="8">
        <f t="shared" si="3"/>
        <v>50272344.535426989</v>
      </c>
      <c r="I38" s="8">
        <f>'Monthly Data-EOP'!C98+'Monthly Data-FE'!C98+'Monthly Data-PC'!C98</f>
        <v>22762410</v>
      </c>
      <c r="J38" s="8">
        <f>'Monthly Data-EOP'!D98+'Monthly Data-FE'!D98+'Monthly Data-PC'!D98</f>
        <v>25699</v>
      </c>
      <c r="K38" s="8">
        <f>'Monthly Data-EOP'!E98+'Monthly Data-FE'!E98+'Monthly Data-PC'!E98</f>
        <v>6883592.2000000002</v>
      </c>
      <c r="L38" s="8">
        <f>'Monthly Data-EOP'!F98+'Monthly Data-FE'!F98+'Monthly Data-PC'!F98</f>
        <v>2528</v>
      </c>
      <c r="M38" s="8">
        <f>'Monthly Data-EOP'!G98+'Monthly Data-FE'!G98+'Monthly Data-PC'!G98</f>
        <v>18017443.790945817</v>
      </c>
      <c r="N38" s="8">
        <v>431854.5</v>
      </c>
      <c r="O38" s="8">
        <f t="shared" si="4"/>
        <v>17585589.290945817</v>
      </c>
      <c r="P38" s="8">
        <f>'Monthly Data-EOP'!H98+'Monthly Data-FE'!H98+'Monthly Data-PC'!H98</f>
        <v>63570.974999999999</v>
      </c>
      <c r="Q38" s="8">
        <v>798</v>
      </c>
      <c r="R38" s="8">
        <f t="shared" si="5"/>
        <v>62772.974999999999</v>
      </c>
      <c r="S38" s="8">
        <f>'Monthly Data-EOP'!I98+'Monthly Data-FE'!I98+'Monthly Data-PC'!I98</f>
        <v>230</v>
      </c>
      <c r="T38" s="8">
        <f>'Monthly Data-EOP'!J98+'Monthly Data-FE'!J98+'Monthly Data-PC'!J98</f>
        <v>482427.35674484225</v>
      </c>
      <c r="U38" s="8">
        <f>'Monthly Data-EOP'!K98+'Monthly Data-FE'!K98+'Monthly Data-PC'!K98</f>
        <v>1132.856</v>
      </c>
      <c r="V38" s="8">
        <f>'Monthly Data-EOP'!L98+'Monthly Data-FE'!L98+'Monthly Data-PC'!L98</f>
        <v>5696</v>
      </c>
      <c r="W38" s="8">
        <f>'Monthly Data-EOP'!M98+'Monthly Data-FE'!M98+'Monthly Data-PC'!M98</f>
        <v>63097.338408912365</v>
      </c>
      <c r="X38" s="8">
        <f>'Monthly Data-EOP'!N98+'Monthly Data-FE'!N98+'Monthly Data-PC'!N98</f>
        <v>191</v>
      </c>
      <c r="Y38" s="8">
        <f>'Monthly Data-EOP'!O98+'Monthly Data-FE'!O98+'Monthly Data-PC'!O98</f>
        <v>961</v>
      </c>
      <c r="Z38" s="8">
        <f>'Monthly Data-EOP'!P98+'Monthly Data-FE'!P98+'Monthly Data-PC'!P98</f>
        <v>131593.984</v>
      </c>
      <c r="AA38" s="8">
        <f>'Monthly Data-EOP'!Q98+'Monthly Data-FE'!Q98+'Monthly Data-PC'!Q98</f>
        <v>37</v>
      </c>
      <c r="AB38">
        <f>'Weather Data'!S218</f>
        <v>600.80000000000007</v>
      </c>
      <c r="AC38">
        <f>'Weather Data'!T218</f>
        <v>0</v>
      </c>
      <c r="AD38">
        <v>712.69999999999993</v>
      </c>
      <c r="AE38">
        <v>0</v>
      </c>
      <c r="AF38">
        <v>6635.9</v>
      </c>
      <c r="AG38">
        <v>80.2</v>
      </c>
      <c r="AH38">
        <v>193.8</v>
      </c>
      <c r="AI38">
        <f t="shared" si="8"/>
        <v>37</v>
      </c>
      <c r="AJ38">
        <f t="shared" ref="AJ38:AX38" si="12">AJ26</f>
        <v>0</v>
      </c>
      <c r="AK38">
        <f t="shared" si="12"/>
        <v>0</v>
      </c>
      <c r="AL38">
        <f t="shared" si="12"/>
        <v>0</v>
      </c>
      <c r="AM38">
        <f t="shared" si="12"/>
        <v>1</v>
      </c>
      <c r="AN38">
        <f t="shared" si="12"/>
        <v>0</v>
      </c>
      <c r="AO38">
        <f t="shared" si="12"/>
        <v>0</v>
      </c>
      <c r="AP38">
        <f t="shared" si="12"/>
        <v>0</v>
      </c>
      <c r="AQ38">
        <f t="shared" si="12"/>
        <v>0</v>
      </c>
      <c r="AR38">
        <f t="shared" si="12"/>
        <v>0</v>
      </c>
      <c r="AS38">
        <f t="shared" si="12"/>
        <v>0</v>
      </c>
      <c r="AT38">
        <f t="shared" si="12"/>
        <v>0</v>
      </c>
      <c r="AU38">
        <f t="shared" si="12"/>
        <v>0</v>
      </c>
      <c r="AV38">
        <f t="shared" si="12"/>
        <v>0</v>
      </c>
      <c r="AW38">
        <f t="shared" si="12"/>
        <v>0</v>
      </c>
      <c r="AX38">
        <f t="shared" si="12"/>
        <v>0</v>
      </c>
      <c r="AY38" s="16">
        <v>21</v>
      </c>
      <c r="AZ38">
        <v>31</v>
      </c>
      <c r="BA38">
        <v>0</v>
      </c>
      <c r="BB38">
        <v>0</v>
      </c>
    </row>
    <row r="39" spans="1:54" x14ac:dyDescent="0.2">
      <c r="A39" s="3">
        <f>'Monthly Data-EOP'!A99</f>
        <v>40940</v>
      </c>
      <c r="B39" s="102">
        <f t="shared" si="7"/>
        <v>2012</v>
      </c>
      <c r="C39" s="8">
        <f>'Monthly Data-EOP'!B99+'Monthly Data-FE'!B99+'Monthly Data-PC'!B99</f>
        <v>46640086</v>
      </c>
      <c r="D39" s="8">
        <v>5491.5178935002941</v>
      </c>
      <c r="E39" s="8">
        <v>1981.5586994826185</v>
      </c>
      <c r="F39" s="8">
        <f t="shared" si="1"/>
        <v>2</v>
      </c>
      <c r="G39" s="8">
        <f t="shared" si="2"/>
        <v>485148.13972894981</v>
      </c>
      <c r="H39" s="8">
        <f t="shared" si="3"/>
        <v>47125234.139728948</v>
      </c>
      <c r="I39" s="8">
        <f>'Monthly Data-EOP'!C99+'Monthly Data-FE'!C99+'Monthly Data-PC'!C99</f>
        <v>17117448</v>
      </c>
      <c r="J39" s="8">
        <f>'Monthly Data-EOP'!D99+'Monthly Data-FE'!D99+'Monthly Data-PC'!D99</f>
        <v>25698</v>
      </c>
      <c r="K39" s="8">
        <f>'Monthly Data-EOP'!E99+'Monthly Data-FE'!E99+'Monthly Data-PC'!E99</f>
        <v>6173055.2000000002</v>
      </c>
      <c r="L39" s="8">
        <f>'Monthly Data-EOP'!F99+'Monthly Data-FE'!F99+'Monthly Data-PC'!F99</f>
        <v>2533</v>
      </c>
      <c r="M39" s="8">
        <f>'Monthly Data-EOP'!G99+'Monthly Data-FE'!G99+'Monthly Data-PC'!G99</f>
        <v>19310933.453226861</v>
      </c>
      <c r="N39" s="8">
        <v>389125.8</v>
      </c>
      <c r="O39" s="8">
        <f t="shared" si="4"/>
        <v>18921807.65322686</v>
      </c>
      <c r="P39" s="8">
        <f>'Monthly Data-EOP'!H99+'Monthly Data-FE'!H99+'Monthly Data-PC'!H99</f>
        <v>60971</v>
      </c>
      <c r="Q39" s="8">
        <v>781.2</v>
      </c>
      <c r="R39" s="8">
        <f t="shared" si="5"/>
        <v>60189.8</v>
      </c>
      <c r="S39" s="8">
        <f>'Monthly Data-EOP'!I99+'Monthly Data-FE'!I99+'Monthly Data-PC'!I99</f>
        <v>231</v>
      </c>
      <c r="T39" s="8">
        <f>'Monthly Data-EOP'!J99+'Monthly Data-FE'!J99+'Monthly Data-PC'!J99</f>
        <v>434594.35644990753</v>
      </c>
      <c r="U39" s="8">
        <f>'Monthly Data-EOP'!K99+'Monthly Data-FE'!K99+'Monthly Data-PC'!K99</f>
        <v>1133</v>
      </c>
      <c r="V39" s="8">
        <f>'Monthly Data-EOP'!L99+'Monthly Data-FE'!L99+'Monthly Data-PC'!L99</f>
        <v>5696</v>
      </c>
      <c r="W39" s="8">
        <f>'Monthly Data-EOP'!M99+'Monthly Data-FE'!M99+'Monthly Data-PC'!M99</f>
        <v>63584.732196247751</v>
      </c>
      <c r="X39" s="8">
        <f>'Monthly Data-EOP'!N99+'Monthly Data-FE'!N99+'Monthly Data-PC'!N99</f>
        <v>191</v>
      </c>
      <c r="Y39" s="8">
        <f>'Monthly Data-EOP'!O99+'Monthly Data-FE'!O99+'Monthly Data-PC'!O99</f>
        <v>961</v>
      </c>
      <c r="Z39" s="8">
        <f>'Monthly Data-EOP'!P99+'Monthly Data-FE'!P99+'Monthly Data-PC'!P99</f>
        <v>119982.17600000001</v>
      </c>
      <c r="AA39" s="8">
        <f>'Monthly Data-EOP'!Q99+'Monthly Data-FE'!Q99+'Monthly Data-PC'!Q99</f>
        <v>38</v>
      </c>
      <c r="AB39">
        <f>'Weather Data'!S219</f>
        <v>533.20000000000005</v>
      </c>
      <c r="AC39">
        <f>'Weather Data'!T219</f>
        <v>0</v>
      </c>
      <c r="AD39">
        <v>604.40000000000009</v>
      </c>
      <c r="AE39">
        <v>0</v>
      </c>
      <c r="AF39">
        <v>6598</v>
      </c>
      <c r="AG39">
        <v>81</v>
      </c>
      <c r="AH39">
        <v>193</v>
      </c>
      <c r="AI39">
        <f t="shared" si="8"/>
        <v>38</v>
      </c>
      <c r="AJ39">
        <f t="shared" ref="AJ39:AX39" si="13">AJ27</f>
        <v>0</v>
      </c>
      <c r="AK39">
        <f t="shared" si="13"/>
        <v>0</v>
      </c>
      <c r="AL39">
        <f t="shared" si="13"/>
        <v>0</v>
      </c>
      <c r="AM39">
        <f t="shared" si="13"/>
        <v>0</v>
      </c>
      <c r="AN39">
        <f t="shared" si="13"/>
        <v>1</v>
      </c>
      <c r="AO39">
        <f t="shared" si="13"/>
        <v>0</v>
      </c>
      <c r="AP39">
        <f t="shared" si="13"/>
        <v>0</v>
      </c>
      <c r="AQ39">
        <f t="shared" si="13"/>
        <v>0</v>
      </c>
      <c r="AR39">
        <f t="shared" si="13"/>
        <v>0</v>
      </c>
      <c r="AS39">
        <f t="shared" si="13"/>
        <v>0</v>
      </c>
      <c r="AT39">
        <f t="shared" si="13"/>
        <v>0</v>
      </c>
      <c r="AU39">
        <f t="shared" si="13"/>
        <v>0</v>
      </c>
      <c r="AV39">
        <f t="shared" si="13"/>
        <v>0</v>
      </c>
      <c r="AW39">
        <f t="shared" si="13"/>
        <v>0</v>
      </c>
      <c r="AX39">
        <f t="shared" si="13"/>
        <v>0</v>
      </c>
      <c r="AY39" s="16">
        <v>20</v>
      </c>
      <c r="AZ39">
        <v>29</v>
      </c>
      <c r="BA39">
        <v>0</v>
      </c>
      <c r="BB39">
        <v>0</v>
      </c>
    </row>
    <row r="40" spans="1:54" x14ac:dyDescent="0.2">
      <c r="A40" s="3">
        <f>'Monthly Data-EOP'!A100</f>
        <v>40969</v>
      </c>
      <c r="B40" s="102">
        <f t="shared" si="7"/>
        <v>2012</v>
      </c>
      <c r="C40" s="8">
        <f>'Monthly Data-EOP'!B100+'Monthly Data-FE'!B100+'Monthly Data-PC'!B100</f>
        <v>45723583</v>
      </c>
      <c r="D40" s="8">
        <v>5491.5178935002941</v>
      </c>
      <c r="E40" s="8">
        <v>1981.5586994826185</v>
      </c>
      <c r="F40" s="8">
        <f t="shared" si="1"/>
        <v>3</v>
      </c>
      <c r="G40" s="8">
        <f t="shared" si="2"/>
        <v>498908.96403091244</v>
      </c>
      <c r="H40" s="8">
        <f t="shared" si="3"/>
        <v>46222491.964030914</v>
      </c>
      <c r="I40" s="8">
        <f>'Monthly Data-EOP'!C100+'Monthly Data-FE'!C100+'Monthly Data-PC'!C100</f>
        <v>15889462</v>
      </c>
      <c r="J40" s="8">
        <f>'Monthly Data-EOP'!D100+'Monthly Data-FE'!D100+'Monthly Data-PC'!D100</f>
        <v>25670</v>
      </c>
      <c r="K40" s="8">
        <f>'Monthly Data-EOP'!E100+'Monthly Data-FE'!E100+'Monthly Data-PC'!E100</f>
        <v>5507407.1999999993</v>
      </c>
      <c r="L40" s="8">
        <f>'Monthly Data-EOP'!F100+'Monthly Data-FE'!F100+'Monthly Data-PC'!F100</f>
        <v>2525</v>
      </c>
      <c r="M40" s="8">
        <f>'Monthly Data-EOP'!G100+'Monthly Data-FE'!G100+'Monthly Data-PC'!G100</f>
        <v>19279550.008863613</v>
      </c>
      <c r="N40" s="8">
        <v>333900</v>
      </c>
      <c r="O40" s="8">
        <f t="shared" si="4"/>
        <v>18945650.008863613</v>
      </c>
      <c r="P40" s="8">
        <f>'Monthly Data-EOP'!H100+'Monthly Data-FE'!H100+'Monthly Data-PC'!H100</f>
        <v>60582</v>
      </c>
      <c r="Q40" s="8">
        <v>714</v>
      </c>
      <c r="R40" s="8">
        <f t="shared" si="5"/>
        <v>59868</v>
      </c>
      <c r="S40" s="8">
        <f>'Monthly Data-EOP'!I100+'Monthly Data-FE'!I100+'Monthly Data-PC'!I100</f>
        <v>223</v>
      </c>
      <c r="T40" s="8">
        <f>'Monthly Data-EOP'!J100+'Monthly Data-FE'!J100+'Monthly Data-PC'!J100</f>
        <v>409996.3197967934</v>
      </c>
      <c r="U40" s="8">
        <f>'Monthly Data-EOP'!K100+'Monthly Data-FE'!K100+'Monthly Data-PC'!K100</f>
        <v>1091</v>
      </c>
      <c r="V40" s="8">
        <f>'Monthly Data-EOP'!L100+'Monthly Data-FE'!L100+'Monthly Data-PC'!L100</f>
        <v>5696</v>
      </c>
      <c r="W40" s="8">
        <f>'Monthly Data-EOP'!M100+'Monthly Data-FE'!M100+'Monthly Data-PC'!M100</f>
        <v>58540.676327700239</v>
      </c>
      <c r="X40" s="8">
        <f>'Monthly Data-EOP'!N100+'Monthly Data-FE'!N100+'Monthly Data-PC'!N100</f>
        <v>187</v>
      </c>
      <c r="Y40" s="8">
        <f>'Monthly Data-EOP'!O100+'Monthly Data-FE'!O100+'Monthly Data-PC'!O100</f>
        <v>961</v>
      </c>
      <c r="Z40" s="8">
        <f>'Monthly Data-EOP'!P100+'Monthly Data-FE'!P100+'Monthly Data-PC'!P100</f>
        <v>119480.10400000001</v>
      </c>
      <c r="AA40" s="8">
        <f>'Monthly Data-EOP'!Q100+'Monthly Data-FE'!Q100+'Monthly Data-PC'!Q100</f>
        <v>38</v>
      </c>
      <c r="AB40">
        <f>'Weather Data'!S220</f>
        <v>333.80000000000007</v>
      </c>
      <c r="AC40">
        <f>'Weather Data'!T220</f>
        <v>0</v>
      </c>
      <c r="AD40">
        <v>412.19999999999993</v>
      </c>
      <c r="AE40">
        <v>0</v>
      </c>
      <c r="AF40">
        <v>6569.8</v>
      </c>
      <c r="AG40">
        <v>80.7</v>
      </c>
      <c r="AH40">
        <v>192.5</v>
      </c>
      <c r="AI40">
        <f t="shared" si="8"/>
        <v>39</v>
      </c>
      <c r="AJ40">
        <f t="shared" ref="AJ40:AX40" si="14">AJ28</f>
        <v>1</v>
      </c>
      <c r="AK40">
        <f t="shared" si="14"/>
        <v>0</v>
      </c>
      <c r="AL40">
        <f t="shared" si="14"/>
        <v>1</v>
      </c>
      <c r="AM40">
        <f t="shared" si="14"/>
        <v>0</v>
      </c>
      <c r="AN40">
        <f t="shared" si="14"/>
        <v>0</v>
      </c>
      <c r="AO40">
        <f t="shared" si="14"/>
        <v>1</v>
      </c>
      <c r="AP40">
        <f t="shared" si="14"/>
        <v>0</v>
      </c>
      <c r="AQ40">
        <f t="shared" si="14"/>
        <v>0</v>
      </c>
      <c r="AR40">
        <f t="shared" si="14"/>
        <v>0</v>
      </c>
      <c r="AS40">
        <f t="shared" si="14"/>
        <v>0</v>
      </c>
      <c r="AT40">
        <f t="shared" si="14"/>
        <v>0</v>
      </c>
      <c r="AU40">
        <f t="shared" si="14"/>
        <v>0</v>
      </c>
      <c r="AV40">
        <f t="shared" si="14"/>
        <v>0</v>
      </c>
      <c r="AW40">
        <f t="shared" si="14"/>
        <v>0</v>
      </c>
      <c r="AX40">
        <f t="shared" si="14"/>
        <v>0</v>
      </c>
      <c r="AY40" s="16">
        <v>22</v>
      </c>
      <c r="AZ40">
        <v>31</v>
      </c>
      <c r="BA40">
        <v>0</v>
      </c>
      <c r="BB40">
        <v>0</v>
      </c>
    </row>
    <row r="41" spans="1:54" x14ac:dyDescent="0.2">
      <c r="A41" s="3">
        <f>'Monthly Data-EOP'!A101</f>
        <v>41000</v>
      </c>
      <c r="B41" s="102">
        <f t="shared" si="7"/>
        <v>2012</v>
      </c>
      <c r="C41" s="8">
        <f>'Monthly Data-EOP'!B101+'Monthly Data-FE'!B101+'Monthly Data-PC'!B101</f>
        <v>42394150</v>
      </c>
      <c r="D41" s="8">
        <v>5491.5178935002941</v>
      </c>
      <c r="E41" s="8">
        <v>1981.5586994826185</v>
      </c>
      <c r="F41" s="8">
        <f t="shared" si="1"/>
        <v>4</v>
      </c>
      <c r="G41" s="8">
        <f t="shared" si="2"/>
        <v>512669.788332875</v>
      </c>
      <c r="H41" s="8">
        <f t="shared" si="3"/>
        <v>42906819.788332872</v>
      </c>
      <c r="I41" s="8">
        <f>'Monthly Data-EOP'!C101+'Monthly Data-FE'!C101+'Monthly Data-PC'!C101</f>
        <v>12500054</v>
      </c>
      <c r="J41" s="8">
        <f>'Monthly Data-EOP'!D101+'Monthly Data-FE'!D101+'Monthly Data-PC'!D101</f>
        <v>25692</v>
      </c>
      <c r="K41" s="8">
        <f>'Monthly Data-EOP'!E101+'Monthly Data-FE'!E101+'Monthly Data-PC'!E101</f>
        <v>5249947.4000000004</v>
      </c>
      <c r="L41" s="8">
        <f>'Monthly Data-EOP'!F101+'Monthly Data-FE'!F101+'Monthly Data-PC'!F101</f>
        <v>2526</v>
      </c>
      <c r="M41" s="8">
        <f>'Monthly Data-EOP'!G101+'Monthly Data-FE'!G101+'Monthly Data-PC'!G101</f>
        <v>22378249.592525594</v>
      </c>
      <c r="N41" s="8">
        <v>324481.5</v>
      </c>
      <c r="O41" s="8">
        <f t="shared" si="4"/>
        <v>22053768.092525594</v>
      </c>
      <c r="P41" s="8">
        <f>'Monthly Data-EOP'!H101+'Monthly Data-FE'!H101+'Monthly Data-PC'!H101</f>
        <v>66521</v>
      </c>
      <c r="Q41" s="8">
        <v>932.4</v>
      </c>
      <c r="R41" s="8">
        <f t="shared" si="5"/>
        <v>65588.600000000006</v>
      </c>
      <c r="S41" s="8">
        <f>'Monthly Data-EOP'!I101+'Monthly Data-FE'!I101+'Monthly Data-PC'!I101</f>
        <v>222</v>
      </c>
      <c r="T41" s="8">
        <f>'Monthly Data-EOP'!J101+'Monthly Data-FE'!J101+'Monthly Data-PC'!J101</f>
        <v>392073.88553044019</v>
      </c>
      <c r="U41" s="8">
        <f>'Monthly Data-EOP'!K101+'Monthly Data-FE'!K101+'Monthly Data-PC'!K101</f>
        <v>1099</v>
      </c>
      <c r="V41" s="8">
        <f>'Monthly Data-EOP'!L101+'Monthly Data-FE'!L101+'Monthly Data-PC'!L101</f>
        <v>5710</v>
      </c>
      <c r="W41" s="8">
        <f>'Monthly Data-EOP'!M101+'Monthly Data-FE'!M101+'Monthly Data-PC'!M101</f>
        <v>63545.289919948169</v>
      </c>
      <c r="X41" s="8">
        <f>'Monthly Data-EOP'!N101+'Monthly Data-FE'!N101+'Monthly Data-PC'!N101</f>
        <v>194</v>
      </c>
      <c r="Y41" s="8">
        <f>'Monthly Data-EOP'!O101+'Monthly Data-FE'!O101+'Monthly Data-PC'!O101</f>
        <v>961</v>
      </c>
      <c r="Z41" s="8">
        <f>'Monthly Data-EOP'!P101+'Monthly Data-FE'!P101+'Monthly Data-PC'!P101</f>
        <v>129568.57099999997</v>
      </c>
      <c r="AA41" s="8">
        <f>'Monthly Data-EOP'!Q101+'Monthly Data-FE'!Q101+'Monthly Data-PC'!Q101</f>
        <v>38</v>
      </c>
      <c r="AB41">
        <f>'Weather Data'!S221</f>
        <v>341.4</v>
      </c>
      <c r="AC41">
        <f>'Weather Data'!T221</f>
        <v>0</v>
      </c>
      <c r="AD41">
        <v>358.9</v>
      </c>
      <c r="AE41">
        <v>0.8</v>
      </c>
      <c r="AF41">
        <v>6603.3</v>
      </c>
      <c r="AG41">
        <v>81</v>
      </c>
      <c r="AH41">
        <v>193.4</v>
      </c>
      <c r="AI41">
        <f t="shared" si="8"/>
        <v>40</v>
      </c>
      <c r="AJ41">
        <f t="shared" ref="AJ41:AX41" si="15">AJ29</f>
        <v>1</v>
      </c>
      <c r="AK41">
        <f t="shared" si="15"/>
        <v>0</v>
      </c>
      <c r="AL41">
        <f t="shared" si="15"/>
        <v>1</v>
      </c>
      <c r="AM41">
        <f t="shared" si="15"/>
        <v>0</v>
      </c>
      <c r="AN41">
        <f t="shared" si="15"/>
        <v>0</v>
      </c>
      <c r="AO41">
        <f t="shared" si="15"/>
        <v>0</v>
      </c>
      <c r="AP41">
        <f t="shared" si="15"/>
        <v>1</v>
      </c>
      <c r="AQ41">
        <f t="shared" si="15"/>
        <v>0</v>
      </c>
      <c r="AR41">
        <f t="shared" si="15"/>
        <v>0</v>
      </c>
      <c r="AS41">
        <f t="shared" si="15"/>
        <v>0</v>
      </c>
      <c r="AT41">
        <f t="shared" si="15"/>
        <v>0</v>
      </c>
      <c r="AU41">
        <f t="shared" si="15"/>
        <v>0</v>
      </c>
      <c r="AV41">
        <f t="shared" si="15"/>
        <v>0</v>
      </c>
      <c r="AW41">
        <f t="shared" si="15"/>
        <v>0</v>
      </c>
      <c r="AX41">
        <f t="shared" si="15"/>
        <v>0</v>
      </c>
      <c r="AY41" s="16">
        <v>19</v>
      </c>
      <c r="AZ41">
        <v>30</v>
      </c>
      <c r="BA41">
        <v>0</v>
      </c>
      <c r="BB41">
        <v>0</v>
      </c>
    </row>
    <row r="42" spans="1:54" x14ac:dyDescent="0.2">
      <c r="A42" s="3">
        <f>'Monthly Data-EOP'!A102</f>
        <v>41030</v>
      </c>
      <c r="B42" s="102">
        <f t="shared" si="7"/>
        <v>2012</v>
      </c>
      <c r="C42" s="8">
        <f>'Monthly Data-EOP'!B102+'Monthly Data-FE'!B102+'Monthly Data-PC'!B102</f>
        <v>44171430</v>
      </c>
      <c r="D42" s="8">
        <v>5491.5178935002941</v>
      </c>
      <c r="E42" s="8">
        <v>1981.5586994826185</v>
      </c>
      <c r="F42" s="8">
        <f t="shared" si="1"/>
        <v>5</v>
      </c>
      <c r="G42" s="8">
        <f t="shared" si="2"/>
        <v>526430.61263483763</v>
      </c>
      <c r="H42" s="8">
        <f t="shared" si="3"/>
        <v>44697860.612634838</v>
      </c>
      <c r="I42" s="8">
        <f>'Monthly Data-EOP'!C102+'Monthly Data-FE'!C102+'Monthly Data-PC'!C102</f>
        <v>15464470</v>
      </c>
      <c r="J42" s="8">
        <f>'Monthly Data-EOP'!D102+'Monthly Data-FE'!D102+'Monthly Data-PC'!D102</f>
        <v>25675</v>
      </c>
      <c r="K42" s="8">
        <f>'Monthly Data-EOP'!E102+'Monthly Data-FE'!E102+'Monthly Data-PC'!E102</f>
        <v>5413152.1999999993</v>
      </c>
      <c r="L42" s="8">
        <f>'Monthly Data-EOP'!F102+'Monthly Data-FE'!F102+'Monthly Data-PC'!F102</f>
        <v>2532</v>
      </c>
      <c r="M42" s="8">
        <f>'Monthly Data-EOP'!G102+'Monthly Data-FE'!G102+'Monthly Data-PC'!G102</f>
        <v>21074433.353310689</v>
      </c>
      <c r="N42" s="8">
        <v>340861.5</v>
      </c>
      <c r="O42" s="8">
        <f t="shared" si="4"/>
        <v>20733571.853310689</v>
      </c>
      <c r="P42" s="8">
        <f>'Monthly Data-EOP'!H102+'Monthly Data-FE'!H102+'Monthly Data-PC'!H102</f>
        <v>63599</v>
      </c>
      <c r="Q42" s="8">
        <v>890.4</v>
      </c>
      <c r="R42" s="8">
        <f t="shared" si="5"/>
        <v>62708.6</v>
      </c>
      <c r="S42" s="8">
        <f>'Monthly Data-EOP'!I102+'Monthly Data-FE'!I102+'Monthly Data-PC'!I102</f>
        <v>224</v>
      </c>
      <c r="T42" s="8">
        <f>'Monthly Data-EOP'!J102+'Monthly Data-FE'!J102+'Monthly Data-PC'!J102</f>
        <v>314557.54201533564</v>
      </c>
      <c r="U42" s="8">
        <f>'Monthly Data-EOP'!K102+'Monthly Data-FE'!K102+'Monthly Data-PC'!K102</f>
        <v>1091</v>
      </c>
      <c r="V42" s="8">
        <f>'Monthly Data-EOP'!L102+'Monthly Data-FE'!L102+'Monthly Data-PC'!L102</f>
        <v>5710</v>
      </c>
      <c r="W42" s="8">
        <f>'Monthly Data-EOP'!M102+'Monthly Data-FE'!M102+'Monthly Data-PC'!M102</f>
        <v>62978.230863380319</v>
      </c>
      <c r="X42" s="8">
        <f>'Monthly Data-EOP'!N102+'Monthly Data-FE'!N102+'Monthly Data-PC'!N102</f>
        <v>189</v>
      </c>
      <c r="Y42" s="8">
        <f>'Monthly Data-EOP'!O102+'Monthly Data-FE'!O102+'Monthly Data-PC'!O102</f>
        <v>947</v>
      </c>
      <c r="Z42" s="8">
        <f>'Monthly Data-EOP'!P102+'Monthly Data-FE'!P102+'Monthly Data-PC'!P102</f>
        <v>139624.193</v>
      </c>
      <c r="AA42" s="8">
        <f>'Monthly Data-EOP'!Q102+'Monthly Data-FE'!Q102+'Monthly Data-PC'!Q102</f>
        <v>38</v>
      </c>
      <c r="AB42">
        <f>'Weather Data'!S222</f>
        <v>82.300000000000011</v>
      </c>
      <c r="AC42">
        <f>'Weather Data'!T222</f>
        <v>28.9</v>
      </c>
      <c r="AD42">
        <v>94.000000000000014</v>
      </c>
      <c r="AE42">
        <v>20.100000000000001</v>
      </c>
      <c r="AF42">
        <v>6658.1</v>
      </c>
      <c r="AG42">
        <v>81.900000000000006</v>
      </c>
      <c r="AH42">
        <v>199</v>
      </c>
      <c r="AI42">
        <f t="shared" si="8"/>
        <v>41</v>
      </c>
      <c r="AJ42">
        <f t="shared" ref="AJ42:AX42" si="16">AJ30</f>
        <v>1</v>
      </c>
      <c r="AK42">
        <f t="shared" si="16"/>
        <v>0</v>
      </c>
      <c r="AL42">
        <f t="shared" si="16"/>
        <v>1</v>
      </c>
      <c r="AM42">
        <f t="shared" si="16"/>
        <v>0</v>
      </c>
      <c r="AN42">
        <f t="shared" si="16"/>
        <v>0</v>
      </c>
      <c r="AO42">
        <f t="shared" si="16"/>
        <v>0</v>
      </c>
      <c r="AP42">
        <f t="shared" si="16"/>
        <v>0</v>
      </c>
      <c r="AQ42">
        <f t="shared" si="16"/>
        <v>1</v>
      </c>
      <c r="AR42">
        <f t="shared" si="16"/>
        <v>0</v>
      </c>
      <c r="AS42">
        <f t="shared" si="16"/>
        <v>0</v>
      </c>
      <c r="AT42">
        <f t="shared" si="16"/>
        <v>0</v>
      </c>
      <c r="AU42">
        <f t="shared" si="16"/>
        <v>0</v>
      </c>
      <c r="AV42">
        <f t="shared" si="16"/>
        <v>0</v>
      </c>
      <c r="AW42">
        <f t="shared" si="16"/>
        <v>0</v>
      </c>
      <c r="AX42">
        <f t="shared" si="16"/>
        <v>0</v>
      </c>
      <c r="AY42" s="16">
        <v>22</v>
      </c>
      <c r="AZ42">
        <v>31</v>
      </c>
      <c r="BA42">
        <v>0</v>
      </c>
      <c r="BB42">
        <v>0</v>
      </c>
    </row>
    <row r="43" spans="1:54" x14ac:dyDescent="0.2">
      <c r="A43" s="3">
        <f>'Monthly Data-EOP'!A103</f>
        <v>41061</v>
      </c>
      <c r="B43" s="102">
        <f t="shared" si="7"/>
        <v>2012</v>
      </c>
      <c r="C43" s="8">
        <f>'Monthly Data-EOP'!B103+'Monthly Data-FE'!B103+'Monthly Data-PC'!B103</f>
        <v>47092604</v>
      </c>
      <c r="D43" s="8">
        <v>5491.5178935002941</v>
      </c>
      <c r="E43" s="8">
        <v>1981.5586994826185</v>
      </c>
      <c r="F43" s="8">
        <f t="shared" si="1"/>
        <v>6</v>
      </c>
      <c r="G43" s="8">
        <f t="shared" si="2"/>
        <v>540191.43693680025</v>
      </c>
      <c r="H43" s="8">
        <f t="shared" si="3"/>
        <v>47632795.436936803</v>
      </c>
      <c r="I43" s="8">
        <f>'Monthly Data-EOP'!C103+'Monthly Data-FE'!C103+'Monthly Data-PC'!C103</f>
        <v>16097428</v>
      </c>
      <c r="J43" s="8">
        <f>'Monthly Data-EOP'!D103+'Monthly Data-FE'!D103+'Monthly Data-PC'!D103</f>
        <v>25715</v>
      </c>
      <c r="K43" s="8">
        <f>'Monthly Data-EOP'!E103+'Monthly Data-FE'!E103+'Monthly Data-PC'!E103</f>
        <v>6271818</v>
      </c>
      <c r="L43" s="8">
        <f>'Monthly Data-EOP'!F103+'Monthly Data-FE'!F103+'Monthly Data-PC'!F103</f>
        <v>2531</v>
      </c>
      <c r="M43" s="8">
        <f>'Monthly Data-EOP'!G103+'Monthly Data-FE'!G103+'Monthly Data-PC'!G103</f>
        <v>23641179</v>
      </c>
      <c r="N43" s="8">
        <v>392651.7</v>
      </c>
      <c r="O43" s="8">
        <f t="shared" si="4"/>
        <v>23248527.300000001</v>
      </c>
      <c r="P43" s="8">
        <f>'Monthly Data-EOP'!H103+'Monthly Data-FE'!H103+'Monthly Data-PC'!H103</f>
        <v>67887</v>
      </c>
      <c r="Q43" s="8">
        <v>1117.2</v>
      </c>
      <c r="R43" s="8">
        <f t="shared" si="5"/>
        <v>66769.8</v>
      </c>
      <c r="S43" s="8">
        <f>'Monthly Data-EOP'!I103+'Monthly Data-FE'!I103+'Monthly Data-PC'!I103</f>
        <v>225</v>
      </c>
      <c r="T43" s="8">
        <f>'Monthly Data-EOP'!J103+'Monthly Data-FE'!J103+'Monthly Data-PC'!J103</f>
        <v>499020</v>
      </c>
      <c r="U43" s="8">
        <f>'Monthly Data-EOP'!K103+'Monthly Data-FE'!K103+'Monthly Data-PC'!K103</f>
        <v>1106</v>
      </c>
      <c r="V43" s="8">
        <f>'Monthly Data-EOP'!L103+'Monthly Data-FE'!L103+'Monthly Data-PC'!L103</f>
        <v>5708</v>
      </c>
      <c r="W43" s="8">
        <f>'Monthly Data-EOP'!M103+'Monthly Data-FE'!M103+'Monthly Data-PC'!M103</f>
        <v>64072</v>
      </c>
      <c r="X43" s="8">
        <f>'Monthly Data-EOP'!N103+'Monthly Data-FE'!N103+'Monthly Data-PC'!N103</f>
        <v>190</v>
      </c>
      <c r="Y43" s="8">
        <f>'Monthly Data-EOP'!O103+'Monthly Data-FE'!O103+'Monthly Data-PC'!O103</f>
        <v>904</v>
      </c>
      <c r="Z43" s="8">
        <f>'Monthly Data-EOP'!P103+'Monthly Data-FE'!P103+'Monthly Data-PC'!P103</f>
        <v>130530</v>
      </c>
      <c r="AA43" s="8">
        <f>'Monthly Data-EOP'!Q103+'Monthly Data-FE'!Q103+'Monthly Data-PC'!Q103</f>
        <v>40</v>
      </c>
      <c r="AB43">
        <f>'Weather Data'!S223</f>
        <v>31.599999999999998</v>
      </c>
      <c r="AC43">
        <f>'Weather Data'!T223</f>
        <v>64.099999999999994</v>
      </c>
      <c r="AD43">
        <v>41.300000000000004</v>
      </c>
      <c r="AE43">
        <v>51.8</v>
      </c>
      <c r="AF43">
        <v>6737.2</v>
      </c>
      <c r="AG43">
        <v>83.1</v>
      </c>
      <c r="AH43">
        <v>205.3</v>
      </c>
      <c r="AI43">
        <f t="shared" si="8"/>
        <v>42</v>
      </c>
      <c r="AJ43">
        <f t="shared" ref="AJ43:AX43" si="17">AJ31</f>
        <v>0</v>
      </c>
      <c r="AK43">
        <f t="shared" si="17"/>
        <v>0</v>
      </c>
      <c r="AL43">
        <f t="shared" si="17"/>
        <v>0</v>
      </c>
      <c r="AM43">
        <f t="shared" si="17"/>
        <v>0</v>
      </c>
      <c r="AN43">
        <f t="shared" si="17"/>
        <v>0</v>
      </c>
      <c r="AO43">
        <f t="shared" si="17"/>
        <v>0</v>
      </c>
      <c r="AP43">
        <f t="shared" si="17"/>
        <v>0</v>
      </c>
      <c r="AQ43">
        <f t="shared" si="17"/>
        <v>0</v>
      </c>
      <c r="AR43">
        <f t="shared" si="17"/>
        <v>1</v>
      </c>
      <c r="AS43">
        <f t="shared" si="17"/>
        <v>0</v>
      </c>
      <c r="AT43">
        <f t="shared" si="17"/>
        <v>0</v>
      </c>
      <c r="AU43">
        <f t="shared" si="17"/>
        <v>0</v>
      </c>
      <c r="AV43">
        <f t="shared" si="17"/>
        <v>0</v>
      </c>
      <c r="AW43">
        <f t="shared" si="17"/>
        <v>0</v>
      </c>
      <c r="AX43">
        <f t="shared" si="17"/>
        <v>0</v>
      </c>
      <c r="AY43" s="16">
        <v>21</v>
      </c>
      <c r="AZ43">
        <v>30</v>
      </c>
      <c r="BA43">
        <v>0</v>
      </c>
      <c r="BB43">
        <v>0</v>
      </c>
    </row>
    <row r="44" spans="1:54" x14ac:dyDescent="0.2">
      <c r="A44" s="3">
        <f>'Monthly Data-EOP'!A104</f>
        <v>41091</v>
      </c>
      <c r="B44" s="102">
        <f t="shared" si="7"/>
        <v>2012</v>
      </c>
      <c r="C44" s="8">
        <f>'Monthly Data-EOP'!B104+'Monthly Data-FE'!B104+'Monthly Data-PC'!B104</f>
        <v>56616415</v>
      </c>
      <c r="D44" s="8">
        <v>5491.5178935002941</v>
      </c>
      <c r="E44" s="8">
        <v>1981.5586994826185</v>
      </c>
      <c r="F44" s="8">
        <f t="shared" si="1"/>
        <v>7</v>
      </c>
      <c r="G44" s="8">
        <f t="shared" si="2"/>
        <v>553952.26123876299</v>
      </c>
      <c r="H44" s="8">
        <f t="shared" si="3"/>
        <v>57170367.261238761</v>
      </c>
      <c r="I44" s="8">
        <f>'Monthly Data-EOP'!C104+'Monthly Data-FE'!C104+'Monthly Data-PC'!C104</f>
        <v>17709749</v>
      </c>
      <c r="J44" s="8">
        <f>'Monthly Data-EOP'!D104+'Monthly Data-FE'!D104+'Monthly Data-PC'!D104</f>
        <v>25715</v>
      </c>
      <c r="K44" s="8">
        <f>'Monthly Data-EOP'!E104+'Monthly Data-FE'!E104+'Monthly Data-PC'!E104</f>
        <v>6185533</v>
      </c>
      <c r="L44" s="8">
        <f>'Monthly Data-EOP'!F104+'Monthly Data-FE'!F104+'Monthly Data-PC'!F104</f>
        <v>2536</v>
      </c>
      <c r="M44" s="8">
        <f>'Monthly Data-EOP'!G104+'Monthly Data-FE'!G104+'Monthly Data-PC'!G104</f>
        <v>25756013</v>
      </c>
      <c r="N44" s="8">
        <v>499260.3</v>
      </c>
      <c r="O44" s="8">
        <f t="shared" si="4"/>
        <v>25256752.699999999</v>
      </c>
      <c r="P44" s="8">
        <f>'Monthly Data-EOP'!H104+'Monthly Data-FE'!H104+'Monthly Data-PC'!H104</f>
        <v>64903</v>
      </c>
      <c r="Q44" s="8">
        <v>1209.5999999999999</v>
      </c>
      <c r="R44" s="8">
        <f t="shared" si="5"/>
        <v>63693.4</v>
      </c>
      <c r="S44" s="8">
        <f>'Monthly Data-EOP'!I104+'Monthly Data-FE'!I104+'Monthly Data-PC'!I104</f>
        <v>225</v>
      </c>
      <c r="T44" s="8">
        <f>'Monthly Data-EOP'!J104+'Monthly Data-FE'!J104+'Monthly Data-PC'!J104</f>
        <v>288880</v>
      </c>
      <c r="U44" s="8">
        <f>'Monthly Data-EOP'!K104+'Monthly Data-FE'!K104+'Monthly Data-PC'!K104</f>
        <v>1106</v>
      </c>
      <c r="V44" s="8">
        <f>'Monthly Data-EOP'!L104+'Monthly Data-FE'!L104+'Monthly Data-PC'!L104</f>
        <v>5716</v>
      </c>
      <c r="W44" s="8">
        <f>'Monthly Data-EOP'!M104+'Monthly Data-FE'!M104+'Monthly Data-PC'!M104</f>
        <v>59995</v>
      </c>
      <c r="X44" s="8">
        <f>'Monthly Data-EOP'!N104+'Monthly Data-FE'!N104+'Monthly Data-PC'!N104</f>
        <v>187</v>
      </c>
      <c r="Y44" s="8">
        <f>'Monthly Data-EOP'!O104+'Monthly Data-FE'!O104+'Monthly Data-PC'!O104</f>
        <v>867</v>
      </c>
      <c r="Z44" s="8">
        <f>'Monthly Data-EOP'!P104+'Monthly Data-FE'!P104+'Monthly Data-PC'!P104</f>
        <v>135483</v>
      </c>
      <c r="AA44" s="8">
        <f>'Monthly Data-EOP'!Q104+'Monthly Data-FE'!Q104+'Monthly Data-PC'!Q104</f>
        <v>38</v>
      </c>
      <c r="AB44">
        <f>'Weather Data'!S224</f>
        <v>0</v>
      </c>
      <c r="AC44">
        <f>'Weather Data'!T224</f>
        <v>152.5</v>
      </c>
      <c r="AD44">
        <v>0.2</v>
      </c>
      <c r="AE44">
        <v>120.69999999999996</v>
      </c>
      <c r="AF44">
        <v>6778.6</v>
      </c>
      <c r="AG44">
        <v>82.6</v>
      </c>
      <c r="AH44">
        <v>209.1</v>
      </c>
      <c r="AI44">
        <f t="shared" si="8"/>
        <v>43</v>
      </c>
      <c r="AJ44">
        <f t="shared" ref="AJ44:AX44" si="18">AJ32</f>
        <v>0</v>
      </c>
      <c r="AK44">
        <f t="shared" si="18"/>
        <v>0</v>
      </c>
      <c r="AL44">
        <f t="shared" si="18"/>
        <v>0</v>
      </c>
      <c r="AM44">
        <f t="shared" si="18"/>
        <v>0</v>
      </c>
      <c r="AN44">
        <f t="shared" si="18"/>
        <v>0</v>
      </c>
      <c r="AO44">
        <f t="shared" si="18"/>
        <v>0</v>
      </c>
      <c r="AP44">
        <f t="shared" si="18"/>
        <v>0</v>
      </c>
      <c r="AQ44">
        <f t="shared" si="18"/>
        <v>0</v>
      </c>
      <c r="AR44">
        <f t="shared" si="18"/>
        <v>0</v>
      </c>
      <c r="AS44">
        <f t="shared" si="18"/>
        <v>1</v>
      </c>
      <c r="AT44">
        <f t="shared" si="18"/>
        <v>0</v>
      </c>
      <c r="AU44">
        <f t="shared" si="18"/>
        <v>0</v>
      </c>
      <c r="AV44">
        <f t="shared" si="18"/>
        <v>0</v>
      </c>
      <c r="AW44">
        <f t="shared" si="18"/>
        <v>0</v>
      </c>
      <c r="AX44">
        <f t="shared" si="18"/>
        <v>0</v>
      </c>
      <c r="AY44" s="16">
        <v>21</v>
      </c>
      <c r="AZ44">
        <v>31</v>
      </c>
      <c r="BA44">
        <v>0</v>
      </c>
      <c r="BB44">
        <v>0</v>
      </c>
    </row>
    <row r="45" spans="1:54" x14ac:dyDescent="0.2">
      <c r="A45" s="3">
        <f>'Monthly Data-EOP'!A105</f>
        <v>41122</v>
      </c>
      <c r="B45" s="102">
        <f t="shared" si="7"/>
        <v>2012</v>
      </c>
      <c r="C45" s="8">
        <f>'Monthly Data-EOP'!B105+'Monthly Data-FE'!B105+'Monthly Data-PC'!B105</f>
        <v>53263093</v>
      </c>
      <c r="D45" s="8">
        <v>5491.5178935002941</v>
      </c>
      <c r="E45" s="8">
        <v>1981.5586994826185</v>
      </c>
      <c r="F45" s="8">
        <f t="shared" si="1"/>
        <v>8</v>
      </c>
      <c r="G45" s="8">
        <f t="shared" si="2"/>
        <v>567713.08554072562</v>
      </c>
      <c r="H45" s="8">
        <f t="shared" si="3"/>
        <v>53830806.085540727</v>
      </c>
      <c r="I45" s="8">
        <f>'Monthly Data-EOP'!C105+'Monthly Data-FE'!C105+'Monthly Data-PC'!C105</f>
        <v>24663333</v>
      </c>
      <c r="J45" s="8">
        <f>'Monthly Data-EOP'!D105+'Monthly Data-FE'!D105+'Monthly Data-PC'!D105</f>
        <v>25712</v>
      </c>
      <c r="K45" s="8">
        <f>'Monthly Data-EOP'!E105+'Monthly Data-FE'!E105+'Monthly Data-PC'!E105</f>
        <v>6763299</v>
      </c>
      <c r="L45" s="8">
        <f>'Monthly Data-EOP'!F105+'Monthly Data-FE'!F105+'Monthly Data-PC'!F105</f>
        <v>2531</v>
      </c>
      <c r="M45" s="8">
        <f>'Monthly Data-EOP'!G105+'Monthly Data-FE'!G105+'Monthly Data-PC'!G105</f>
        <v>29190558</v>
      </c>
      <c r="N45" s="8">
        <v>532125.11</v>
      </c>
      <c r="O45" s="8">
        <f t="shared" si="4"/>
        <v>28658432.890000001</v>
      </c>
      <c r="P45" s="8">
        <f>'Monthly Data-EOP'!H105+'Monthly Data-FE'!H105+'Monthly Data-PC'!H105</f>
        <v>65476</v>
      </c>
      <c r="Q45" s="8">
        <v>1370.36</v>
      </c>
      <c r="R45" s="8">
        <f t="shared" si="5"/>
        <v>64105.64</v>
      </c>
      <c r="S45" s="8">
        <f>'Monthly Data-EOP'!I105+'Monthly Data-FE'!I105+'Monthly Data-PC'!I105</f>
        <v>225</v>
      </c>
      <c r="T45" s="8">
        <f>'Monthly Data-EOP'!J105+'Monthly Data-FE'!J105+'Monthly Data-PC'!J105</f>
        <v>272339</v>
      </c>
      <c r="U45" s="8">
        <f>'Monthly Data-EOP'!K105+'Monthly Data-FE'!K105+'Monthly Data-PC'!K105</f>
        <v>1132</v>
      </c>
      <c r="V45" s="8">
        <f>'Monthly Data-EOP'!L105+'Monthly Data-FE'!L105+'Monthly Data-PC'!L105</f>
        <v>5725</v>
      </c>
      <c r="W45" s="8">
        <f>'Monthly Data-EOP'!M105+'Monthly Data-FE'!M105+'Monthly Data-PC'!M105</f>
        <v>59316</v>
      </c>
      <c r="X45" s="8">
        <f>'Monthly Data-EOP'!N105+'Monthly Data-FE'!N105+'Monthly Data-PC'!N105</f>
        <v>183</v>
      </c>
      <c r="Y45" s="8">
        <f>'Monthly Data-EOP'!O105+'Monthly Data-FE'!O105+'Monthly Data-PC'!O105</f>
        <v>829</v>
      </c>
      <c r="Z45" s="8">
        <f>'Monthly Data-EOP'!P105+'Monthly Data-FE'!P105+'Monthly Data-PC'!P105</f>
        <v>104707</v>
      </c>
      <c r="AA45" s="8">
        <f>'Monthly Data-EOP'!Q105+'Monthly Data-FE'!Q105+'Monthly Data-PC'!Q105</f>
        <v>38</v>
      </c>
      <c r="AB45">
        <f>'Weather Data'!S225</f>
        <v>6</v>
      </c>
      <c r="AC45">
        <f>'Weather Data'!T225</f>
        <v>76.600000000000009</v>
      </c>
      <c r="AD45">
        <v>7.3000000000000007</v>
      </c>
      <c r="AE45">
        <v>87.199999999999974</v>
      </c>
      <c r="AF45">
        <v>6797.9</v>
      </c>
      <c r="AG45">
        <v>80.900000000000006</v>
      </c>
      <c r="AH45">
        <v>209.5</v>
      </c>
      <c r="AI45">
        <f t="shared" si="8"/>
        <v>44</v>
      </c>
      <c r="AJ45">
        <f t="shared" ref="AJ45:AX45" si="19">AJ33</f>
        <v>0</v>
      </c>
      <c r="AK45">
        <f t="shared" si="19"/>
        <v>0</v>
      </c>
      <c r="AL45">
        <f t="shared" si="19"/>
        <v>0</v>
      </c>
      <c r="AM45">
        <f t="shared" si="19"/>
        <v>0</v>
      </c>
      <c r="AN45">
        <f t="shared" si="19"/>
        <v>0</v>
      </c>
      <c r="AO45">
        <f t="shared" si="19"/>
        <v>0</v>
      </c>
      <c r="AP45">
        <f t="shared" si="19"/>
        <v>0</v>
      </c>
      <c r="AQ45">
        <f t="shared" si="19"/>
        <v>0</v>
      </c>
      <c r="AR45">
        <f t="shared" si="19"/>
        <v>0</v>
      </c>
      <c r="AS45">
        <f t="shared" si="19"/>
        <v>0</v>
      </c>
      <c r="AT45">
        <f t="shared" si="19"/>
        <v>1</v>
      </c>
      <c r="AU45">
        <f t="shared" si="19"/>
        <v>0</v>
      </c>
      <c r="AV45">
        <f t="shared" si="19"/>
        <v>0</v>
      </c>
      <c r="AW45">
        <f t="shared" si="19"/>
        <v>0</v>
      </c>
      <c r="AX45">
        <f t="shared" si="19"/>
        <v>0</v>
      </c>
      <c r="AY45" s="16">
        <v>22</v>
      </c>
      <c r="AZ45">
        <v>31</v>
      </c>
      <c r="BA45">
        <v>0</v>
      </c>
      <c r="BB45">
        <v>0</v>
      </c>
    </row>
    <row r="46" spans="1:54" x14ac:dyDescent="0.2">
      <c r="A46" s="3">
        <f>'Monthly Data-EOP'!A106</f>
        <v>41153</v>
      </c>
      <c r="B46" s="102">
        <f t="shared" si="7"/>
        <v>2012</v>
      </c>
      <c r="C46" s="8">
        <f>'Monthly Data-EOP'!B106+'Monthly Data-FE'!B106+'Monthly Data-PC'!B106</f>
        <v>44675834</v>
      </c>
      <c r="D46" s="8">
        <v>5491.5178935002941</v>
      </c>
      <c r="E46" s="8">
        <v>1981.5586994826185</v>
      </c>
      <c r="F46" s="8">
        <f t="shared" si="1"/>
        <v>9</v>
      </c>
      <c r="G46" s="8">
        <f t="shared" si="2"/>
        <v>581473.90984268812</v>
      </c>
      <c r="H46" s="8">
        <f t="shared" si="3"/>
        <v>45257307.909842685</v>
      </c>
      <c r="I46" s="8">
        <f>'Monthly Data-EOP'!C106+'Monthly Data-FE'!C106+'Monthly Data-PC'!C106</f>
        <v>15661476</v>
      </c>
      <c r="J46" s="8">
        <f>'Monthly Data-EOP'!D106+'Monthly Data-FE'!D106+'Monthly Data-PC'!D106</f>
        <v>25720</v>
      </c>
      <c r="K46" s="8">
        <f>'Monthly Data-EOP'!E106+'Monthly Data-FE'!E106+'Monthly Data-PC'!E106</f>
        <v>5587863</v>
      </c>
      <c r="L46" s="8">
        <f>'Monthly Data-EOP'!F106+'Monthly Data-FE'!F106+'Monthly Data-PC'!F106</f>
        <v>2528</v>
      </c>
      <c r="M46" s="8">
        <f>'Monthly Data-EOP'!G106+'Monthly Data-FE'!G106+'Monthly Data-PC'!G106</f>
        <v>15129698</v>
      </c>
      <c r="N46" s="8">
        <v>508893.3</v>
      </c>
      <c r="O46" s="8">
        <f t="shared" si="4"/>
        <v>14620804.699999999</v>
      </c>
      <c r="P46" s="8">
        <f>'Monthly Data-EOP'!H106+'Monthly Data-FE'!H106+'Monthly Data-PC'!H106</f>
        <v>69939</v>
      </c>
      <c r="Q46" s="8">
        <v>1311.4</v>
      </c>
      <c r="R46" s="8">
        <f t="shared" si="5"/>
        <v>68627.600000000006</v>
      </c>
      <c r="S46" s="8">
        <f>'Monthly Data-EOP'!I106+'Monthly Data-FE'!I106+'Monthly Data-PC'!I106</f>
        <v>224</v>
      </c>
      <c r="T46" s="8">
        <f>'Monthly Data-EOP'!J106+'Monthly Data-FE'!J106+'Monthly Data-PC'!J106</f>
        <v>329365</v>
      </c>
      <c r="U46" s="8">
        <f>'Monthly Data-EOP'!K106+'Monthly Data-FE'!K106+'Monthly Data-PC'!K106</f>
        <v>1132</v>
      </c>
      <c r="V46" s="8">
        <f>'Monthly Data-EOP'!L106+'Monthly Data-FE'!L106+'Monthly Data-PC'!L106</f>
        <v>5725</v>
      </c>
      <c r="W46" s="8">
        <f>'Monthly Data-EOP'!M106+'Monthly Data-FE'!M106+'Monthly Data-PC'!M106</f>
        <v>54996</v>
      </c>
      <c r="X46" s="8">
        <f>'Monthly Data-EOP'!N106+'Monthly Data-FE'!N106+'Monthly Data-PC'!N106</f>
        <v>167</v>
      </c>
      <c r="Y46" s="8">
        <f>'Monthly Data-EOP'!O106+'Monthly Data-FE'!O106+'Monthly Data-PC'!O106</f>
        <v>806</v>
      </c>
      <c r="Z46" s="8">
        <f>'Monthly Data-EOP'!P106+'Monthly Data-FE'!P106+'Monthly Data-PC'!P106</f>
        <v>128003</v>
      </c>
      <c r="AA46" s="8">
        <f>'Monthly Data-EOP'!Q106+'Monthly Data-FE'!Q106+'Monthly Data-PC'!Q106</f>
        <v>38</v>
      </c>
      <c r="AB46">
        <f>'Weather Data'!S226</f>
        <v>86.1</v>
      </c>
      <c r="AC46">
        <f>'Weather Data'!T226</f>
        <v>28.900000000000002</v>
      </c>
      <c r="AD46">
        <v>106.30000000000003</v>
      </c>
      <c r="AE46">
        <v>20.200000000000003</v>
      </c>
      <c r="AF46">
        <v>6763.1</v>
      </c>
      <c r="AG46">
        <v>79.099999999999994</v>
      </c>
      <c r="AH46">
        <v>208.7</v>
      </c>
      <c r="AI46">
        <f t="shared" si="8"/>
        <v>45</v>
      </c>
      <c r="AJ46">
        <f t="shared" ref="AJ46:AX46" si="20">AJ34</f>
        <v>0</v>
      </c>
      <c r="AK46">
        <f t="shared" si="20"/>
        <v>1</v>
      </c>
      <c r="AL46">
        <f t="shared" si="20"/>
        <v>1</v>
      </c>
      <c r="AM46">
        <f t="shared" si="20"/>
        <v>0</v>
      </c>
      <c r="AN46">
        <f t="shared" si="20"/>
        <v>0</v>
      </c>
      <c r="AO46">
        <f t="shared" si="20"/>
        <v>0</v>
      </c>
      <c r="AP46">
        <f t="shared" si="20"/>
        <v>0</v>
      </c>
      <c r="AQ46">
        <f t="shared" si="20"/>
        <v>0</v>
      </c>
      <c r="AR46">
        <f t="shared" si="20"/>
        <v>0</v>
      </c>
      <c r="AS46">
        <f t="shared" si="20"/>
        <v>0</v>
      </c>
      <c r="AT46">
        <f t="shared" si="20"/>
        <v>0</v>
      </c>
      <c r="AU46">
        <f t="shared" si="20"/>
        <v>1</v>
      </c>
      <c r="AV46">
        <f t="shared" si="20"/>
        <v>0</v>
      </c>
      <c r="AW46">
        <f t="shared" si="20"/>
        <v>0</v>
      </c>
      <c r="AX46">
        <f t="shared" si="20"/>
        <v>0</v>
      </c>
      <c r="AY46" s="16">
        <v>19</v>
      </c>
      <c r="AZ46">
        <v>30</v>
      </c>
      <c r="BA46">
        <v>0</v>
      </c>
      <c r="BB46">
        <v>0</v>
      </c>
    </row>
    <row r="47" spans="1:54" x14ac:dyDescent="0.2">
      <c r="A47" s="3">
        <f>'Monthly Data-EOP'!A107</f>
        <v>41183</v>
      </c>
      <c r="B47" s="102">
        <f t="shared" si="7"/>
        <v>2012</v>
      </c>
      <c r="C47" s="8">
        <f>'Monthly Data-EOP'!B107+'Monthly Data-FE'!B107+'Monthly Data-PC'!B107</f>
        <v>43204216</v>
      </c>
      <c r="D47" s="8">
        <v>5491.5178935002941</v>
      </c>
      <c r="E47" s="8">
        <v>1981.5586994826185</v>
      </c>
      <c r="F47" s="8">
        <f t="shared" si="1"/>
        <v>10</v>
      </c>
      <c r="G47" s="8">
        <f t="shared" si="2"/>
        <v>595234.73414465087</v>
      </c>
      <c r="H47" s="8">
        <f t="shared" si="3"/>
        <v>43799450.73414465</v>
      </c>
      <c r="I47" s="8">
        <f>'Monthly Data-EOP'!C107+'Monthly Data-FE'!C107+'Monthly Data-PC'!C107</f>
        <v>13490796</v>
      </c>
      <c r="J47" s="8">
        <f>'Monthly Data-EOP'!D107+'Monthly Data-FE'!D107+'Monthly Data-PC'!D107</f>
        <v>25730</v>
      </c>
      <c r="K47" s="8">
        <f>'Monthly Data-EOP'!E107+'Monthly Data-FE'!E107+'Monthly Data-PC'!E107</f>
        <v>5642470</v>
      </c>
      <c r="L47" s="8">
        <f>'Monthly Data-EOP'!F107+'Monthly Data-FE'!F107+'Monthly Data-PC'!F107</f>
        <v>2536</v>
      </c>
      <c r="M47" s="8">
        <f>'Monthly Data-EOP'!G107+'Monthly Data-FE'!G107+'Monthly Data-PC'!G107</f>
        <v>22340759</v>
      </c>
      <c r="N47" s="8">
        <v>489871.71</v>
      </c>
      <c r="O47" s="8">
        <f t="shared" si="4"/>
        <v>21850887.289999999</v>
      </c>
      <c r="P47" s="8">
        <f>'Monthly Data-EOP'!H107+'Monthly Data-FE'!H107+'Monthly Data-PC'!H107</f>
        <v>66062</v>
      </c>
      <c r="Q47" s="8">
        <v>1153.6400000000001</v>
      </c>
      <c r="R47" s="8">
        <f t="shared" si="5"/>
        <v>64908.36</v>
      </c>
      <c r="S47" s="8">
        <f>'Monthly Data-EOP'!I107+'Monthly Data-FE'!I107+'Monthly Data-PC'!I107</f>
        <v>224</v>
      </c>
      <c r="T47" s="8">
        <f>'Monthly Data-EOP'!J107+'Monthly Data-FE'!J107+'Monthly Data-PC'!J107</f>
        <v>261010</v>
      </c>
      <c r="U47" s="8">
        <f>'Monthly Data-EOP'!K107+'Monthly Data-FE'!K107+'Monthly Data-PC'!K107</f>
        <v>1110</v>
      </c>
      <c r="V47" s="8">
        <f>'Monthly Data-EOP'!L107+'Monthly Data-FE'!L107+'Monthly Data-PC'!L107</f>
        <v>5725</v>
      </c>
      <c r="W47" s="8">
        <f>'Monthly Data-EOP'!M107+'Monthly Data-FE'!M107+'Monthly Data-PC'!M107</f>
        <v>53717</v>
      </c>
      <c r="X47" s="8">
        <f>'Monthly Data-EOP'!N107+'Monthly Data-FE'!N107+'Monthly Data-PC'!N107</f>
        <v>163</v>
      </c>
      <c r="Y47" s="8">
        <f>'Monthly Data-EOP'!O107+'Monthly Data-FE'!O107+'Monthly Data-PC'!O107</f>
        <v>754</v>
      </c>
      <c r="Z47" s="8">
        <f>'Monthly Data-EOP'!P107+'Monthly Data-FE'!P107+'Monthly Data-PC'!P107</f>
        <v>132583</v>
      </c>
      <c r="AA47" s="8">
        <f>'Monthly Data-EOP'!Q107+'Monthly Data-FE'!Q107+'Monthly Data-PC'!Q107</f>
        <v>38</v>
      </c>
      <c r="AB47">
        <f>'Weather Data'!S227</f>
        <v>227.39999999999998</v>
      </c>
      <c r="AC47">
        <f>'Weather Data'!T227</f>
        <v>0.8</v>
      </c>
      <c r="AD47">
        <v>259.09999999999991</v>
      </c>
      <c r="AE47">
        <v>0</v>
      </c>
      <c r="AF47">
        <v>6740.9</v>
      </c>
      <c r="AG47">
        <v>78.099999999999994</v>
      </c>
      <c r="AH47">
        <v>207.9</v>
      </c>
      <c r="AI47">
        <f t="shared" si="8"/>
        <v>46</v>
      </c>
      <c r="AJ47">
        <f t="shared" ref="AJ47:AX47" si="21">AJ35</f>
        <v>0</v>
      </c>
      <c r="AK47">
        <f t="shared" si="21"/>
        <v>1</v>
      </c>
      <c r="AL47">
        <f t="shared" si="21"/>
        <v>1</v>
      </c>
      <c r="AM47">
        <f t="shared" si="21"/>
        <v>0</v>
      </c>
      <c r="AN47">
        <f t="shared" si="21"/>
        <v>0</v>
      </c>
      <c r="AO47">
        <f t="shared" si="21"/>
        <v>0</v>
      </c>
      <c r="AP47">
        <f t="shared" si="21"/>
        <v>0</v>
      </c>
      <c r="AQ47">
        <f t="shared" si="21"/>
        <v>0</v>
      </c>
      <c r="AR47">
        <f t="shared" si="21"/>
        <v>0</v>
      </c>
      <c r="AS47">
        <f t="shared" si="21"/>
        <v>0</v>
      </c>
      <c r="AT47">
        <f t="shared" si="21"/>
        <v>0</v>
      </c>
      <c r="AU47">
        <f t="shared" si="21"/>
        <v>0</v>
      </c>
      <c r="AV47">
        <f t="shared" si="21"/>
        <v>1</v>
      </c>
      <c r="AW47">
        <f t="shared" si="21"/>
        <v>0</v>
      </c>
      <c r="AX47">
        <f t="shared" si="21"/>
        <v>0</v>
      </c>
      <c r="AY47" s="16">
        <v>22</v>
      </c>
      <c r="AZ47">
        <v>31</v>
      </c>
      <c r="BA47">
        <v>0</v>
      </c>
      <c r="BB47">
        <v>0</v>
      </c>
    </row>
    <row r="48" spans="1:54" x14ac:dyDescent="0.2">
      <c r="A48" s="3">
        <f>'Monthly Data-EOP'!A108</f>
        <v>41214</v>
      </c>
      <c r="B48" s="102">
        <f t="shared" si="7"/>
        <v>2012</v>
      </c>
      <c r="C48" s="8">
        <f>'Monthly Data-EOP'!B108+'Monthly Data-FE'!B108+'Monthly Data-PC'!B108</f>
        <v>44348259</v>
      </c>
      <c r="D48" s="8">
        <v>5491.5178935002941</v>
      </c>
      <c r="E48" s="8">
        <v>1981.5586994826185</v>
      </c>
      <c r="F48" s="8">
        <f t="shared" si="1"/>
        <v>11</v>
      </c>
      <c r="G48" s="8">
        <f t="shared" si="2"/>
        <v>608995.55844661349</v>
      </c>
      <c r="H48" s="8">
        <f t="shared" si="3"/>
        <v>44957254.558446616</v>
      </c>
      <c r="I48" s="8">
        <f>'Monthly Data-EOP'!C108+'Monthly Data-FE'!C108+'Monthly Data-PC'!C108</f>
        <v>13569220</v>
      </c>
      <c r="J48" s="8">
        <f>'Monthly Data-EOP'!D108+'Monthly Data-FE'!D108+'Monthly Data-PC'!D108</f>
        <v>25757</v>
      </c>
      <c r="K48" s="8">
        <f>'Monthly Data-EOP'!E108+'Monthly Data-FE'!E108+'Monthly Data-PC'!E108</f>
        <v>5217828</v>
      </c>
      <c r="L48" s="8">
        <f>'Monthly Data-EOP'!F108+'Monthly Data-FE'!F108+'Monthly Data-PC'!F108</f>
        <v>2526</v>
      </c>
      <c r="M48" s="8">
        <f>'Monthly Data-EOP'!G108+'Monthly Data-FE'!G108+'Monthly Data-PC'!G108</f>
        <v>22216107</v>
      </c>
      <c r="N48" s="8">
        <v>558197.73</v>
      </c>
      <c r="O48" s="8">
        <f t="shared" si="4"/>
        <v>21657909.27</v>
      </c>
      <c r="P48" s="8">
        <f>'Monthly Data-EOP'!H108+'Monthly Data-FE'!H108+'Monthly Data-PC'!H108</f>
        <v>65006</v>
      </c>
      <c r="Q48" s="8">
        <v>1252.44</v>
      </c>
      <c r="R48" s="8">
        <f t="shared" si="5"/>
        <v>63753.56</v>
      </c>
      <c r="S48" s="8">
        <f>'Monthly Data-EOP'!I108+'Monthly Data-FE'!I108+'Monthly Data-PC'!I108</f>
        <v>223</v>
      </c>
      <c r="T48" s="8">
        <f>'Monthly Data-EOP'!J108+'Monthly Data-FE'!J108+'Monthly Data-PC'!J108</f>
        <v>668073</v>
      </c>
      <c r="U48" s="8">
        <f>'Monthly Data-EOP'!K108+'Monthly Data-FE'!K108+'Monthly Data-PC'!K108</f>
        <v>1110</v>
      </c>
      <c r="V48" s="8">
        <f>'Monthly Data-EOP'!L108+'Monthly Data-FE'!L108+'Monthly Data-PC'!L108</f>
        <v>5725</v>
      </c>
      <c r="W48" s="8">
        <f>'Monthly Data-EOP'!M108+'Monthly Data-FE'!M108+'Monthly Data-PC'!M108</f>
        <v>56580</v>
      </c>
      <c r="X48" s="8">
        <f>'Monthly Data-EOP'!N108+'Monthly Data-FE'!N108+'Monthly Data-PC'!N108</f>
        <v>160</v>
      </c>
      <c r="Y48" s="8">
        <f>'Monthly Data-EOP'!O108+'Monthly Data-FE'!O108+'Monthly Data-PC'!O108</f>
        <v>745</v>
      </c>
      <c r="Z48" s="8">
        <f>'Monthly Data-EOP'!P108+'Monthly Data-FE'!P108+'Monthly Data-PC'!P108</f>
        <v>90644</v>
      </c>
      <c r="AA48" s="8">
        <f>'Monthly Data-EOP'!Q108+'Monthly Data-FE'!Q108+'Monthly Data-PC'!Q108</f>
        <v>38</v>
      </c>
      <c r="AB48">
        <f>'Weather Data'!S228</f>
        <v>430.19999999999993</v>
      </c>
      <c r="AC48">
        <f>'Weather Data'!T228</f>
        <v>0</v>
      </c>
      <c r="AD48">
        <v>498.9</v>
      </c>
      <c r="AE48">
        <v>0</v>
      </c>
      <c r="AF48">
        <v>6727.4</v>
      </c>
      <c r="AG48">
        <v>78.7</v>
      </c>
      <c r="AH48">
        <v>204</v>
      </c>
      <c r="AI48">
        <f t="shared" si="8"/>
        <v>47</v>
      </c>
      <c r="AJ48">
        <f t="shared" ref="AJ48:AX48" si="22">AJ36</f>
        <v>0</v>
      </c>
      <c r="AK48">
        <f t="shared" si="22"/>
        <v>1</v>
      </c>
      <c r="AL48">
        <f t="shared" si="22"/>
        <v>1</v>
      </c>
      <c r="AM48">
        <f t="shared" si="22"/>
        <v>0</v>
      </c>
      <c r="AN48">
        <f t="shared" si="22"/>
        <v>0</v>
      </c>
      <c r="AO48">
        <f t="shared" si="22"/>
        <v>0</v>
      </c>
      <c r="AP48">
        <f t="shared" si="22"/>
        <v>0</v>
      </c>
      <c r="AQ48">
        <f t="shared" si="22"/>
        <v>0</v>
      </c>
      <c r="AR48">
        <f t="shared" si="22"/>
        <v>0</v>
      </c>
      <c r="AS48">
        <f t="shared" si="22"/>
        <v>0</v>
      </c>
      <c r="AT48">
        <f t="shared" si="22"/>
        <v>0</v>
      </c>
      <c r="AU48">
        <f t="shared" si="22"/>
        <v>0</v>
      </c>
      <c r="AV48">
        <f t="shared" si="22"/>
        <v>0</v>
      </c>
      <c r="AW48">
        <f t="shared" si="22"/>
        <v>1</v>
      </c>
      <c r="AX48">
        <f t="shared" si="22"/>
        <v>0</v>
      </c>
      <c r="AY48" s="16">
        <v>22</v>
      </c>
      <c r="AZ48">
        <v>30</v>
      </c>
      <c r="BA48">
        <v>0</v>
      </c>
      <c r="BB48">
        <v>0</v>
      </c>
    </row>
    <row r="49" spans="1:54" x14ac:dyDescent="0.2">
      <c r="A49" s="3">
        <f>'Monthly Data-EOP'!A109</f>
        <v>41244</v>
      </c>
      <c r="B49" s="102">
        <f t="shared" si="7"/>
        <v>2012</v>
      </c>
      <c r="C49" s="8">
        <f>'Monthly Data-EOP'!B109+'Monthly Data-FE'!B109+'Monthly Data-PC'!B109</f>
        <v>45553984</v>
      </c>
      <c r="D49" s="8">
        <v>5491.5178935002941</v>
      </c>
      <c r="E49" s="8">
        <v>1981.5586994826185</v>
      </c>
      <c r="F49" s="8">
        <f t="shared" si="1"/>
        <v>12</v>
      </c>
      <c r="G49" s="8">
        <f t="shared" si="2"/>
        <v>622756.382748576</v>
      </c>
      <c r="H49" s="8">
        <f t="shared" si="3"/>
        <v>46176740.382748574</v>
      </c>
      <c r="I49" s="8">
        <f>'Monthly Data-EOP'!C109+'Monthly Data-FE'!C109+'Monthly Data-PC'!C109</f>
        <v>17711866</v>
      </c>
      <c r="J49" s="8">
        <f>'Monthly Data-EOP'!D109+'Monthly Data-FE'!D109+'Monthly Data-PC'!D109</f>
        <v>25749</v>
      </c>
      <c r="K49" s="8">
        <f>'Monthly Data-EOP'!E109+'Monthly Data-FE'!E109+'Monthly Data-PC'!E109</f>
        <v>5986276</v>
      </c>
      <c r="L49" s="8">
        <f>'Monthly Data-EOP'!F109+'Monthly Data-FE'!F109+'Monthly Data-PC'!F109</f>
        <v>2534</v>
      </c>
      <c r="M49" s="8">
        <f>'Monthly Data-EOP'!G109+'Monthly Data-FE'!G109+'Monthly Data-PC'!G109</f>
        <v>19179366</v>
      </c>
      <c r="N49" s="8">
        <v>463275.46950000001</v>
      </c>
      <c r="O49" s="8">
        <f t="shared" si="4"/>
        <v>18716090.530499998</v>
      </c>
      <c r="P49" s="8">
        <f>'Monthly Data-EOP'!H109+'Monthly Data-FE'!H109+'Monthly Data-PC'!H109</f>
        <v>58125</v>
      </c>
      <c r="Q49" s="8">
        <v>1152.04</v>
      </c>
      <c r="R49" s="8">
        <f t="shared" si="5"/>
        <v>56972.959999999999</v>
      </c>
      <c r="S49" s="8">
        <f>'Monthly Data-EOP'!I109+'Monthly Data-FE'!I109+'Monthly Data-PC'!I109</f>
        <v>232</v>
      </c>
      <c r="T49" s="8">
        <f>'Monthly Data-EOP'!J109+'Monthly Data-FE'!J109+'Monthly Data-PC'!J109</f>
        <v>478233</v>
      </c>
      <c r="U49" s="8">
        <f>'Monthly Data-EOP'!K109+'Monthly Data-FE'!K109+'Monthly Data-PC'!K109</f>
        <v>1110</v>
      </c>
      <c r="V49" s="8">
        <f>'Monthly Data-EOP'!L109+'Monthly Data-FE'!L109+'Monthly Data-PC'!L109</f>
        <v>5725</v>
      </c>
      <c r="W49" s="8">
        <f>'Monthly Data-EOP'!M109+'Monthly Data-FE'!M109+'Monthly Data-PC'!M109</f>
        <v>52890</v>
      </c>
      <c r="X49" s="8">
        <f>'Monthly Data-EOP'!N109+'Monthly Data-FE'!N109+'Monthly Data-PC'!N109</f>
        <v>165</v>
      </c>
      <c r="Y49" s="8">
        <f>'Monthly Data-EOP'!O109+'Monthly Data-FE'!O109+'Monthly Data-PC'!O109</f>
        <v>745</v>
      </c>
      <c r="Z49" s="8">
        <f>'Monthly Data-EOP'!P109+'Monthly Data-FE'!P109+'Monthly Data-PC'!P109</f>
        <v>167974</v>
      </c>
      <c r="AA49" s="8">
        <f>'Monthly Data-EOP'!Q109+'Monthly Data-FE'!Q109+'Monthly Data-PC'!Q109</f>
        <v>40</v>
      </c>
      <c r="AB49">
        <f>'Weather Data'!S229</f>
        <v>505.1</v>
      </c>
      <c r="AC49">
        <f>'Weather Data'!T229</f>
        <v>0</v>
      </c>
      <c r="AD49">
        <v>648.19999999999993</v>
      </c>
      <c r="AE49">
        <v>0</v>
      </c>
      <c r="AF49">
        <v>6740.2</v>
      </c>
      <c r="AG49">
        <v>79.400000000000006</v>
      </c>
      <c r="AH49">
        <v>200.5</v>
      </c>
      <c r="AI49">
        <f t="shared" si="8"/>
        <v>48</v>
      </c>
      <c r="AJ49">
        <f t="shared" ref="AJ49:AX49" si="23">AJ37</f>
        <v>0</v>
      </c>
      <c r="AK49">
        <f t="shared" si="23"/>
        <v>0</v>
      </c>
      <c r="AL49">
        <f t="shared" si="23"/>
        <v>0</v>
      </c>
      <c r="AM49">
        <f t="shared" si="23"/>
        <v>0</v>
      </c>
      <c r="AN49">
        <f t="shared" si="23"/>
        <v>0</v>
      </c>
      <c r="AO49">
        <f t="shared" si="23"/>
        <v>0</v>
      </c>
      <c r="AP49">
        <f t="shared" si="23"/>
        <v>0</v>
      </c>
      <c r="AQ49">
        <f t="shared" si="23"/>
        <v>0</v>
      </c>
      <c r="AR49">
        <f t="shared" si="23"/>
        <v>0</v>
      </c>
      <c r="AS49">
        <f t="shared" si="23"/>
        <v>0</v>
      </c>
      <c r="AT49">
        <f t="shared" si="23"/>
        <v>0</v>
      </c>
      <c r="AU49">
        <f t="shared" si="23"/>
        <v>0</v>
      </c>
      <c r="AV49">
        <f t="shared" si="23"/>
        <v>0</v>
      </c>
      <c r="AW49">
        <f t="shared" si="23"/>
        <v>0</v>
      </c>
      <c r="AX49">
        <f t="shared" si="23"/>
        <v>1</v>
      </c>
      <c r="AY49" s="16">
        <v>19</v>
      </c>
      <c r="AZ49">
        <v>31</v>
      </c>
      <c r="BA49">
        <v>0</v>
      </c>
      <c r="BB49">
        <v>0</v>
      </c>
    </row>
    <row r="50" spans="1:54" x14ac:dyDescent="0.2">
      <c r="A50" s="3">
        <f>'Monthly Data-EOP'!A110</f>
        <v>41275</v>
      </c>
      <c r="B50" s="102">
        <f t="shared" si="7"/>
        <v>2013</v>
      </c>
      <c r="C50" s="8">
        <f>'Monthly Data-EOP'!B110+'Monthly Data-FE'!B110+'Monthly Data-PC'!B110</f>
        <v>50854515</v>
      </c>
      <c r="D50" s="8">
        <v>6734.7590687235734</v>
      </c>
      <c r="E50" s="8">
        <v>3032.0241248209136</v>
      </c>
      <c r="F50" s="8">
        <f t="shared" si="1"/>
        <v>1</v>
      </c>
      <c r="G50" s="8">
        <f t="shared" si="2"/>
        <v>582285.64548266528</v>
      </c>
      <c r="H50" s="8">
        <f t="shared" si="3"/>
        <v>51436800.645482667</v>
      </c>
      <c r="I50" s="8">
        <f>'Monthly Data-EOP'!C110+'Monthly Data-FE'!C110+'Monthly Data-PC'!C110</f>
        <v>23339509</v>
      </c>
      <c r="J50" s="8">
        <f>'Monthly Data-EOP'!D110+'Monthly Data-FE'!D110+'Monthly Data-PC'!D110</f>
        <v>25788</v>
      </c>
      <c r="K50" s="8">
        <f>'Monthly Data-EOP'!E110+'Monthly Data-FE'!E110+'Monthly Data-PC'!E110</f>
        <v>6769519</v>
      </c>
      <c r="L50" s="8">
        <f>'Monthly Data-EOP'!F110+'Monthly Data-FE'!F110+'Monthly Data-PC'!F110</f>
        <v>2541</v>
      </c>
      <c r="M50" s="8">
        <f>'Monthly Data-EOP'!G110+'Monthly Data-FE'!G110+'Monthly Data-PC'!G110</f>
        <v>16862211</v>
      </c>
      <c r="N50" s="8">
        <v>464301.67</v>
      </c>
      <c r="O50" s="8">
        <f t="shared" si="4"/>
        <v>16397909.33</v>
      </c>
      <c r="P50" s="8">
        <f>'Monthly Data-EOP'!H110+'Monthly Data-FE'!H110+'Monthly Data-PC'!H110</f>
        <v>59214.176999999996</v>
      </c>
      <c r="Q50" s="8">
        <v>841.32</v>
      </c>
      <c r="R50" s="8">
        <f t="shared" si="5"/>
        <v>58372.856999999996</v>
      </c>
      <c r="S50" s="8">
        <f>'Monthly Data-EOP'!I110+'Monthly Data-FE'!I110+'Monthly Data-PC'!I110</f>
        <v>237</v>
      </c>
      <c r="T50" s="8">
        <f>'Monthly Data-EOP'!J110+'Monthly Data-FE'!J110+'Monthly Data-PC'!J110</f>
        <v>491276</v>
      </c>
      <c r="U50" s="8">
        <f>'Monthly Data-EOP'!K110+'Monthly Data-FE'!K110+'Monthly Data-PC'!K110</f>
        <v>1109.9189999999999</v>
      </c>
      <c r="V50" s="8">
        <f>'Monthly Data-EOP'!L110+'Monthly Data-FE'!L110+'Monthly Data-PC'!L110</f>
        <v>5725</v>
      </c>
      <c r="W50" s="8">
        <f>'Monthly Data-EOP'!M110+'Monthly Data-FE'!M110+'Monthly Data-PC'!M110</f>
        <v>50308</v>
      </c>
      <c r="X50" s="8">
        <f>'Monthly Data-EOP'!N110+'Monthly Data-FE'!N110+'Monthly Data-PC'!N110</f>
        <v>162.15099999999998</v>
      </c>
      <c r="Y50" s="8">
        <f>'Monthly Data-EOP'!O110+'Monthly Data-FE'!O110+'Monthly Data-PC'!O110</f>
        <v>745</v>
      </c>
      <c r="Z50" s="8">
        <f>'Monthly Data-EOP'!P110+'Monthly Data-FE'!P110+'Monthly Data-PC'!P110</f>
        <v>140141</v>
      </c>
      <c r="AA50" s="8">
        <f>'Monthly Data-EOP'!Q110+'Monthly Data-FE'!Q110+'Monthly Data-PC'!Q110</f>
        <v>40</v>
      </c>
      <c r="AB50">
        <f>'Weather Data'!S230</f>
        <v>617.29999999999995</v>
      </c>
      <c r="AC50">
        <f>'Weather Data'!T230</f>
        <v>0</v>
      </c>
      <c r="AD50">
        <v>743.9</v>
      </c>
      <c r="AE50">
        <v>0</v>
      </c>
      <c r="AF50">
        <v>6721.7</v>
      </c>
      <c r="AG50">
        <v>80.7</v>
      </c>
      <c r="AH50">
        <v>197.4</v>
      </c>
      <c r="AI50">
        <f t="shared" si="8"/>
        <v>49</v>
      </c>
      <c r="AJ50">
        <f t="shared" ref="AJ50:AX50" si="24">AJ38</f>
        <v>0</v>
      </c>
      <c r="AK50">
        <f t="shared" si="24"/>
        <v>0</v>
      </c>
      <c r="AL50">
        <f t="shared" si="24"/>
        <v>0</v>
      </c>
      <c r="AM50">
        <f t="shared" si="24"/>
        <v>1</v>
      </c>
      <c r="AN50">
        <f t="shared" si="24"/>
        <v>0</v>
      </c>
      <c r="AO50">
        <f t="shared" si="24"/>
        <v>0</v>
      </c>
      <c r="AP50">
        <f t="shared" si="24"/>
        <v>0</v>
      </c>
      <c r="AQ50">
        <f t="shared" si="24"/>
        <v>0</v>
      </c>
      <c r="AR50">
        <f t="shared" si="24"/>
        <v>0</v>
      </c>
      <c r="AS50">
        <f t="shared" si="24"/>
        <v>0</v>
      </c>
      <c r="AT50">
        <f t="shared" si="24"/>
        <v>0</v>
      </c>
      <c r="AU50">
        <f t="shared" si="24"/>
        <v>0</v>
      </c>
      <c r="AV50">
        <f t="shared" si="24"/>
        <v>0</v>
      </c>
      <c r="AW50">
        <f t="shared" si="24"/>
        <v>0</v>
      </c>
      <c r="AX50">
        <f t="shared" si="24"/>
        <v>0</v>
      </c>
      <c r="AY50" s="16">
        <v>22</v>
      </c>
      <c r="AZ50">
        <v>31</v>
      </c>
      <c r="BA50">
        <v>1</v>
      </c>
      <c r="BB50">
        <v>1</v>
      </c>
    </row>
    <row r="51" spans="1:54" x14ac:dyDescent="0.2">
      <c r="A51" s="3">
        <f>'Monthly Data-EOP'!A111</f>
        <v>41306</v>
      </c>
      <c r="B51" s="102">
        <f t="shared" si="7"/>
        <v>2013</v>
      </c>
      <c r="C51" s="8">
        <f>'Monthly Data-EOP'!B111+'Monthly Data-FE'!B111+'Monthly Data-PC'!B111</f>
        <v>45891597</v>
      </c>
      <c r="D51" s="8">
        <v>6734.7590687235734</v>
      </c>
      <c r="E51" s="8">
        <v>3032.0241248209136</v>
      </c>
      <c r="F51" s="8">
        <f t="shared" si="1"/>
        <v>2</v>
      </c>
      <c r="G51" s="8">
        <f t="shared" si="2"/>
        <v>603341.36857169936</v>
      </c>
      <c r="H51" s="8">
        <f t="shared" si="3"/>
        <v>46494938.368571699</v>
      </c>
      <c r="I51" s="8">
        <f>'Monthly Data-EOP'!C111+'Monthly Data-FE'!C111+'Monthly Data-PC'!C111</f>
        <v>17216868</v>
      </c>
      <c r="J51" s="8">
        <f>'Monthly Data-EOP'!D111+'Monthly Data-FE'!D111+'Monthly Data-PC'!D111</f>
        <v>25797</v>
      </c>
      <c r="K51" s="8">
        <f>'Monthly Data-EOP'!E111+'Monthly Data-FE'!E111+'Monthly Data-PC'!E111</f>
        <v>5574436</v>
      </c>
      <c r="L51" s="8">
        <f>'Monthly Data-EOP'!F111+'Monthly Data-FE'!F111+'Monthly Data-PC'!F111</f>
        <v>2538</v>
      </c>
      <c r="M51" s="8">
        <f>'Monthly Data-EOP'!G111+'Monthly Data-FE'!G111+'Monthly Data-PC'!G111</f>
        <v>21400449</v>
      </c>
      <c r="N51" s="8">
        <v>403435.52000000002</v>
      </c>
      <c r="O51" s="8">
        <f t="shared" si="4"/>
        <v>20997013.48</v>
      </c>
      <c r="P51" s="8">
        <f>'Monthly Data-EOP'!H111+'Monthly Data-FE'!H111+'Monthly Data-PC'!H111</f>
        <v>58397.334000000003</v>
      </c>
      <c r="Q51" s="8">
        <v>831.76</v>
      </c>
      <c r="R51" s="8">
        <f t="shared" si="5"/>
        <v>57565.574000000001</v>
      </c>
      <c r="S51" s="8">
        <f>'Monthly Data-EOP'!I111+'Monthly Data-FE'!I111+'Monthly Data-PC'!I111</f>
        <v>229</v>
      </c>
      <c r="T51" s="8">
        <f>'Monthly Data-EOP'!J111+'Monthly Data-FE'!J111+'Monthly Data-PC'!J111</f>
        <v>452812</v>
      </c>
      <c r="U51" s="8">
        <f>'Monthly Data-EOP'!K111+'Monthly Data-FE'!K111+'Monthly Data-PC'!K111</f>
        <v>1098.9099999999999</v>
      </c>
      <c r="V51" s="8">
        <f>'Monthly Data-EOP'!L111+'Monthly Data-FE'!L111+'Monthly Data-PC'!L111</f>
        <v>5725</v>
      </c>
      <c r="W51" s="8">
        <f>'Monthly Data-EOP'!M111+'Monthly Data-FE'!M111+'Monthly Data-PC'!M111</f>
        <v>49393</v>
      </c>
      <c r="X51" s="8">
        <f>'Monthly Data-EOP'!N111+'Monthly Data-FE'!N111+'Monthly Data-PC'!N111</f>
        <v>161.708</v>
      </c>
      <c r="Y51" s="8">
        <f>'Monthly Data-EOP'!O111+'Monthly Data-FE'!O111+'Monthly Data-PC'!O111</f>
        <v>745</v>
      </c>
      <c r="Z51" s="8">
        <f>'Monthly Data-EOP'!P111+'Monthly Data-FE'!P111+'Monthly Data-PC'!P111</f>
        <v>118684</v>
      </c>
      <c r="AA51" s="8">
        <f>'Monthly Data-EOP'!Q111+'Monthly Data-FE'!Q111+'Monthly Data-PC'!Q111</f>
        <v>40</v>
      </c>
      <c r="AB51">
        <f>'Weather Data'!S231</f>
        <v>640.1</v>
      </c>
      <c r="AC51">
        <f>'Weather Data'!T231</f>
        <v>0</v>
      </c>
      <c r="AD51">
        <v>693.5</v>
      </c>
      <c r="AE51">
        <v>0</v>
      </c>
      <c r="AF51">
        <v>6702</v>
      </c>
      <c r="AG51">
        <v>80.7</v>
      </c>
      <c r="AH51">
        <v>195.2</v>
      </c>
      <c r="AI51">
        <f t="shared" si="8"/>
        <v>50</v>
      </c>
      <c r="AJ51">
        <f t="shared" ref="AJ51:AX51" si="25">AJ39</f>
        <v>0</v>
      </c>
      <c r="AK51">
        <f t="shared" si="25"/>
        <v>0</v>
      </c>
      <c r="AL51">
        <f t="shared" si="25"/>
        <v>0</v>
      </c>
      <c r="AM51">
        <f t="shared" si="25"/>
        <v>0</v>
      </c>
      <c r="AN51">
        <f t="shared" si="25"/>
        <v>1</v>
      </c>
      <c r="AO51">
        <f t="shared" si="25"/>
        <v>0</v>
      </c>
      <c r="AP51">
        <f t="shared" si="25"/>
        <v>0</v>
      </c>
      <c r="AQ51">
        <f t="shared" si="25"/>
        <v>0</v>
      </c>
      <c r="AR51">
        <f t="shared" si="25"/>
        <v>0</v>
      </c>
      <c r="AS51">
        <f t="shared" si="25"/>
        <v>0</v>
      </c>
      <c r="AT51">
        <f t="shared" si="25"/>
        <v>0</v>
      </c>
      <c r="AU51">
        <f t="shared" si="25"/>
        <v>0</v>
      </c>
      <c r="AV51">
        <f t="shared" si="25"/>
        <v>0</v>
      </c>
      <c r="AW51">
        <f t="shared" si="25"/>
        <v>0</v>
      </c>
      <c r="AX51">
        <f t="shared" si="25"/>
        <v>0</v>
      </c>
      <c r="AY51" s="16">
        <v>19</v>
      </c>
      <c r="AZ51">
        <v>28</v>
      </c>
      <c r="BA51">
        <v>1</v>
      </c>
      <c r="BB51">
        <v>2</v>
      </c>
    </row>
    <row r="52" spans="1:54" x14ac:dyDescent="0.2">
      <c r="A52" s="3">
        <f>'Monthly Data-EOP'!A112</f>
        <v>41334</v>
      </c>
      <c r="B52" s="102">
        <f t="shared" si="7"/>
        <v>2013</v>
      </c>
      <c r="C52" s="8">
        <f>'Monthly Data-EOP'!B112+'Monthly Data-FE'!B112+'Monthly Data-PC'!B112</f>
        <v>45408057</v>
      </c>
      <c r="D52" s="8">
        <v>6734.7590687235734</v>
      </c>
      <c r="E52" s="8">
        <v>3032.0241248209136</v>
      </c>
      <c r="F52" s="8">
        <f t="shared" si="1"/>
        <v>3</v>
      </c>
      <c r="G52" s="8">
        <f t="shared" si="2"/>
        <v>624397.09166073345</v>
      </c>
      <c r="H52" s="8">
        <f t="shared" si="3"/>
        <v>46032454.091660731</v>
      </c>
      <c r="I52" s="8">
        <f>'Monthly Data-EOP'!C112+'Monthly Data-FE'!C112+'Monthly Data-PC'!C112</f>
        <v>17227167</v>
      </c>
      <c r="J52" s="8">
        <f>'Monthly Data-EOP'!D112+'Monthly Data-FE'!D112+'Monthly Data-PC'!D112</f>
        <v>25793</v>
      </c>
      <c r="K52" s="8">
        <f>'Monthly Data-EOP'!E112+'Monthly Data-FE'!E112+'Monthly Data-PC'!E112</f>
        <v>5768392</v>
      </c>
      <c r="L52" s="8">
        <f>'Monthly Data-EOP'!F112+'Monthly Data-FE'!F112+'Monthly Data-PC'!F112</f>
        <v>2536</v>
      </c>
      <c r="M52" s="8">
        <f>'Monthly Data-EOP'!G112+'Monthly Data-FE'!G112+'Monthly Data-PC'!G112</f>
        <v>16260282</v>
      </c>
      <c r="N52" s="8">
        <v>399962.91</v>
      </c>
      <c r="O52" s="8">
        <f t="shared" si="4"/>
        <v>15860319.09</v>
      </c>
      <c r="P52" s="8">
        <f>'Monthly Data-EOP'!H112+'Monthly Data-FE'!H112+'Monthly Data-PC'!H112</f>
        <v>60821.865999999987</v>
      </c>
      <c r="Q52" s="8">
        <v>831.76</v>
      </c>
      <c r="R52" s="8">
        <f t="shared" si="5"/>
        <v>59990.105999999985</v>
      </c>
      <c r="S52" s="8">
        <f>'Monthly Data-EOP'!I112+'Monthly Data-FE'!I112+'Monthly Data-PC'!I112</f>
        <v>226</v>
      </c>
      <c r="T52" s="8">
        <f>'Monthly Data-EOP'!J112+'Monthly Data-FE'!J112+'Monthly Data-PC'!J112</f>
        <v>297141</v>
      </c>
      <c r="U52" s="8">
        <f>'Monthly Data-EOP'!K112+'Monthly Data-FE'!K112+'Monthly Data-PC'!K112</f>
        <v>1121.701</v>
      </c>
      <c r="V52" s="8">
        <f>'Monthly Data-EOP'!L112+'Monthly Data-FE'!L112+'Monthly Data-PC'!L112</f>
        <v>5725</v>
      </c>
      <c r="W52" s="8">
        <f>'Monthly Data-EOP'!M112+'Monthly Data-FE'!M112+'Monthly Data-PC'!M112</f>
        <v>49124</v>
      </c>
      <c r="X52" s="8">
        <f>'Monthly Data-EOP'!N112+'Monthly Data-FE'!N112+'Monthly Data-PC'!N112</f>
        <v>163.45099999999999</v>
      </c>
      <c r="Y52" s="8">
        <f>'Monthly Data-EOP'!O112+'Monthly Data-FE'!O112+'Monthly Data-PC'!O112</f>
        <v>745</v>
      </c>
      <c r="Z52" s="8">
        <f>'Monthly Data-EOP'!P112+'Monthly Data-FE'!P112+'Monthly Data-PC'!P112</f>
        <v>114457</v>
      </c>
      <c r="AA52" s="8">
        <f>'Monthly Data-EOP'!Q112+'Monthly Data-FE'!Q112+'Monthly Data-PC'!Q112</f>
        <v>40</v>
      </c>
      <c r="AB52">
        <f>'Weather Data'!S232</f>
        <v>555.40000000000009</v>
      </c>
      <c r="AC52">
        <f>'Weather Data'!T232</f>
        <v>0</v>
      </c>
      <c r="AD52">
        <v>588.30000000000018</v>
      </c>
      <c r="AE52">
        <v>0</v>
      </c>
      <c r="AF52">
        <v>6675.8</v>
      </c>
      <c r="AG52">
        <v>80.599999999999994</v>
      </c>
      <c r="AH52">
        <v>193.3</v>
      </c>
      <c r="AI52">
        <f t="shared" si="8"/>
        <v>51</v>
      </c>
      <c r="AJ52">
        <f t="shared" ref="AJ52:AX52" si="26">AJ40</f>
        <v>1</v>
      </c>
      <c r="AK52">
        <f t="shared" si="26"/>
        <v>0</v>
      </c>
      <c r="AL52">
        <f t="shared" si="26"/>
        <v>1</v>
      </c>
      <c r="AM52">
        <f t="shared" si="26"/>
        <v>0</v>
      </c>
      <c r="AN52">
        <f t="shared" si="26"/>
        <v>0</v>
      </c>
      <c r="AO52">
        <f t="shared" si="26"/>
        <v>1</v>
      </c>
      <c r="AP52">
        <f t="shared" si="26"/>
        <v>0</v>
      </c>
      <c r="AQ52">
        <f t="shared" si="26"/>
        <v>0</v>
      </c>
      <c r="AR52">
        <f t="shared" si="26"/>
        <v>0</v>
      </c>
      <c r="AS52">
        <f t="shared" si="26"/>
        <v>0</v>
      </c>
      <c r="AT52">
        <f t="shared" si="26"/>
        <v>0</v>
      </c>
      <c r="AU52">
        <f t="shared" si="26"/>
        <v>0</v>
      </c>
      <c r="AV52">
        <f t="shared" si="26"/>
        <v>0</v>
      </c>
      <c r="AW52">
        <f t="shared" si="26"/>
        <v>0</v>
      </c>
      <c r="AX52">
        <f t="shared" si="26"/>
        <v>0</v>
      </c>
      <c r="AY52" s="16">
        <v>19</v>
      </c>
      <c r="AZ52">
        <v>31</v>
      </c>
      <c r="BA52">
        <v>1</v>
      </c>
      <c r="BB52">
        <v>3</v>
      </c>
    </row>
    <row r="53" spans="1:54" x14ac:dyDescent="0.2">
      <c r="A53" s="3">
        <f>'Monthly Data-EOP'!A113</f>
        <v>41365</v>
      </c>
      <c r="B53" s="102">
        <f t="shared" si="7"/>
        <v>2013</v>
      </c>
      <c r="C53" s="8">
        <f>'Monthly Data-EOP'!B113+'Monthly Data-FE'!B113+'Monthly Data-PC'!B113</f>
        <v>40508543</v>
      </c>
      <c r="D53" s="8">
        <v>6734.7590687235734</v>
      </c>
      <c r="E53" s="8">
        <v>3032.0241248209136</v>
      </c>
      <c r="F53" s="8">
        <f t="shared" si="1"/>
        <v>4</v>
      </c>
      <c r="G53" s="8">
        <f t="shared" si="2"/>
        <v>645452.81474976765</v>
      </c>
      <c r="H53" s="8">
        <f t="shared" si="3"/>
        <v>41153995.81474977</v>
      </c>
      <c r="I53" s="8">
        <f>'Monthly Data-EOP'!C113+'Monthly Data-FE'!C113+'Monthly Data-PC'!C113</f>
        <v>15460861</v>
      </c>
      <c r="J53" s="8">
        <f>'Monthly Data-EOP'!D113+'Monthly Data-FE'!D113+'Monthly Data-PC'!D113</f>
        <v>25775</v>
      </c>
      <c r="K53" s="8">
        <f>'Monthly Data-EOP'!E113+'Monthly Data-FE'!E113+'Monthly Data-PC'!E113</f>
        <v>5800754</v>
      </c>
      <c r="L53" s="8">
        <f>'Monthly Data-EOP'!F113+'Monthly Data-FE'!F113+'Monthly Data-PC'!F113</f>
        <v>2520</v>
      </c>
      <c r="M53" s="8">
        <f>'Monthly Data-EOP'!G113+'Monthly Data-FE'!G113+'Monthly Data-PC'!G113</f>
        <v>17468426</v>
      </c>
      <c r="N53" s="8">
        <v>337320.2</v>
      </c>
      <c r="O53" s="8">
        <f t="shared" si="4"/>
        <v>17131105.800000001</v>
      </c>
      <c r="P53" s="8">
        <f>'Monthly Data-EOP'!H113+'Monthly Data-FE'!H113+'Monthly Data-PC'!H113</f>
        <v>56208.442000000017</v>
      </c>
      <c r="Q53" s="8">
        <v>700</v>
      </c>
      <c r="R53" s="8">
        <f t="shared" si="5"/>
        <v>55508.442000000017</v>
      </c>
      <c r="S53" s="8">
        <f>'Monthly Data-EOP'!I113+'Monthly Data-FE'!I113+'Monthly Data-PC'!I113</f>
        <v>225</v>
      </c>
      <c r="T53" s="8">
        <f>'Monthly Data-EOP'!J113+'Monthly Data-FE'!J113+'Monthly Data-PC'!J113</f>
        <v>314972</v>
      </c>
      <c r="U53" s="8">
        <f>'Monthly Data-EOP'!K113+'Monthly Data-FE'!K113+'Monthly Data-PC'!K113</f>
        <v>1110.1020000000003</v>
      </c>
      <c r="V53" s="8">
        <f>'Monthly Data-EOP'!L113+'Monthly Data-FE'!L113+'Monthly Data-PC'!L113</f>
        <v>5725</v>
      </c>
      <c r="W53" s="8">
        <f>'Monthly Data-EOP'!M113+'Monthly Data-FE'!M113+'Monthly Data-PC'!M113</f>
        <v>54481</v>
      </c>
      <c r="X53" s="8">
        <f>'Monthly Data-EOP'!N113+'Monthly Data-FE'!N113+'Monthly Data-PC'!N113</f>
        <v>164.95099999999996</v>
      </c>
      <c r="Y53" s="8">
        <f>'Monthly Data-EOP'!O113+'Monthly Data-FE'!O113+'Monthly Data-PC'!O113</f>
        <v>745</v>
      </c>
      <c r="Z53" s="8">
        <f>'Monthly Data-EOP'!P113+'Monthly Data-FE'!P113+'Monthly Data-PC'!P113</f>
        <v>128239</v>
      </c>
      <c r="AA53" s="8">
        <f>'Monthly Data-EOP'!Q113+'Monthly Data-FE'!Q113+'Monthly Data-PC'!Q113</f>
        <v>40</v>
      </c>
      <c r="AB53">
        <f>'Weather Data'!S233</f>
        <v>339.90000000000003</v>
      </c>
      <c r="AC53">
        <f>'Weather Data'!T233</f>
        <v>0</v>
      </c>
      <c r="AD53">
        <v>386.99999999999989</v>
      </c>
      <c r="AE53">
        <v>0</v>
      </c>
      <c r="AF53">
        <v>6703.7</v>
      </c>
      <c r="AG53">
        <v>80.2</v>
      </c>
      <c r="AH53">
        <v>191.8</v>
      </c>
      <c r="AI53">
        <f t="shared" si="8"/>
        <v>52</v>
      </c>
      <c r="AJ53">
        <f t="shared" ref="AJ53:AX53" si="27">AJ41</f>
        <v>1</v>
      </c>
      <c r="AK53">
        <f t="shared" si="27"/>
        <v>0</v>
      </c>
      <c r="AL53">
        <f t="shared" si="27"/>
        <v>1</v>
      </c>
      <c r="AM53">
        <f t="shared" si="27"/>
        <v>0</v>
      </c>
      <c r="AN53">
        <f t="shared" si="27"/>
        <v>0</v>
      </c>
      <c r="AO53">
        <f t="shared" si="27"/>
        <v>0</v>
      </c>
      <c r="AP53">
        <f t="shared" si="27"/>
        <v>1</v>
      </c>
      <c r="AQ53">
        <f t="shared" si="27"/>
        <v>0</v>
      </c>
      <c r="AR53">
        <f t="shared" si="27"/>
        <v>0</v>
      </c>
      <c r="AS53">
        <f t="shared" si="27"/>
        <v>0</v>
      </c>
      <c r="AT53">
        <f t="shared" si="27"/>
        <v>0</v>
      </c>
      <c r="AU53">
        <f t="shared" si="27"/>
        <v>0</v>
      </c>
      <c r="AV53">
        <f t="shared" si="27"/>
        <v>0</v>
      </c>
      <c r="AW53">
        <f t="shared" si="27"/>
        <v>0</v>
      </c>
      <c r="AX53">
        <f t="shared" si="27"/>
        <v>0</v>
      </c>
      <c r="AY53" s="16">
        <v>22</v>
      </c>
      <c r="AZ53">
        <v>30</v>
      </c>
      <c r="BA53">
        <v>1</v>
      </c>
      <c r="BB53">
        <v>4</v>
      </c>
    </row>
    <row r="54" spans="1:54" x14ac:dyDescent="0.2">
      <c r="A54" s="3">
        <f>'Monthly Data-EOP'!A114</f>
        <v>41395</v>
      </c>
      <c r="B54" s="102">
        <f t="shared" si="7"/>
        <v>2013</v>
      </c>
      <c r="C54" s="8">
        <f>'Monthly Data-EOP'!B114+'Monthly Data-FE'!B114+'Monthly Data-PC'!B114</f>
        <v>40367333</v>
      </c>
      <c r="D54" s="8">
        <v>6734.7590687235734</v>
      </c>
      <c r="E54" s="8">
        <v>3032.0241248209136</v>
      </c>
      <c r="F54" s="8">
        <f t="shared" si="1"/>
        <v>5</v>
      </c>
      <c r="G54" s="8">
        <f t="shared" si="2"/>
        <v>666508.53783880163</v>
      </c>
      <c r="H54" s="8">
        <f t="shared" si="3"/>
        <v>41033841.537838802</v>
      </c>
      <c r="I54" s="8">
        <f>'Monthly Data-EOP'!C114+'Monthly Data-FE'!C114+'Monthly Data-PC'!C114</f>
        <v>13442471</v>
      </c>
      <c r="J54" s="8">
        <f>'Monthly Data-EOP'!D114+'Monthly Data-FE'!D114+'Monthly Data-PC'!D114</f>
        <v>25768</v>
      </c>
      <c r="K54" s="8">
        <f>'Monthly Data-EOP'!E114+'Monthly Data-FE'!E114+'Monthly Data-PC'!E114</f>
        <v>5160908</v>
      </c>
      <c r="L54" s="8">
        <f>'Monthly Data-EOP'!F114+'Monthly Data-FE'!F114+'Monthly Data-PC'!F114</f>
        <v>2520</v>
      </c>
      <c r="M54" s="8">
        <f>'Monthly Data-EOP'!G114+'Monthly Data-FE'!G114+'Monthly Data-PC'!G114</f>
        <v>19562869</v>
      </c>
      <c r="N54" s="8">
        <v>324802.8</v>
      </c>
      <c r="O54" s="8">
        <f t="shared" si="4"/>
        <v>19238066.199999999</v>
      </c>
      <c r="P54" s="8">
        <f>'Monthly Data-EOP'!H114+'Monthly Data-FE'!H114+'Monthly Data-PC'!H114</f>
        <v>58324.415999999983</v>
      </c>
      <c r="Q54" s="8">
        <v>868</v>
      </c>
      <c r="R54" s="8">
        <f t="shared" si="5"/>
        <v>57456.415999999983</v>
      </c>
      <c r="S54" s="8">
        <f>'Monthly Data-EOP'!I114+'Monthly Data-FE'!I114+'Monthly Data-PC'!I114</f>
        <v>224</v>
      </c>
      <c r="T54" s="8">
        <f>'Monthly Data-EOP'!J114+'Monthly Data-FE'!J114+'Monthly Data-PC'!J114</f>
        <v>297522</v>
      </c>
      <c r="U54" s="8">
        <f>'Monthly Data-EOP'!K114+'Monthly Data-FE'!K114+'Monthly Data-PC'!K114</f>
        <v>1102.8359999999998</v>
      </c>
      <c r="V54" s="8">
        <f>'Monthly Data-EOP'!L114+'Monthly Data-FE'!L114+'Monthly Data-PC'!L114</f>
        <v>5725</v>
      </c>
      <c r="W54" s="8">
        <f>'Monthly Data-EOP'!M114+'Monthly Data-FE'!M114+'Monthly Data-PC'!M114</f>
        <v>58810</v>
      </c>
      <c r="X54" s="8">
        <f>'Monthly Data-EOP'!N114+'Monthly Data-FE'!N114+'Monthly Data-PC'!N114</f>
        <v>180.12599999999998</v>
      </c>
      <c r="Y54" s="8">
        <f>'Monthly Data-EOP'!O114+'Monthly Data-FE'!O114+'Monthly Data-PC'!O114</f>
        <v>780</v>
      </c>
      <c r="Z54" s="8">
        <f>'Monthly Data-EOP'!P114+'Monthly Data-FE'!P114+'Monthly Data-PC'!P114</f>
        <v>126890</v>
      </c>
      <c r="AA54" s="8">
        <f>'Monthly Data-EOP'!Q114+'Monthly Data-FE'!Q114+'Monthly Data-PC'!Q114</f>
        <v>40</v>
      </c>
      <c r="AB54">
        <f>'Weather Data'!S234</f>
        <v>116.5</v>
      </c>
      <c r="AC54">
        <f>'Weather Data'!T234</f>
        <v>24.200000000000003</v>
      </c>
      <c r="AD54">
        <v>139.70000000000002</v>
      </c>
      <c r="AE54">
        <v>6.3</v>
      </c>
      <c r="AF54">
        <v>6770.3</v>
      </c>
      <c r="AG54">
        <v>80.599999999999994</v>
      </c>
      <c r="AH54">
        <v>195.4</v>
      </c>
      <c r="AI54">
        <f t="shared" si="8"/>
        <v>53</v>
      </c>
      <c r="AJ54">
        <f t="shared" ref="AJ54:AX54" si="28">AJ42</f>
        <v>1</v>
      </c>
      <c r="AK54">
        <f t="shared" si="28"/>
        <v>0</v>
      </c>
      <c r="AL54">
        <f t="shared" si="28"/>
        <v>1</v>
      </c>
      <c r="AM54">
        <f t="shared" si="28"/>
        <v>0</v>
      </c>
      <c r="AN54">
        <f t="shared" si="28"/>
        <v>0</v>
      </c>
      <c r="AO54">
        <f t="shared" si="28"/>
        <v>0</v>
      </c>
      <c r="AP54">
        <f t="shared" si="28"/>
        <v>0</v>
      </c>
      <c r="AQ54">
        <f t="shared" si="28"/>
        <v>1</v>
      </c>
      <c r="AR54">
        <f t="shared" si="28"/>
        <v>0</v>
      </c>
      <c r="AS54">
        <f t="shared" si="28"/>
        <v>0</v>
      </c>
      <c r="AT54">
        <f t="shared" si="28"/>
        <v>0</v>
      </c>
      <c r="AU54">
        <f t="shared" si="28"/>
        <v>0</v>
      </c>
      <c r="AV54">
        <f t="shared" si="28"/>
        <v>0</v>
      </c>
      <c r="AW54">
        <f t="shared" si="28"/>
        <v>0</v>
      </c>
      <c r="AX54">
        <f t="shared" si="28"/>
        <v>0</v>
      </c>
      <c r="AY54" s="16">
        <v>22</v>
      </c>
      <c r="AZ54">
        <v>31</v>
      </c>
      <c r="BA54">
        <v>1</v>
      </c>
      <c r="BB54">
        <v>5</v>
      </c>
    </row>
    <row r="55" spans="1:54" x14ac:dyDescent="0.2">
      <c r="A55" s="3">
        <f>'Monthly Data-EOP'!A115</f>
        <v>41426</v>
      </c>
      <c r="B55" s="102">
        <f t="shared" si="7"/>
        <v>2013</v>
      </c>
      <c r="C55" s="8">
        <f>'Monthly Data-EOP'!B115+'Monthly Data-FE'!B115+'Monthly Data-PC'!B115</f>
        <v>41861470</v>
      </c>
      <c r="D55" s="8">
        <v>6734.7590687235734</v>
      </c>
      <c r="E55" s="8">
        <v>3032.0241248209136</v>
      </c>
      <c r="F55" s="8">
        <f t="shared" si="1"/>
        <v>6</v>
      </c>
      <c r="G55" s="8">
        <f t="shared" si="2"/>
        <v>687564.26092783595</v>
      </c>
      <c r="H55" s="8">
        <f t="shared" si="3"/>
        <v>42549034.260927834</v>
      </c>
      <c r="I55" s="8">
        <f>'Monthly Data-EOP'!C115+'Monthly Data-FE'!C115+'Monthly Data-PC'!C115</f>
        <v>13019333</v>
      </c>
      <c r="J55" s="8">
        <f>'Monthly Data-EOP'!D115+'Monthly Data-FE'!D115+'Monthly Data-PC'!D115</f>
        <v>25766</v>
      </c>
      <c r="K55" s="8">
        <f>'Monthly Data-EOP'!E115+'Monthly Data-FE'!E115+'Monthly Data-PC'!E115</f>
        <v>5073785</v>
      </c>
      <c r="L55" s="8">
        <f>'Monthly Data-EOP'!F115+'Monthly Data-FE'!F115+'Monthly Data-PC'!F115</f>
        <v>2525</v>
      </c>
      <c r="M55" s="8">
        <f>'Monthly Data-EOP'!G115+'Monthly Data-FE'!G115+'Monthly Data-PC'!G115</f>
        <v>20064416</v>
      </c>
      <c r="N55" s="8">
        <v>379815.8</v>
      </c>
      <c r="O55" s="8">
        <f t="shared" si="4"/>
        <v>19684600.199999999</v>
      </c>
      <c r="P55" s="8">
        <f>'Monthly Data-EOP'!H115+'Monthly Data-FE'!H115+'Monthly Data-PC'!H115</f>
        <v>57679.609000000004</v>
      </c>
      <c r="Q55" s="8">
        <v>996.8</v>
      </c>
      <c r="R55" s="8">
        <f t="shared" si="5"/>
        <v>56682.809000000001</v>
      </c>
      <c r="S55" s="8">
        <f>'Monthly Data-EOP'!I115+'Monthly Data-FE'!I115+'Monthly Data-PC'!I115</f>
        <v>223</v>
      </c>
      <c r="T55" s="8">
        <f>'Monthly Data-EOP'!J115+'Monthly Data-FE'!J115+'Monthly Data-PC'!J115</f>
        <v>252912</v>
      </c>
      <c r="U55" s="8">
        <f>'Monthly Data-EOP'!K115+'Monthly Data-FE'!K115+'Monthly Data-PC'!K115</f>
        <v>1102.8359999999998</v>
      </c>
      <c r="V55" s="8">
        <f>'Monthly Data-EOP'!L115+'Monthly Data-FE'!L115+'Monthly Data-PC'!L115</f>
        <v>5722</v>
      </c>
      <c r="W55" s="8">
        <f>'Monthly Data-EOP'!M115+'Monthly Data-FE'!M115+'Monthly Data-PC'!M115</f>
        <v>60482</v>
      </c>
      <c r="X55" s="8">
        <f>'Monthly Data-EOP'!N115+'Monthly Data-FE'!N115+'Monthly Data-PC'!N115</f>
        <v>180.00099999999998</v>
      </c>
      <c r="Y55" s="8">
        <f>'Monthly Data-EOP'!O115+'Monthly Data-FE'!O115+'Monthly Data-PC'!O115</f>
        <v>780</v>
      </c>
      <c r="Z55" s="8">
        <f>'Monthly Data-EOP'!P115+'Monthly Data-FE'!P115+'Monthly Data-PC'!P115</f>
        <v>126487</v>
      </c>
      <c r="AA55" s="8">
        <f>'Monthly Data-EOP'!Q115+'Monthly Data-FE'!Q115+'Monthly Data-PC'!Q115</f>
        <v>41</v>
      </c>
      <c r="AB55">
        <f>'Weather Data'!S235</f>
        <v>42.8</v>
      </c>
      <c r="AC55">
        <f>'Weather Data'!T235</f>
        <v>48.5</v>
      </c>
      <c r="AD55">
        <v>72.200000000000017</v>
      </c>
      <c r="AE55">
        <v>30.800000000000004</v>
      </c>
      <c r="AF55">
        <v>6861.8</v>
      </c>
      <c r="AG55">
        <v>81.7</v>
      </c>
      <c r="AH55">
        <v>196.8</v>
      </c>
      <c r="AI55">
        <f t="shared" si="8"/>
        <v>54</v>
      </c>
      <c r="AJ55">
        <f t="shared" ref="AJ55:AX55" si="29">AJ43</f>
        <v>0</v>
      </c>
      <c r="AK55">
        <f t="shared" si="29"/>
        <v>0</v>
      </c>
      <c r="AL55">
        <f t="shared" si="29"/>
        <v>0</v>
      </c>
      <c r="AM55">
        <f t="shared" si="29"/>
        <v>0</v>
      </c>
      <c r="AN55">
        <f t="shared" si="29"/>
        <v>0</v>
      </c>
      <c r="AO55">
        <f t="shared" si="29"/>
        <v>0</v>
      </c>
      <c r="AP55">
        <f t="shared" si="29"/>
        <v>0</v>
      </c>
      <c r="AQ55">
        <f t="shared" si="29"/>
        <v>0</v>
      </c>
      <c r="AR55">
        <f t="shared" si="29"/>
        <v>1</v>
      </c>
      <c r="AS55">
        <f t="shared" si="29"/>
        <v>0</v>
      </c>
      <c r="AT55">
        <f t="shared" si="29"/>
        <v>0</v>
      </c>
      <c r="AU55">
        <f t="shared" si="29"/>
        <v>0</v>
      </c>
      <c r="AV55">
        <f t="shared" si="29"/>
        <v>0</v>
      </c>
      <c r="AW55">
        <f t="shared" si="29"/>
        <v>0</v>
      </c>
      <c r="AX55">
        <f t="shared" si="29"/>
        <v>0</v>
      </c>
      <c r="AY55" s="16">
        <v>20</v>
      </c>
      <c r="AZ55">
        <v>30</v>
      </c>
      <c r="BA55">
        <v>1</v>
      </c>
      <c r="BB55">
        <v>6</v>
      </c>
    </row>
    <row r="56" spans="1:54" x14ac:dyDescent="0.2">
      <c r="A56" s="3">
        <f>'Monthly Data-EOP'!A116</f>
        <v>41456</v>
      </c>
      <c r="B56" s="102">
        <f t="shared" si="7"/>
        <v>2013</v>
      </c>
      <c r="C56" s="8">
        <f>'Monthly Data-EOP'!B116+'Monthly Data-FE'!B116+'Monthly Data-PC'!B116</f>
        <v>51710808</v>
      </c>
      <c r="D56" s="8">
        <v>6734.7590687235734</v>
      </c>
      <c r="E56" s="8">
        <v>3032.0241248209136</v>
      </c>
      <c r="F56" s="8">
        <f t="shared" si="1"/>
        <v>7</v>
      </c>
      <c r="G56" s="8">
        <f t="shared" si="2"/>
        <v>708619.98401686992</v>
      </c>
      <c r="H56" s="8">
        <f t="shared" si="3"/>
        <v>52419427.984016873</v>
      </c>
      <c r="I56" s="8">
        <f>'Monthly Data-EOP'!C116+'Monthly Data-FE'!C116+'Monthly Data-PC'!C116</f>
        <v>20707392</v>
      </c>
      <c r="J56" s="8">
        <f>'Monthly Data-EOP'!D116+'Monthly Data-FE'!D116+'Monthly Data-PC'!D116</f>
        <v>25804</v>
      </c>
      <c r="K56" s="8">
        <f>'Monthly Data-EOP'!E116+'Monthly Data-FE'!E116+'Monthly Data-PC'!E116</f>
        <v>6815789</v>
      </c>
      <c r="L56" s="8">
        <f>'Monthly Data-EOP'!F116+'Monthly Data-FE'!F116+'Monthly Data-PC'!F116</f>
        <v>2522</v>
      </c>
      <c r="M56" s="8">
        <f>'Monthly Data-EOP'!G116+'Monthly Data-FE'!G116+'Monthly Data-PC'!G116</f>
        <v>20154356</v>
      </c>
      <c r="N56" s="8">
        <v>499651.6</v>
      </c>
      <c r="O56" s="8">
        <f t="shared" si="4"/>
        <v>19654704.399999999</v>
      </c>
      <c r="P56" s="8">
        <f>'Monthly Data-EOP'!H116+'Monthly Data-FE'!H116+'Monthly Data-PC'!H116</f>
        <v>62338.834999999992</v>
      </c>
      <c r="Q56" s="8">
        <v>1377.6</v>
      </c>
      <c r="R56" s="8">
        <f t="shared" si="5"/>
        <v>60961.234999999993</v>
      </c>
      <c r="S56" s="8">
        <f>'Monthly Data-EOP'!I116+'Monthly Data-FE'!I116+'Monthly Data-PC'!I116</f>
        <v>223</v>
      </c>
      <c r="T56" s="8">
        <f>'Monthly Data-EOP'!J116+'Monthly Data-FE'!J116+'Monthly Data-PC'!J116</f>
        <v>318099</v>
      </c>
      <c r="U56" s="8">
        <f>'Monthly Data-EOP'!K116+'Monthly Data-FE'!K116+'Monthly Data-PC'!K116</f>
        <v>1123.8690000000001</v>
      </c>
      <c r="V56" s="8">
        <f>'Monthly Data-EOP'!L116+'Monthly Data-FE'!L116+'Monthly Data-PC'!L116</f>
        <v>5722</v>
      </c>
      <c r="W56" s="8">
        <f>'Monthly Data-EOP'!M116+'Monthly Data-FE'!M116+'Monthly Data-PC'!M116</f>
        <v>60870</v>
      </c>
      <c r="X56" s="8">
        <f>'Monthly Data-EOP'!N116+'Monthly Data-FE'!N116+'Monthly Data-PC'!N116</f>
        <v>181.57600000000002</v>
      </c>
      <c r="Y56" s="8">
        <f>'Monthly Data-EOP'!O116+'Monthly Data-FE'!O116+'Monthly Data-PC'!O116</f>
        <v>780</v>
      </c>
      <c r="Z56" s="8">
        <f>'Monthly Data-EOP'!P116+'Monthly Data-FE'!P116+'Monthly Data-PC'!P116</f>
        <v>135157</v>
      </c>
      <c r="AA56" s="8">
        <f>'Monthly Data-EOP'!Q116+'Monthly Data-FE'!Q116+'Monthly Data-PC'!Q116</f>
        <v>40</v>
      </c>
      <c r="AB56">
        <f>'Weather Data'!S236</f>
        <v>5.5</v>
      </c>
      <c r="AC56">
        <f>'Weather Data'!T236</f>
        <v>117.00000000000001</v>
      </c>
      <c r="AD56">
        <v>4.8</v>
      </c>
      <c r="AE56">
        <v>97.09999999999998</v>
      </c>
      <c r="AF56">
        <v>6917.1</v>
      </c>
      <c r="AG56">
        <v>82.5</v>
      </c>
      <c r="AH56">
        <v>197.6</v>
      </c>
      <c r="AI56">
        <f t="shared" si="8"/>
        <v>55</v>
      </c>
      <c r="AJ56">
        <f t="shared" ref="AJ56:AX56" si="30">AJ44</f>
        <v>0</v>
      </c>
      <c r="AK56">
        <f t="shared" si="30"/>
        <v>0</v>
      </c>
      <c r="AL56">
        <f t="shared" si="30"/>
        <v>0</v>
      </c>
      <c r="AM56">
        <f t="shared" si="30"/>
        <v>0</v>
      </c>
      <c r="AN56">
        <f t="shared" si="30"/>
        <v>0</v>
      </c>
      <c r="AO56">
        <f t="shared" si="30"/>
        <v>0</v>
      </c>
      <c r="AP56">
        <f t="shared" si="30"/>
        <v>0</v>
      </c>
      <c r="AQ56">
        <f t="shared" si="30"/>
        <v>0</v>
      </c>
      <c r="AR56">
        <f t="shared" si="30"/>
        <v>0</v>
      </c>
      <c r="AS56">
        <f t="shared" si="30"/>
        <v>1</v>
      </c>
      <c r="AT56">
        <f t="shared" si="30"/>
        <v>0</v>
      </c>
      <c r="AU56">
        <f t="shared" si="30"/>
        <v>0</v>
      </c>
      <c r="AV56">
        <f t="shared" si="30"/>
        <v>0</v>
      </c>
      <c r="AW56">
        <f t="shared" si="30"/>
        <v>0</v>
      </c>
      <c r="AX56">
        <f t="shared" si="30"/>
        <v>0</v>
      </c>
      <c r="AY56" s="16">
        <v>22</v>
      </c>
      <c r="AZ56">
        <v>31</v>
      </c>
      <c r="BA56">
        <v>1</v>
      </c>
      <c r="BB56">
        <v>7</v>
      </c>
    </row>
    <row r="57" spans="1:54" x14ac:dyDescent="0.2">
      <c r="A57" s="3">
        <f>'Monthly Data-EOP'!A117</f>
        <v>41487</v>
      </c>
      <c r="B57" s="102">
        <f t="shared" si="7"/>
        <v>2013</v>
      </c>
      <c r="C57" s="8">
        <f>'Monthly Data-EOP'!B117+'Monthly Data-FE'!B117+'Monthly Data-PC'!B117</f>
        <v>47450772</v>
      </c>
      <c r="D57" s="8">
        <v>6734.7590687235734</v>
      </c>
      <c r="E57" s="8">
        <v>3032.0241248209136</v>
      </c>
      <c r="F57" s="8">
        <f t="shared" si="1"/>
        <v>8</v>
      </c>
      <c r="G57" s="8">
        <f t="shared" si="2"/>
        <v>729675.707105904</v>
      </c>
      <c r="H57" s="8">
        <f t="shared" si="3"/>
        <v>48180447.707105905</v>
      </c>
      <c r="I57" s="8">
        <f>'Monthly Data-EOP'!C117+'Monthly Data-FE'!C117+'Monthly Data-PC'!C117</f>
        <v>21532173</v>
      </c>
      <c r="J57" s="8">
        <f>'Monthly Data-EOP'!D117+'Monthly Data-FE'!D117+'Monthly Data-PC'!D117</f>
        <v>25789</v>
      </c>
      <c r="K57" s="8">
        <f>'Monthly Data-EOP'!E117+'Monthly Data-FE'!E117+'Monthly Data-PC'!E117</f>
        <v>5744821</v>
      </c>
      <c r="L57" s="8">
        <f>'Monthly Data-EOP'!F117+'Monthly Data-FE'!F117+'Monthly Data-PC'!F117</f>
        <v>2520</v>
      </c>
      <c r="M57" s="8">
        <f>'Monthly Data-EOP'!G117+'Monthly Data-FE'!G117+'Monthly Data-PC'!G117</f>
        <v>16231934</v>
      </c>
      <c r="N57" s="8">
        <v>429021.6</v>
      </c>
      <c r="O57" s="8">
        <f t="shared" si="4"/>
        <v>15802912.4</v>
      </c>
      <c r="P57" s="8">
        <f>'Monthly Data-EOP'!H117+'Monthly Data-FE'!H117+'Monthly Data-PC'!H117</f>
        <v>59360.020000000004</v>
      </c>
      <c r="Q57" s="8">
        <v>1226.4000000000001</v>
      </c>
      <c r="R57" s="8">
        <f t="shared" si="5"/>
        <v>58133.62</v>
      </c>
      <c r="S57" s="8">
        <f>'Monthly Data-EOP'!I117+'Monthly Data-FE'!I117+'Monthly Data-PC'!I117</f>
        <v>223</v>
      </c>
      <c r="T57" s="8">
        <f>'Monthly Data-EOP'!J117+'Monthly Data-FE'!J117+'Monthly Data-PC'!J117</f>
        <v>206819</v>
      </c>
      <c r="U57" s="8">
        <f>'Monthly Data-EOP'!K117+'Monthly Data-FE'!K117+'Monthly Data-PC'!K117</f>
        <v>1108.097</v>
      </c>
      <c r="V57" s="8">
        <f>'Monthly Data-EOP'!L117+'Monthly Data-FE'!L117+'Monthly Data-PC'!L117</f>
        <v>5722</v>
      </c>
      <c r="W57" s="8">
        <f>'Monthly Data-EOP'!M117+'Monthly Data-FE'!M117+'Monthly Data-PC'!M117</f>
        <v>58586</v>
      </c>
      <c r="X57" s="8">
        <f>'Monthly Data-EOP'!N117+'Monthly Data-FE'!N117+'Monthly Data-PC'!N117</f>
        <v>180.65099999999995</v>
      </c>
      <c r="Y57" s="8">
        <f>'Monthly Data-EOP'!O117+'Monthly Data-FE'!O117+'Monthly Data-PC'!O117</f>
        <v>780</v>
      </c>
      <c r="Z57" s="8">
        <f>'Monthly Data-EOP'!P117+'Monthly Data-FE'!P117+'Monthly Data-PC'!P117</f>
        <v>114145</v>
      </c>
      <c r="AA57" s="8">
        <f>'Monthly Data-EOP'!Q117+'Monthly Data-FE'!Q117+'Monthly Data-PC'!Q117</f>
        <v>40</v>
      </c>
      <c r="AB57">
        <f>'Weather Data'!S237</f>
        <v>15</v>
      </c>
      <c r="AC57">
        <f>'Weather Data'!T237</f>
        <v>56.7</v>
      </c>
      <c r="AD57">
        <v>7.7</v>
      </c>
      <c r="AE57">
        <v>59.999999999999993</v>
      </c>
      <c r="AF57">
        <v>6934.7</v>
      </c>
      <c r="AG57">
        <v>83.4</v>
      </c>
      <c r="AH57">
        <v>194.9</v>
      </c>
      <c r="AI57">
        <f t="shared" si="8"/>
        <v>56</v>
      </c>
      <c r="AJ57">
        <f t="shared" ref="AJ57:AX57" si="31">AJ45</f>
        <v>0</v>
      </c>
      <c r="AK57">
        <f t="shared" si="31"/>
        <v>0</v>
      </c>
      <c r="AL57">
        <f t="shared" si="31"/>
        <v>0</v>
      </c>
      <c r="AM57">
        <f t="shared" si="31"/>
        <v>0</v>
      </c>
      <c r="AN57">
        <f t="shared" si="31"/>
        <v>0</v>
      </c>
      <c r="AO57">
        <f t="shared" si="31"/>
        <v>0</v>
      </c>
      <c r="AP57">
        <f t="shared" si="31"/>
        <v>0</v>
      </c>
      <c r="AQ57">
        <f t="shared" si="31"/>
        <v>0</v>
      </c>
      <c r="AR57">
        <f t="shared" si="31"/>
        <v>0</v>
      </c>
      <c r="AS57">
        <f t="shared" si="31"/>
        <v>0</v>
      </c>
      <c r="AT57">
        <f t="shared" si="31"/>
        <v>1</v>
      </c>
      <c r="AU57">
        <f t="shared" si="31"/>
        <v>0</v>
      </c>
      <c r="AV57">
        <f t="shared" si="31"/>
        <v>0</v>
      </c>
      <c r="AW57">
        <f t="shared" si="31"/>
        <v>0</v>
      </c>
      <c r="AX57">
        <f t="shared" si="31"/>
        <v>0</v>
      </c>
      <c r="AY57" s="16">
        <v>21</v>
      </c>
      <c r="AZ57">
        <v>31</v>
      </c>
      <c r="BA57">
        <v>1</v>
      </c>
      <c r="BB57">
        <v>8</v>
      </c>
    </row>
    <row r="58" spans="1:54" x14ac:dyDescent="0.2">
      <c r="A58" s="3">
        <f>'Monthly Data-EOP'!A118</f>
        <v>41518</v>
      </c>
      <c r="B58" s="102">
        <f t="shared" si="7"/>
        <v>2013</v>
      </c>
      <c r="C58" s="8">
        <f>'Monthly Data-EOP'!B118+'Monthly Data-FE'!B118+'Monthly Data-PC'!B118</f>
        <v>40219618</v>
      </c>
      <c r="D58" s="8">
        <v>6734.7590687235734</v>
      </c>
      <c r="E58" s="8">
        <v>3032.0241248209136</v>
      </c>
      <c r="F58" s="8">
        <f t="shared" si="1"/>
        <v>9</v>
      </c>
      <c r="G58" s="8">
        <f t="shared" si="2"/>
        <v>750731.43019493821</v>
      </c>
      <c r="H58" s="8">
        <f t="shared" si="3"/>
        <v>40970349.430194937</v>
      </c>
      <c r="I58" s="8">
        <f>'Monthly Data-EOP'!C118+'Monthly Data-FE'!C118+'Monthly Data-PC'!C118</f>
        <v>14698844</v>
      </c>
      <c r="J58" s="8">
        <f>'Monthly Data-EOP'!D118+'Monthly Data-FE'!D118+'Monthly Data-PC'!D118</f>
        <v>25818</v>
      </c>
      <c r="K58" s="8">
        <f>'Monthly Data-EOP'!E118+'Monthly Data-FE'!E118+'Monthly Data-PC'!E118</f>
        <v>5330692</v>
      </c>
      <c r="L58" s="8">
        <f>'Monthly Data-EOP'!F118+'Monthly Data-FE'!F118+'Monthly Data-PC'!F118</f>
        <v>2518</v>
      </c>
      <c r="M58" s="8">
        <f>'Monthly Data-EOP'!G118+'Monthly Data-FE'!G118+'Monthly Data-PC'!G118</f>
        <v>18345220</v>
      </c>
      <c r="N58" s="8">
        <v>368629.8</v>
      </c>
      <c r="O58" s="8">
        <f t="shared" si="4"/>
        <v>17976590.199999999</v>
      </c>
      <c r="P58" s="8">
        <f>'Monthly Data-EOP'!H118+'Monthly Data-FE'!H118+'Monthly Data-PC'!H118</f>
        <v>58642.080000000002</v>
      </c>
      <c r="Q58" s="8">
        <v>1215.2</v>
      </c>
      <c r="R58" s="8">
        <f t="shared" si="5"/>
        <v>57426.880000000005</v>
      </c>
      <c r="S58" s="8">
        <f>'Monthly Data-EOP'!I118+'Monthly Data-FE'!I118+'Monthly Data-PC'!I118</f>
        <v>224</v>
      </c>
      <c r="T58" s="8">
        <f>'Monthly Data-EOP'!J118+'Monthly Data-FE'!J118+'Monthly Data-PC'!J118</f>
        <v>330953</v>
      </c>
      <c r="U58" s="8">
        <f>'Monthly Data-EOP'!K118+'Monthly Data-FE'!K118+'Monthly Data-PC'!K118</f>
        <v>1108.0969999999998</v>
      </c>
      <c r="V58" s="8">
        <f>'Monthly Data-EOP'!L118+'Monthly Data-FE'!L118+'Monthly Data-PC'!L118</f>
        <v>5722</v>
      </c>
      <c r="W58" s="8">
        <f>'Monthly Data-EOP'!M118+'Monthly Data-FE'!M118+'Monthly Data-PC'!M118</f>
        <v>59616</v>
      </c>
      <c r="X58" s="8">
        <f>'Monthly Data-EOP'!N118+'Monthly Data-FE'!N118+'Monthly Data-PC'!N118</f>
        <v>180.02600000000007</v>
      </c>
      <c r="Y58" s="8">
        <f>'Monthly Data-EOP'!O118+'Monthly Data-FE'!O118+'Monthly Data-PC'!O118</f>
        <v>780</v>
      </c>
      <c r="Z58" s="8">
        <f>'Monthly Data-EOP'!P118+'Monthly Data-FE'!P118+'Monthly Data-PC'!P118</f>
        <v>122861</v>
      </c>
      <c r="AA58" s="8">
        <f>'Monthly Data-EOP'!Q118+'Monthly Data-FE'!Q118+'Monthly Data-PC'!Q118</f>
        <v>40</v>
      </c>
      <c r="AB58">
        <f>'Weather Data'!S238</f>
        <v>110.40000000000002</v>
      </c>
      <c r="AC58">
        <f>'Weather Data'!T238</f>
        <v>22.9</v>
      </c>
      <c r="AD58">
        <v>118.4</v>
      </c>
      <c r="AE58">
        <v>16.5</v>
      </c>
      <c r="AF58">
        <v>6906.9</v>
      </c>
      <c r="AG58">
        <v>84.1</v>
      </c>
      <c r="AH58">
        <v>192</v>
      </c>
      <c r="AI58">
        <f t="shared" si="8"/>
        <v>57</v>
      </c>
      <c r="AJ58">
        <f t="shared" ref="AJ58:AX58" si="32">AJ46</f>
        <v>0</v>
      </c>
      <c r="AK58">
        <f t="shared" si="32"/>
        <v>1</v>
      </c>
      <c r="AL58">
        <f t="shared" si="32"/>
        <v>1</v>
      </c>
      <c r="AM58">
        <f t="shared" si="32"/>
        <v>0</v>
      </c>
      <c r="AN58">
        <f t="shared" si="32"/>
        <v>0</v>
      </c>
      <c r="AO58">
        <f t="shared" si="32"/>
        <v>0</v>
      </c>
      <c r="AP58">
        <f t="shared" si="32"/>
        <v>0</v>
      </c>
      <c r="AQ58">
        <f t="shared" si="32"/>
        <v>0</v>
      </c>
      <c r="AR58">
        <f t="shared" si="32"/>
        <v>0</v>
      </c>
      <c r="AS58">
        <f t="shared" si="32"/>
        <v>0</v>
      </c>
      <c r="AT58">
        <f t="shared" si="32"/>
        <v>0</v>
      </c>
      <c r="AU58">
        <f t="shared" si="32"/>
        <v>1</v>
      </c>
      <c r="AV58">
        <f t="shared" si="32"/>
        <v>0</v>
      </c>
      <c r="AW58">
        <f t="shared" si="32"/>
        <v>0</v>
      </c>
      <c r="AX58">
        <f t="shared" si="32"/>
        <v>0</v>
      </c>
      <c r="AY58" s="16">
        <v>20</v>
      </c>
      <c r="AZ58">
        <v>30</v>
      </c>
      <c r="BA58">
        <v>1</v>
      </c>
      <c r="BB58">
        <v>9</v>
      </c>
    </row>
    <row r="59" spans="1:54" x14ac:dyDescent="0.2">
      <c r="A59" s="3">
        <f>'Monthly Data-EOP'!A119</f>
        <v>41548</v>
      </c>
      <c r="B59" s="102">
        <f t="shared" si="7"/>
        <v>2013</v>
      </c>
      <c r="C59" s="8">
        <f>'Monthly Data-EOP'!B119+'Monthly Data-FE'!B119+'Monthly Data-PC'!B119</f>
        <v>40606721</v>
      </c>
      <c r="D59" s="8">
        <v>6734.7590687235734</v>
      </c>
      <c r="E59" s="8">
        <v>3032.0241248209136</v>
      </c>
      <c r="F59" s="8">
        <f t="shared" si="1"/>
        <v>10</v>
      </c>
      <c r="G59" s="8">
        <f t="shared" si="2"/>
        <v>771787.15328397229</v>
      </c>
      <c r="H59" s="8">
        <f t="shared" si="3"/>
        <v>41378508.153283969</v>
      </c>
      <c r="I59" s="8">
        <f>'Monthly Data-EOP'!C119+'Monthly Data-FE'!C119+'Monthly Data-PC'!C119</f>
        <v>13770974</v>
      </c>
      <c r="J59" s="8">
        <f>'Monthly Data-EOP'!D119+'Monthly Data-FE'!D119+'Monthly Data-PC'!D119</f>
        <v>25815</v>
      </c>
      <c r="K59" s="8">
        <f>'Monthly Data-EOP'!E119+'Monthly Data-FE'!E119+'Monthly Data-PC'!E119</f>
        <v>5109685</v>
      </c>
      <c r="L59" s="8">
        <f>'Monthly Data-EOP'!F119+'Monthly Data-FE'!F119+'Monthly Data-PC'!F119</f>
        <v>2516</v>
      </c>
      <c r="M59" s="8">
        <f>'Monthly Data-EOP'!G119+'Monthly Data-FE'!G119+'Monthly Data-PC'!G119</f>
        <v>19938631</v>
      </c>
      <c r="N59" s="8">
        <v>387297.4</v>
      </c>
      <c r="O59" s="8">
        <f t="shared" si="4"/>
        <v>19551333.600000001</v>
      </c>
      <c r="P59" s="8">
        <f>'Monthly Data-EOP'!H119+'Monthly Data-FE'!H119+'Monthly Data-PC'!H119</f>
        <v>61612.471000000027</v>
      </c>
      <c r="Q59" s="8">
        <v>1052.8</v>
      </c>
      <c r="R59" s="8">
        <f t="shared" si="5"/>
        <v>60559.671000000024</v>
      </c>
      <c r="S59" s="8">
        <f>'Monthly Data-EOP'!I119+'Monthly Data-FE'!I119+'Monthly Data-PC'!I119</f>
        <v>229</v>
      </c>
      <c r="T59" s="8">
        <f>'Monthly Data-EOP'!J119+'Monthly Data-FE'!J119+'Monthly Data-PC'!J119</f>
        <v>450239</v>
      </c>
      <c r="U59" s="8">
        <f>'Monthly Data-EOP'!K119+'Monthly Data-FE'!K119+'Monthly Data-PC'!K119</f>
        <v>1108.097</v>
      </c>
      <c r="V59" s="8">
        <f>'Monthly Data-EOP'!L119+'Monthly Data-FE'!L119+'Monthly Data-PC'!L119</f>
        <v>5722</v>
      </c>
      <c r="W59" s="8">
        <f>'Monthly Data-EOP'!M119+'Monthly Data-FE'!M119+'Monthly Data-PC'!M119</f>
        <v>58657</v>
      </c>
      <c r="X59" s="8">
        <f>'Monthly Data-EOP'!N119+'Monthly Data-FE'!N119+'Monthly Data-PC'!N119</f>
        <v>178.72599999999989</v>
      </c>
      <c r="Y59" s="8">
        <f>'Monthly Data-EOP'!O119+'Monthly Data-FE'!O119+'Monthly Data-PC'!O119</f>
        <v>780</v>
      </c>
      <c r="Z59" s="8">
        <f>'Monthly Data-EOP'!P119+'Monthly Data-FE'!P119+'Monthly Data-PC'!P119</f>
        <v>136057</v>
      </c>
      <c r="AA59" s="8">
        <f>'Monthly Data-EOP'!Q119+'Monthly Data-FE'!Q119+'Monthly Data-PC'!Q119</f>
        <v>40</v>
      </c>
      <c r="AB59">
        <f>'Weather Data'!S239</f>
        <v>209.2</v>
      </c>
      <c r="AC59">
        <f>'Weather Data'!T239</f>
        <v>4.1999999999999993</v>
      </c>
      <c r="AD59">
        <v>235.69999999999996</v>
      </c>
      <c r="AE59">
        <v>1.5</v>
      </c>
      <c r="AF59">
        <v>6889</v>
      </c>
      <c r="AG59">
        <v>85.1</v>
      </c>
      <c r="AH59">
        <v>192.2</v>
      </c>
      <c r="AI59">
        <f t="shared" si="8"/>
        <v>58</v>
      </c>
      <c r="AJ59">
        <f t="shared" ref="AJ59:AX59" si="33">AJ47</f>
        <v>0</v>
      </c>
      <c r="AK59">
        <f t="shared" si="33"/>
        <v>1</v>
      </c>
      <c r="AL59">
        <f t="shared" si="33"/>
        <v>1</v>
      </c>
      <c r="AM59">
        <f t="shared" si="33"/>
        <v>0</v>
      </c>
      <c r="AN59">
        <f t="shared" si="33"/>
        <v>0</v>
      </c>
      <c r="AO59">
        <f t="shared" si="33"/>
        <v>0</v>
      </c>
      <c r="AP59">
        <f t="shared" si="33"/>
        <v>0</v>
      </c>
      <c r="AQ59">
        <f t="shared" si="33"/>
        <v>0</v>
      </c>
      <c r="AR59">
        <f t="shared" si="33"/>
        <v>0</v>
      </c>
      <c r="AS59">
        <f t="shared" si="33"/>
        <v>0</v>
      </c>
      <c r="AT59">
        <f t="shared" si="33"/>
        <v>0</v>
      </c>
      <c r="AU59">
        <f t="shared" si="33"/>
        <v>0</v>
      </c>
      <c r="AV59">
        <f t="shared" si="33"/>
        <v>1</v>
      </c>
      <c r="AW59">
        <f t="shared" si="33"/>
        <v>0</v>
      </c>
      <c r="AX59">
        <f t="shared" si="33"/>
        <v>0</v>
      </c>
      <c r="AY59" s="16">
        <v>22</v>
      </c>
      <c r="AZ59">
        <v>31</v>
      </c>
      <c r="BA59">
        <v>1</v>
      </c>
      <c r="BB59">
        <v>10</v>
      </c>
    </row>
    <row r="60" spans="1:54" x14ac:dyDescent="0.2">
      <c r="A60" s="3">
        <f>'Monthly Data-EOP'!A120</f>
        <v>41579</v>
      </c>
      <c r="B60" s="102">
        <f t="shared" si="7"/>
        <v>2013</v>
      </c>
      <c r="C60" s="8">
        <f>'Monthly Data-EOP'!B120+'Monthly Data-FE'!B120+'Monthly Data-PC'!B120</f>
        <v>41920037</v>
      </c>
      <c r="D60" s="8">
        <v>6734.7590687235734</v>
      </c>
      <c r="E60" s="8">
        <v>3032.0241248209136</v>
      </c>
      <c r="F60" s="8">
        <f t="shared" si="1"/>
        <v>11</v>
      </c>
      <c r="G60" s="8">
        <f t="shared" si="2"/>
        <v>792842.8763730065</v>
      </c>
      <c r="H60" s="8">
        <f t="shared" si="3"/>
        <v>42712879.876373008</v>
      </c>
      <c r="I60" s="8">
        <f>'Monthly Data-EOP'!C120+'Monthly Data-FE'!C120+'Monthly Data-PC'!C120</f>
        <v>15381523</v>
      </c>
      <c r="J60" s="8">
        <f>'Monthly Data-EOP'!D120+'Monthly Data-FE'!D120+'Monthly Data-PC'!D120</f>
        <v>25820</v>
      </c>
      <c r="K60" s="8">
        <f>'Monthly Data-EOP'!E120+'Monthly Data-FE'!E120+'Monthly Data-PC'!E120</f>
        <v>5824142</v>
      </c>
      <c r="L60" s="8">
        <f>'Monthly Data-EOP'!F120+'Monthly Data-FE'!F120+'Monthly Data-PC'!F120</f>
        <v>2520</v>
      </c>
      <c r="M60" s="8">
        <f>'Monthly Data-EOP'!G120+'Monthly Data-FE'!G120+'Monthly Data-PC'!G120</f>
        <v>17466700</v>
      </c>
      <c r="N60" s="8">
        <v>405812.4</v>
      </c>
      <c r="O60" s="8">
        <f t="shared" si="4"/>
        <v>17060887.600000001</v>
      </c>
      <c r="P60" s="8">
        <f>'Monthly Data-EOP'!H120+'Monthly Data-FE'!H120+'Monthly Data-PC'!H120</f>
        <v>57876.919000000002</v>
      </c>
      <c r="Q60" s="8">
        <v>1036</v>
      </c>
      <c r="R60" s="8">
        <f t="shared" si="5"/>
        <v>56840.919000000002</v>
      </c>
      <c r="S60" s="8">
        <f>'Monthly Data-EOP'!I120+'Monthly Data-FE'!I120+'Monthly Data-PC'!I120</f>
        <v>225</v>
      </c>
      <c r="T60" s="8">
        <f>'Monthly Data-EOP'!J120+'Monthly Data-FE'!J120+'Monthly Data-PC'!J120</f>
        <v>510137</v>
      </c>
      <c r="U60" s="8">
        <f>'Monthly Data-EOP'!K120+'Monthly Data-FE'!K120+'Monthly Data-PC'!K120</f>
        <v>1108.0970000000007</v>
      </c>
      <c r="V60" s="8">
        <f>'Monthly Data-EOP'!L120+'Monthly Data-FE'!L120+'Monthly Data-PC'!L120</f>
        <v>5722</v>
      </c>
      <c r="W60" s="8">
        <f>'Monthly Data-EOP'!M120+'Monthly Data-FE'!M120+'Monthly Data-PC'!M120</f>
        <v>60446</v>
      </c>
      <c r="X60" s="8">
        <f>'Monthly Data-EOP'!N120+'Monthly Data-FE'!N120+'Monthly Data-PC'!N120</f>
        <v>178.02600000000007</v>
      </c>
      <c r="Y60" s="8">
        <f>'Monthly Data-EOP'!O120+'Monthly Data-FE'!O120+'Monthly Data-PC'!O120</f>
        <v>780</v>
      </c>
      <c r="Z60" s="8">
        <f>'Monthly Data-EOP'!P120+'Monthly Data-FE'!P120+'Monthly Data-PC'!P120</f>
        <v>140496</v>
      </c>
      <c r="AA60" s="8">
        <f>'Monthly Data-EOP'!Q120+'Monthly Data-FE'!Q120+'Monthly Data-PC'!Q120</f>
        <v>40</v>
      </c>
      <c r="AB60">
        <f>'Weather Data'!S240</f>
        <v>462.90000000000003</v>
      </c>
      <c r="AC60">
        <f>'Weather Data'!T240</f>
        <v>0</v>
      </c>
      <c r="AD60">
        <v>501.50000000000006</v>
      </c>
      <c r="AE60">
        <v>0</v>
      </c>
      <c r="AF60">
        <v>6863.8</v>
      </c>
      <c r="AG60">
        <v>85.1</v>
      </c>
      <c r="AH60">
        <v>191.1</v>
      </c>
      <c r="AI60">
        <f t="shared" si="8"/>
        <v>59</v>
      </c>
      <c r="AJ60">
        <f t="shared" ref="AJ60:AX60" si="34">AJ48</f>
        <v>0</v>
      </c>
      <c r="AK60">
        <f t="shared" si="34"/>
        <v>1</v>
      </c>
      <c r="AL60">
        <f t="shared" si="34"/>
        <v>1</v>
      </c>
      <c r="AM60">
        <f t="shared" si="34"/>
        <v>0</v>
      </c>
      <c r="AN60">
        <f t="shared" si="34"/>
        <v>0</v>
      </c>
      <c r="AO60">
        <f t="shared" si="34"/>
        <v>0</v>
      </c>
      <c r="AP60">
        <f t="shared" si="34"/>
        <v>0</v>
      </c>
      <c r="AQ60">
        <f t="shared" si="34"/>
        <v>0</v>
      </c>
      <c r="AR60">
        <f t="shared" si="34"/>
        <v>0</v>
      </c>
      <c r="AS60">
        <f t="shared" si="34"/>
        <v>0</v>
      </c>
      <c r="AT60">
        <f t="shared" si="34"/>
        <v>0</v>
      </c>
      <c r="AU60">
        <f t="shared" si="34"/>
        <v>0</v>
      </c>
      <c r="AV60">
        <f t="shared" si="34"/>
        <v>0</v>
      </c>
      <c r="AW60">
        <f t="shared" si="34"/>
        <v>1</v>
      </c>
      <c r="AX60">
        <f t="shared" si="34"/>
        <v>0</v>
      </c>
      <c r="AY60" s="16">
        <v>21</v>
      </c>
      <c r="AZ60">
        <v>30</v>
      </c>
      <c r="BA60">
        <v>1</v>
      </c>
      <c r="BB60">
        <v>11</v>
      </c>
    </row>
    <row r="61" spans="1:54" x14ac:dyDescent="0.2">
      <c r="A61" s="3">
        <f>'Monthly Data-EOP'!A121</f>
        <v>41609</v>
      </c>
      <c r="B61" s="102">
        <f t="shared" si="7"/>
        <v>2013</v>
      </c>
      <c r="C61" s="8">
        <f>'Monthly Data-EOP'!B121+'Monthly Data-FE'!B121+'Monthly Data-PC'!B121</f>
        <v>46416069</v>
      </c>
      <c r="D61" s="8">
        <v>6734.7590687235734</v>
      </c>
      <c r="E61" s="8">
        <v>3032.0241248209136</v>
      </c>
      <c r="F61" s="8">
        <f t="shared" si="1"/>
        <v>12</v>
      </c>
      <c r="G61" s="8">
        <f t="shared" si="2"/>
        <v>813898.59946204058</v>
      </c>
      <c r="H61" s="8">
        <f t="shared" si="3"/>
        <v>47229967.59946204</v>
      </c>
      <c r="I61" s="8">
        <f>'Monthly Data-EOP'!C121+'Monthly Data-FE'!C121+'Monthly Data-PC'!C121</f>
        <v>20459966</v>
      </c>
      <c r="J61" s="8">
        <f>'Monthly Data-EOP'!D121+'Monthly Data-FE'!D121+'Monthly Data-PC'!D121</f>
        <v>25839</v>
      </c>
      <c r="K61" s="8">
        <f>'Monthly Data-EOP'!E121+'Monthly Data-FE'!E121+'Monthly Data-PC'!E121</f>
        <v>6562618</v>
      </c>
      <c r="L61" s="8">
        <f>'Monthly Data-EOP'!F121+'Monthly Data-FE'!F121+'Monthly Data-PC'!F121</f>
        <v>2519</v>
      </c>
      <c r="M61" s="8">
        <f>'Monthly Data-EOP'!G121+'Monthly Data-FE'!G121+'Monthly Data-PC'!G121</f>
        <v>15744012</v>
      </c>
      <c r="N61" s="8">
        <v>454351.8</v>
      </c>
      <c r="O61" s="8">
        <f t="shared" si="4"/>
        <v>15289660.199999999</v>
      </c>
      <c r="P61" s="8">
        <f>'Monthly Data-EOP'!H121+'Monthly Data-FE'!H121+'Monthly Data-PC'!H121</f>
        <v>52327.460999999988</v>
      </c>
      <c r="Q61" s="8">
        <v>1064</v>
      </c>
      <c r="R61" s="8">
        <f t="shared" si="5"/>
        <v>51263.460999999988</v>
      </c>
      <c r="S61" s="8">
        <f>'Monthly Data-EOP'!I121+'Monthly Data-FE'!I121+'Monthly Data-PC'!I121</f>
        <v>225</v>
      </c>
      <c r="T61" s="8">
        <f>'Monthly Data-EOP'!J121+'Monthly Data-FE'!J121+'Monthly Data-PC'!J121</f>
        <v>523940</v>
      </c>
      <c r="U61" s="8">
        <f>'Monthly Data-EOP'!K121+'Monthly Data-FE'!K121+'Monthly Data-PC'!K121</f>
        <v>1108.097</v>
      </c>
      <c r="V61" s="8">
        <f>'Monthly Data-EOP'!L121+'Monthly Data-FE'!L121+'Monthly Data-PC'!L121</f>
        <v>5722</v>
      </c>
      <c r="W61" s="8">
        <f>'Monthly Data-EOP'!M121+'Monthly Data-FE'!M121+'Monthly Data-PC'!M121</f>
        <v>58252</v>
      </c>
      <c r="X61" s="8">
        <f>'Monthly Data-EOP'!N121+'Monthly Data-FE'!N121+'Monthly Data-PC'!N121</f>
        <v>179.1510000000001</v>
      </c>
      <c r="Y61" s="8">
        <f>'Monthly Data-EOP'!O121+'Monthly Data-FE'!O121+'Monthly Data-PC'!O121</f>
        <v>780</v>
      </c>
      <c r="Z61" s="8">
        <f>'Monthly Data-EOP'!P121+'Monthly Data-FE'!P121+'Monthly Data-PC'!P121</f>
        <v>129128</v>
      </c>
      <c r="AA61" s="8">
        <f>'Monthly Data-EOP'!Q121+'Monthly Data-FE'!Q121+'Monthly Data-PC'!Q121</f>
        <v>40</v>
      </c>
      <c r="AB61">
        <f>'Weather Data'!S241</f>
        <v>648.79999999999995</v>
      </c>
      <c r="AC61">
        <f>'Weather Data'!T241</f>
        <v>0</v>
      </c>
      <c r="AD61">
        <v>756.99999999999977</v>
      </c>
      <c r="AE61">
        <v>0</v>
      </c>
      <c r="AF61">
        <v>6849.3</v>
      </c>
      <c r="AG61">
        <v>84.1</v>
      </c>
      <c r="AH61">
        <v>192.1</v>
      </c>
      <c r="AI61">
        <f t="shared" si="8"/>
        <v>60</v>
      </c>
      <c r="AJ61">
        <f t="shared" ref="AJ61:AX61" si="35">AJ49</f>
        <v>0</v>
      </c>
      <c r="AK61">
        <f t="shared" si="35"/>
        <v>0</v>
      </c>
      <c r="AL61">
        <f t="shared" si="35"/>
        <v>0</v>
      </c>
      <c r="AM61">
        <f t="shared" si="35"/>
        <v>0</v>
      </c>
      <c r="AN61">
        <f t="shared" si="35"/>
        <v>0</v>
      </c>
      <c r="AO61">
        <f t="shared" si="35"/>
        <v>0</v>
      </c>
      <c r="AP61">
        <f t="shared" si="35"/>
        <v>0</v>
      </c>
      <c r="AQ61">
        <f t="shared" si="35"/>
        <v>0</v>
      </c>
      <c r="AR61">
        <f t="shared" si="35"/>
        <v>0</v>
      </c>
      <c r="AS61">
        <f t="shared" si="35"/>
        <v>0</v>
      </c>
      <c r="AT61">
        <f t="shared" si="35"/>
        <v>0</v>
      </c>
      <c r="AU61">
        <f t="shared" si="35"/>
        <v>0</v>
      </c>
      <c r="AV61">
        <f t="shared" si="35"/>
        <v>0</v>
      </c>
      <c r="AW61">
        <f t="shared" si="35"/>
        <v>0</v>
      </c>
      <c r="AX61">
        <f t="shared" si="35"/>
        <v>1</v>
      </c>
      <c r="AY61" s="16">
        <v>20</v>
      </c>
      <c r="AZ61">
        <v>31</v>
      </c>
      <c r="BA61">
        <v>1</v>
      </c>
      <c r="BB61">
        <v>12</v>
      </c>
    </row>
    <row r="62" spans="1:54" x14ac:dyDescent="0.2">
      <c r="A62" s="3">
        <f>'Monthly Data-EOP'!A122</f>
        <v>41640</v>
      </c>
      <c r="B62" s="102">
        <f t="shared" si="7"/>
        <v>2014</v>
      </c>
      <c r="C62" s="8">
        <f>'Monthly Data-EOP'!B122+'Monthly Data-FE'!B122+'Monthly Data-PC'!B122</f>
        <v>52863793</v>
      </c>
      <c r="D62" s="8">
        <v>8832.1198195815232</v>
      </c>
      <c r="E62" s="8">
        <v>2958.5305549300465</v>
      </c>
      <c r="F62" s="8">
        <f t="shared" si="1"/>
        <v>1</v>
      </c>
      <c r="G62" s="8">
        <f t="shared" si="2"/>
        <v>756555.33604103001</v>
      </c>
      <c r="H62" s="8">
        <f t="shared" si="3"/>
        <v>53620348.336041033</v>
      </c>
      <c r="I62" s="8">
        <f>'Monthly Data-EOP'!C122+'Monthly Data-FE'!C122+'Monthly Data-PC'!C122</f>
        <v>23098360</v>
      </c>
      <c r="J62" s="8">
        <f>'Monthly Data-EOP'!D122+'Monthly Data-FE'!D122+'Monthly Data-PC'!D122</f>
        <v>25854</v>
      </c>
      <c r="K62" s="8">
        <f>'Monthly Data-EOP'!E122+'Monthly Data-FE'!E122+'Monthly Data-PC'!E122</f>
        <v>6481049</v>
      </c>
      <c r="L62" s="8">
        <f>'Monthly Data-EOP'!F122+'Monthly Data-FE'!F122+'Monthly Data-PC'!F122</f>
        <v>2524</v>
      </c>
      <c r="M62" s="8">
        <f>'Monthly Data-EOP'!G122+'Monthly Data-FE'!G122+'Monthly Data-PC'!G122</f>
        <v>20452590</v>
      </c>
      <c r="N62" s="8">
        <v>480947.6</v>
      </c>
      <c r="O62" s="8">
        <f t="shared" si="4"/>
        <v>19971642.399999999</v>
      </c>
      <c r="P62" s="8">
        <f>'Monthly Data-EOP'!H122+'Monthly Data-FE'!H122+'Monthly Data-PC'!H122</f>
        <v>48625.956999999995</v>
      </c>
      <c r="Q62" s="8">
        <v>929.6</v>
      </c>
      <c r="R62" s="8">
        <f t="shared" si="5"/>
        <v>47696.356999999996</v>
      </c>
      <c r="S62" s="8">
        <f>'Monthly Data-EOP'!I122+'Monthly Data-FE'!I122+'Monthly Data-PC'!I122</f>
        <v>231</v>
      </c>
      <c r="T62" s="8">
        <f>'Monthly Data-EOP'!J122+'Monthly Data-FE'!J122+'Monthly Data-PC'!J122</f>
        <v>411159</v>
      </c>
      <c r="U62" s="8">
        <f>'Monthly Data-EOP'!K122+'Monthly Data-FE'!K122+'Monthly Data-PC'!K122</f>
        <v>1108.097</v>
      </c>
      <c r="V62" s="8">
        <f>'Monthly Data-EOP'!L122+'Monthly Data-FE'!L122+'Monthly Data-PC'!L122</f>
        <v>5722</v>
      </c>
      <c r="W62" s="8">
        <f>'Monthly Data-EOP'!M122+'Monthly Data-FE'!M122+'Monthly Data-PC'!M122</f>
        <v>59819</v>
      </c>
      <c r="X62" s="8">
        <f>'Monthly Data-EOP'!N122+'Monthly Data-FE'!N122+'Monthly Data-PC'!N122</f>
        <v>180.82599999999999</v>
      </c>
      <c r="Y62" s="8">
        <f>'Monthly Data-EOP'!O122+'Monthly Data-FE'!O122+'Monthly Data-PC'!O122</f>
        <v>780</v>
      </c>
      <c r="Z62" s="8">
        <f>'Monthly Data-EOP'!P122+'Monthly Data-FE'!P122+'Monthly Data-PC'!P122</f>
        <v>122285</v>
      </c>
      <c r="AA62" s="8">
        <f>'Monthly Data-EOP'!Q122+'Monthly Data-FE'!Q122+'Monthly Data-PC'!Q122</f>
        <v>41</v>
      </c>
      <c r="AB62">
        <f>'Weather Data'!S242</f>
        <v>783.19999999999993</v>
      </c>
      <c r="AC62">
        <f>'Weather Data'!T242</f>
        <v>0</v>
      </c>
      <c r="AD62">
        <v>844.5</v>
      </c>
      <c r="AE62">
        <v>0</v>
      </c>
      <c r="AF62">
        <v>6806.1</v>
      </c>
      <c r="AG62">
        <v>82.5</v>
      </c>
      <c r="AH62">
        <v>190.4</v>
      </c>
      <c r="AI62">
        <f t="shared" si="8"/>
        <v>61</v>
      </c>
      <c r="AJ62">
        <f t="shared" ref="AJ62:AX62" si="36">AJ50</f>
        <v>0</v>
      </c>
      <c r="AK62">
        <f t="shared" si="36"/>
        <v>0</v>
      </c>
      <c r="AL62">
        <f t="shared" si="36"/>
        <v>0</v>
      </c>
      <c r="AM62">
        <f t="shared" si="36"/>
        <v>1</v>
      </c>
      <c r="AN62">
        <f t="shared" si="36"/>
        <v>0</v>
      </c>
      <c r="AO62">
        <f t="shared" si="36"/>
        <v>0</v>
      </c>
      <c r="AP62">
        <f t="shared" si="36"/>
        <v>0</v>
      </c>
      <c r="AQ62">
        <f t="shared" si="36"/>
        <v>0</v>
      </c>
      <c r="AR62">
        <f t="shared" si="36"/>
        <v>0</v>
      </c>
      <c r="AS62">
        <f t="shared" si="36"/>
        <v>0</v>
      </c>
      <c r="AT62">
        <f t="shared" si="36"/>
        <v>0</v>
      </c>
      <c r="AU62">
        <f t="shared" si="36"/>
        <v>0</v>
      </c>
      <c r="AV62">
        <f t="shared" si="36"/>
        <v>0</v>
      </c>
      <c r="AW62">
        <f t="shared" si="36"/>
        <v>0</v>
      </c>
      <c r="AX62">
        <f t="shared" si="36"/>
        <v>0</v>
      </c>
      <c r="AY62" s="16">
        <v>22</v>
      </c>
      <c r="AZ62">
        <v>31</v>
      </c>
      <c r="BA62">
        <v>1</v>
      </c>
      <c r="BB62">
        <v>13</v>
      </c>
    </row>
    <row r="63" spans="1:54" x14ac:dyDescent="0.2">
      <c r="A63" s="3">
        <f>'Monthly Data-EOP'!A123</f>
        <v>41671</v>
      </c>
      <c r="B63" s="102">
        <f t="shared" si="7"/>
        <v>2014</v>
      </c>
      <c r="C63" s="8">
        <f>'Monthly Data-EOP'!B123+'Monthly Data-FE'!B123+'Monthly Data-PC'!B123</f>
        <v>46902074</v>
      </c>
      <c r="D63" s="8">
        <v>8832.1198195815232</v>
      </c>
      <c r="E63" s="8">
        <v>2958.5305549300465</v>
      </c>
      <c r="F63" s="8">
        <f t="shared" si="1"/>
        <v>2</v>
      </c>
      <c r="G63" s="8">
        <f t="shared" si="2"/>
        <v>777100.68711693317</v>
      </c>
      <c r="H63" s="8">
        <f t="shared" si="3"/>
        <v>47679174.687116936</v>
      </c>
      <c r="I63" s="8">
        <f>'Monthly Data-EOP'!C123+'Monthly Data-FE'!C123+'Monthly Data-PC'!C123</f>
        <v>18756564</v>
      </c>
      <c r="J63" s="8">
        <f>'Monthly Data-EOP'!D123+'Monthly Data-FE'!D123+'Monthly Data-PC'!D123</f>
        <v>25854</v>
      </c>
      <c r="K63" s="8">
        <f>'Monthly Data-EOP'!E123+'Monthly Data-FE'!E123+'Monthly Data-PC'!E123</f>
        <v>6300037</v>
      </c>
      <c r="L63" s="8">
        <f>'Monthly Data-EOP'!F123+'Monthly Data-FE'!F123+'Monthly Data-PC'!F123</f>
        <v>2519</v>
      </c>
      <c r="M63" s="8">
        <f>'Monthly Data-EOP'!G123+'Monthly Data-FE'!G123+'Monthly Data-PC'!G123</f>
        <v>18786912</v>
      </c>
      <c r="N63" s="8">
        <v>409708.6</v>
      </c>
      <c r="O63" s="8">
        <f t="shared" si="4"/>
        <v>18377203.399999999</v>
      </c>
      <c r="P63" s="8">
        <f>'Monthly Data-EOP'!H123+'Monthly Data-FE'!H123+'Monthly Data-PC'!H123</f>
        <v>56477.029000000002</v>
      </c>
      <c r="Q63" s="8">
        <v>884.8</v>
      </c>
      <c r="R63" s="8">
        <f t="shared" si="5"/>
        <v>55592.228999999999</v>
      </c>
      <c r="S63" s="8">
        <f>'Monthly Data-EOP'!I123+'Monthly Data-FE'!I123+'Monthly Data-PC'!I123</f>
        <v>231</v>
      </c>
      <c r="T63" s="8">
        <f>'Monthly Data-EOP'!J123+'Monthly Data-FE'!J123+'Monthly Data-PC'!J123</f>
        <v>396885</v>
      </c>
      <c r="U63" s="8">
        <f>'Monthly Data-EOP'!K123+'Monthly Data-FE'!K123+'Monthly Data-PC'!K123</f>
        <v>1108.097</v>
      </c>
      <c r="V63" s="8">
        <f>'Monthly Data-EOP'!L123+'Monthly Data-FE'!L123+'Monthly Data-PC'!L123</f>
        <v>5722</v>
      </c>
      <c r="W63" s="8">
        <f>'Monthly Data-EOP'!M123+'Monthly Data-FE'!M123+'Monthly Data-PC'!M123</f>
        <v>58492</v>
      </c>
      <c r="X63" s="8">
        <f>'Monthly Data-EOP'!N123+'Monthly Data-FE'!N123+'Monthly Data-PC'!N123</f>
        <v>178.85099999999997</v>
      </c>
      <c r="Y63" s="8">
        <f>'Monthly Data-EOP'!O123+'Monthly Data-FE'!O123+'Monthly Data-PC'!O123</f>
        <v>780</v>
      </c>
      <c r="Z63" s="8">
        <f>'Monthly Data-EOP'!P123+'Monthly Data-FE'!P123+'Monthly Data-PC'!P123</f>
        <v>111472</v>
      </c>
      <c r="AA63" s="8">
        <f>'Monthly Data-EOP'!Q123+'Monthly Data-FE'!Q123+'Monthly Data-PC'!Q123</f>
        <v>41</v>
      </c>
      <c r="AB63">
        <f>'Weather Data'!S243</f>
        <v>743.69999999999993</v>
      </c>
      <c r="AC63">
        <f>'Weather Data'!T243</f>
        <v>0</v>
      </c>
      <c r="AD63">
        <v>740.90000000000009</v>
      </c>
      <c r="AE63">
        <v>0</v>
      </c>
      <c r="AF63">
        <v>6772.3</v>
      </c>
      <c r="AG63">
        <v>82.1</v>
      </c>
      <c r="AH63">
        <v>191.6</v>
      </c>
      <c r="AI63">
        <f t="shared" si="8"/>
        <v>62</v>
      </c>
      <c r="AJ63">
        <f t="shared" ref="AJ63:AX63" si="37">AJ51</f>
        <v>0</v>
      </c>
      <c r="AK63">
        <f t="shared" si="37"/>
        <v>0</v>
      </c>
      <c r="AL63">
        <f t="shared" si="37"/>
        <v>0</v>
      </c>
      <c r="AM63">
        <f t="shared" si="37"/>
        <v>0</v>
      </c>
      <c r="AN63">
        <f t="shared" si="37"/>
        <v>1</v>
      </c>
      <c r="AO63">
        <f t="shared" si="37"/>
        <v>0</v>
      </c>
      <c r="AP63">
        <f t="shared" si="37"/>
        <v>0</v>
      </c>
      <c r="AQ63">
        <f t="shared" si="37"/>
        <v>0</v>
      </c>
      <c r="AR63">
        <f t="shared" si="37"/>
        <v>0</v>
      </c>
      <c r="AS63">
        <f t="shared" si="37"/>
        <v>0</v>
      </c>
      <c r="AT63">
        <f t="shared" si="37"/>
        <v>0</v>
      </c>
      <c r="AU63">
        <f t="shared" si="37"/>
        <v>0</v>
      </c>
      <c r="AV63">
        <f t="shared" si="37"/>
        <v>0</v>
      </c>
      <c r="AW63">
        <f t="shared" si="37"/>
        <v>0</v>
      </c>
      <c r="AX63">
        <f t="shared" si="37"/>
        <v>0</v>
      </c>
      <c r="AY63" s="16">
        <v>19</v>
      </c>
      <c r="AZ63">
        <v>28</v>
      </c>
      <c r="BA63">
        <v>1</v>
      </c>
      <c r="BB63">
        <v>14</v>
      </c>
    </row>
    <row r="64" spans="1:54" x14ac:dyDescent="0.2">
      <c r="A64" s="3">
        <f>'Monthly Data-EOP'!A124</f>
        <v>41699</v>
      </c>
      <c r="B64" s="102">
        <f t="shared" si="7"/>
        <v>2014</v>
      </c>
      <c r="C64" s="8">
        <f>'Monthly Data-EOP'!B124+'Monthly Data-FE'!B124+'Monthly Data-PC'!B124</f>
        <v>49147287</v>
      </c>
      <c r="D64" s="8">
        <v>8832.1198195815232</v>
      </c>
      <c r="E64" s="8">
        <v>2958.5305549300465</v>
      </c>
      <c r="F64" s="8">
        <f t="shared" si="1"/>
        <v>3</v>
      </c>
      <c r="G64" s="8">
        <f t="shared" si="2"/>
        <v>797646.03819283622</v>
      </c>
      <c r="H64" s="8">
        <f t="shared" si="3"/>
        <v>49944933.038192838</v>
      </c>
      <c r="I64" s="8">
        <f>'Monthly Data-EOP'!C124+'Monthly Data-FE'!C124+'Monthly Data-PC'!C124</f>
        <v>18650260</v>
      </c>
      <c r="J64" s="8">
        <f>'Monthly Data-EOP'!D124+'Monthly Data-FE'!D124+'Monthly Data-PC'!D124</f>
        <v>25869</v>
      </c>
      <c r="K64" s="8">
        <f>'Monthly Data-EOP'!E124+'Monthly Data-FE'!E124+'Monthly Data-PC'!E124</f>
        <v>6361162</v>
      </c>
      <c r="L64" s="8">
        <f>'Monthly Data-EOP'!F124+'Monthly Data-FE'!F124+'Monthly Data-PC'!F124</f>
        <v>2516</v>
      </c>
      <c r="M64" s="8">
        <f>'Monthly Data-EOP'!G124+'Monthly Data-FE'!G124+'Monthly Data-PC'!G124</f>
        <v>20650753</v>
      </c>
      <c r="N64" s="8">
        <v>429629.2</v>
      </c>
      <c r="O64" s="8">
        <f t="shared" si="4"/>
        <v>20221123.800000001</v>
      </c>
      <c r="P64" s="8">
        <f>'Monthly Data-EOP'!H124+'Monthly Data-FE'!H124+'Monthly Data-PC'!H124</f>
        <v>54958.969999999994</v>
      </c>
      <c r="Q64" s="8">
        <v>845.6</v>
      </c>
      <c r="R64" s="8">
        <f t="shared" si="5"/>
        <v>54113.369999999995</v>
      </c>
      <c r="S64" s="8">
        <f>'Monthly Data-EOP'!I124+'Monthly Data-FE'!I124+'Monthly Data-PC'!I124</f>
        <v>228</v>
      </c>
      <c r="T64" s="8">
        <f>'Monthly Data-EOP'!J124+'Monthly Data-FE'!J124+'Monthly Data-PC'!J124</f>
        <v>365960</v>
      </c>
      <c r="U64" s="8">
        <f>'Monthly Data-EOP'!K124+'Monthly Data-FE'!K124+'Monthly Data-PC'!K124</f>
        <v>1108.0970000000002</v>
      </c>
      <c r="V64" s="8">
        <f>'Monthly Data-EOP'!L124+'Monthly Data-FE'!L124+'Monthly Data-PC'!L124</f>
        <v>5722</v>
      </c>
      <c r="W64" s="8">
        <f>'Monthly Data-EOP'!M124+'Monthly Data-FE'!M124+'Monthly Data-PC'!M124</f>
        <v>54210</v>
      </c>
      <c r="X64" s="8">
        <f>'Monthly Data-EOP'!N124+'Monthly Data-FE'!N124+'Monthly Data-PC'!N124</f>
        <v>177.92599999999999</v>
      </c>
      <c r="Y64" s="8">
        <f>'Monthly Data-EOP'!O124+'Monthly Data-FE'!O124+'Monthly Data-PC'!O124</f>
        <v>777</v>
      </c>
      <c r="Z64" s="8">
        <f>'Monthly Data-EOP'!P124+'Monthly Data-FE'!P124+'Monthly Data-PC'!P124</f>
        <v>119440</v>
      </c>
      <c r="AA64" s="8">
        <f>'Monthly Data-EOP'!Q124+'Monthly Data-FE'!Q124+'Monthly Data-PC'!Q124</f>
        <v>41</v>
      </c>
      <c r="AB64">
        <f>'Weather Data'!S244</f>
        <v>692.30000000000007</v>
      </c>
      <c r="AC64">
        <f>'Weather Data'!T244</f>
        <v>0</v>
      </c>
      <c r="AD64">
        <v>720.19999999999993</v>
      </c>
      <c r="AE64">
        <v>0</v>
      </c>
      <c r="AF64">
        <v>6751.3</v>
      </c>
      <c r="AG64">
        <v>81.8</v>
      </c>
      <c r="AH64">
        <v>192.2</v>
      </c>
      <c r="AI64">
        <f t="shared" si="8"/>
        <v>63</v>
      </c>
      <c r="AJ64">
        <f t="shared" ref="AJ64:AX64" si="38">AJ52</f>
        <v>1</v>
      </c>
      <c r="AK64">
        <f t="shared" si="38"/>
        <v>0</v>
      </c>
      <c r="AL64">
        <f t="shared" si="38"/>
        <v>1</v>
      </c>
      <c r="AM64">
        <f t="shared" si="38"/>
        <v>0</v>
      </c>
      <c r="AN64">
        <f t="shared" si="38"/>
        <v>0</v>
      </c>
      <c r="AO64">
        <f t="shared" si="38"/>
        <v>1</v>
      </c>
      <c r="AP64">
        <f t="shared" si="38"/>
        <v>0</v>
      </c>
      <c r="AQ64">
        <f t="shared" si="38"/>
        <v>0</v>
      </c>
      <c r="AR64">
        <f t="shared" si="38"/>
        <v>0</v>
      </c>
      <c r="AS64">
        <f t="shared" si="38"/>
        <v>0</v>
      </c>
      <c r="AT64">
        <f t="shared" si="38"/>
        <v>0</v>
      </c>
      <c r="AU64">
        <f t="shared" si="38"/>
        <v>0</v>
      </c>
      <c r="AV64">
        <f t="shared" si="38"/>
        <v>0</v>
      </c>
      <c r="AW64">
        <f t="shared" si="38"/>
        <v>0</v>
      </c>
      <c r="AX64">
        <f t="shared" si="38"/>
        <v>0</v>
      </c>
      <c r="AY64" s="16">
        <v>21</v>
      </c>
      <c r="AZ64">
        <v>31</v>
      </c>
      <c r="BA64">
        <v>1</v>
      </c>
      <c r="BB64">
        <v>15</v>
      </c>
    </row>
    <row r="65" spans="1:54" x14ac:dyDescent="0.2">
      <c r="A65" s="3">
        <f>'Monthly Data-EOP'!A125</f>
        <v>41730</v>
      </c>
      <c r="B65" s="102">
        <f t="shared" si="7"/>
        <v>2014</v>
      </c>
      <c r="C65" s="8">
        <f>'Monthly Data-EOP'!B125+'Monthly Data-FE'!B125+'Monthly Data-PC'!B125</f>
        <v>41905954</v>
      </c>
      <c r="D65" s="8">
        <v>8832.1198195815232</v>
      </c>
      <c r="E65" s="8">
        <v>2958.5305549300465</v>
      </c>
      <c r="F65" s="8">
        <f t="shared" si="1"/>
        <v>4</v>
      </c>
      <c r="G65" s="8">
        <f t="shared" si="2"/>
        <v>818191.38926873938</v>
      </c>
      <c r="H65" s="8">
        <f t="shared" si="3"/>
        <v>42724145.389268741</v>
      </c>
      <c r="I65" s="8">
        <f>'Monthly Data-EOP'!C125+'Monthly Data-FE'!C125+'Monthly Data-PC'!C125</f>
        <v>14770104</v>
      </c>
      <c r="J65" s="8">
        <f>'Monthly Data-EOP'!D125+'Monthly Data-FE'!D125+'Monthly Data-PC'!D125</f>
        <v>25858</v>
      </c>
      <c r="K65" s="8">
        <f>'Monthly Data-EOP'!E125+'Monthly Data-FE'!E125+'Monthly Data-PC'!E125</f>
        <v>5258735</v>
      </c>
      <c r="L65" s="8">
        <f>'Monthly Data-EOP'!F125+'Monthly Data-FE'!F125+'Monthly Data-PC'!F125</f>
        <v>2515</v>
      </c>
      <c r="M65" s="8">
        <f>'Monthly Data-EOP'!G125+'Monthly Data-FE'!G125+'Monthly Data-PC'!G125</f>
        <v>19613754</v>
      </c>
      <c r="N65" s="8">
        <v>337089.2</v>
      </c>
      <c r="O65" s="8">
        <f t="shared" si="4"/>
        <v>19276664.800000001</v>
      </c>
      <c r="P65" s="8">
        <f>'Monthly Data-EOP'!H125+'Monthly Data-FE'!H125+'Monthly Data-PC'!H125</f>
        <v>55574.577000000012</v>
      </c>
      <c r="Q65" s="8">
        <v>817.6</v>
      </c>
      <c r="R65" s="8">
        <f t="shared" si="5"/>
        <v>54756.977000000014</v>
      </c>
      <c r="S65" s="8">
        <f>'Monthly Data-EOP'!I125+'Monthly Data-FE'!I125+'Monthly Data-PC'!I125</f>
        <v>225</v>
      </c>
      <c r="T65" s="8">
        <f>'Monthly Data-EOP'!J125+'Monthly Data-FE'!J125+'Monthly Data-PC'!J125</f>
        <v>279456</v>
      </c>
      <c r="U65" s="8">
        <f>'Monthly Data-EOP'!K125+'Monthly Data-FE'!K125+'Monthly Data-PC'!K125</f>
        <v>1108.097</v>
      </c>
      <c r="V65" s="8">
        <f>'Monthly Data-EOP'!L125+'Monthly Data-FE'!L125+'Monthly Data-PC'!L125</f>
        <v>5707</v>
      </c>
      <c r="W65" s="8">
        <f>'Monthly Data-EOP'!M125+'Monthly Data-FE'!M125+'Monthly Data-PC'!M125</f>
        <v>58832</v>
      </c>
      <c r="X65" s="8">
        <f>'Monthly Data-EOP'!N125+'Monthly Data-FE'!N125+'Monthly Data-PC'!N125</f>
        <v>178.05100000000004</v>
      </c>
      <c r="Y65" s="8">
        <f>'Monthly Data-EOP'!O125+'Monthly Data-FE'!O125+'Monthly Data-PC'!O125</f>
        <v>777</v>
      </c>
      <c r="Z65" s="8">
        <f>'Monthly Data-EOP'!P125+'Monthly Data-FE'!P125+'Monthly Data-PC'!P125</f>
        <v>117409</v>
      </c>
      <c r="AA65" s="8">
        <f>'Monthly Data-EOP'!Q125+'Monthly Data-FE'!Q125+'Monthly Data-PC'!Q125</f>
        <v>41</v>
      </c>
      <c r="AB65">
        <f>'Weather Data'!S245</f>
        <v>338.40000000000009</v>
      </c>
      <c r="AC65">
        <f>'Weather Data'!T245</f>
        <v>0</v>
      </c>
      <c r="AD65">
        <v>352.09999999999991</v>
      </c>
      <c r="AE65">
        <v>0</v>
      </c>
      <c r="AF65">
        <v>6785</v>
      </c>
      <c r="AG65">
        <v>82</v>
      </c>
      <c r="AH65">
        <v>193.4</v>
      </c>
      <c r="AI65">
        <f t="shared" si="8"/>
        <v>64</v>
      </c>
      <c r="AJ65">
        <f t="shared" ref="AJ65:AX65" si="39">AJ53</f>
        <v>1</v>
      </c>
      <c r="AK65">
        <f t="shared" si="39"/>
        <v>0</v>
      </c>
      <c r="AL65">
        <f t="shared" si="39"/>
        <v>1</v>
      </c>
      <c r="AM65">
        <f t="shared" si="39"/>
        <v>0</v>
      </c>
      <c r="AN65">
        <f t="shared" si="39"/>
        <v>0</v>
      </c>
      <c r="AO65">
        <f t="shared" si="39"/>
        <v>0</v>
      </c>
      <c r="AP65">
        <f t="shared" si="39"/>
        <v>1</v>
      </c>
      <c r="AQ65">
        <f t="shared" si="39"/>
        <v>0</v>
      </c>
      <c r="AR65">
        <f t="shared" si="39"/>
        <v>0</v>
      </c>
      <c r="AS65">
        <f t="shared" si="39"/>
        <v>0</v>
      </c>
      <c r="AT65">
        <f t="shared" si="39"/>
        <v>0</v>
      </c>
      <c r="AU65">
        <f t="shared" si="39"/>
        <v>0</v>
      </c>
      <c r="AV65">
        <f t="shared" si="39"/>
        <v>0</v>
      </c>
      <c r="AW65">
        <f t="shared" si="39"/>
        <v>0</v>
      </c>
      <c r="AX65">
        <f t="shared" si="39"/>
        <v>0</v>
      </c>
      <c r="AY65" s="16">
        <v>20</v>
      </c>
      <c r="AZ65">
        <v>30</v>
      </c>
      <c r="BA65">
        <v>1</v>
      </c>
      <c r="BB65">
        <v>16</v>
      </c>
    </row>
    <row r="66" spans="1:54" x14ac:dyDescent="0.2">
      <c r="A66" s="3">
        <f>'Monthly Data-EOP'!A126</f>
        <v>41760</v>
      </c>
      <c r="B66" s="102">
        <f t="shared" si="7"/>
        <v>2014</v>
      </c>
      <c r="C66" s="8">
        <f>'Monthly Data-EOP'!B126+'Monthly Data-FE'!B126+'Monthly Data-PC'!B126</f>
        <v>40009171</v>
      </c>
      <c r="D66" s="8">
        <v>8832.1198195815232</v>
      </c>
      <c r="E66" s="8">
        <v>2958.5305549300465</v>
      </c>
      <c r="F66" s="8">
        <f t="shared" si="1"/>
        <v>5</v>
      </c>
      <c r="G66" s="8">
        <f t="shared" si="2"/>
        <v>838736.74034464243</v>
      </c>
      <c r="H66" s="8">
        <f t="shared" si="3"/>
        <v>40847907.740344644</v>
      </c>
      <c r="I66" s="8">
        <f>'Monthly Data-EOP'!C126+'Monthly Data-FE'!C126+'Monthly Data-PC'!C126</f>
        <v>14830183</v>
      </c>
      <c r="J66" s="8">
        <f>'Monthly Data-EOP'!D126+'Monthly Data-FE'!D126+'Monthly Data-PC'!D126</f>
        <v>25835</v>
      </c>
      <c r="K66" s="8">
        <f>'Monthly Data-EOP'!E126+'Monthly Data-FE'!E126+'Monthly Data-PC'!E126</f>
        <v>5296785</v>
      </c>
      <c r="L66" s="8">
        <f>'Monthly Data-EOP'!F126+'Monthly Data-FE'!F126+'Monthly Data-PC'!F126</f>
        <v>2514</v>
      </c>
      <c r="M66" s="8">
        <f>'Monthly Data-EOP'!G126+'Monthly Data-FE'!G126+'Monthly Data-PC'!G126</f>
        <v>19493395</v>
      </c>
      <c r="N66" s="8">
        <v>344055.6</v>
      </c>
      <c r="O66" s="8">
        <f t="shared" si="4"/>
        <v>19149339.399999999</v>
      </c>
      <c r="P66" s="8">
        <f>'Monthly Data-EOP'!H126+'Monthly Data-FE'!H126+'Monthly Data-PC'!H126</f>
        <v>54586.626000000004</v>
      </c>
      <c r="Q66" s="8">
        <v>935.2</v>
      </c>
      <c r="R66" s="8">
        <f t="shared" si="5"/>
        <v>53651.426000000007</v>
      </c>
      <c r="S66" s="8">
        <f>'Monthly Data-EOP'!I126+'Monthly Data-FE'!I126+'Monthly Data-PC'!I126</f>
        <v>225</v>
      </c>
      <c r="T66" s="8">
        <f>'Monthly Data-EOP'!J126+'Monthly Data-FE'!J126+'Monthly Data-PC'!J126</f>
        <v>325007</v>
      </c>
      <c r="U66" s="8">
        <f>'Monthly Data-EOP'!K126+'Monthly Data-FE'!K126+'Monthly Data-PC'!K126</f>
        <v>1108.0969999999998</v>
      </c>
      <c r="V66" s="8">
        <f>'Monthly Data-EOP'!L126+'Monthly Data-FE'!L126+'Monthly Data-PC'!L126</f>
        <v>5718</v>
      </c>
      <c r="W66" s="8">
        <f>'Monthly Data-EOP'!M126+'Monthly Data-FE'!M126+'Monthly Data-PC'!M126</f>
        <v>58380</v>
      </c>
      <c r="X66" s="8">
        <f>'Monthly Data-EOP'!N126+'Monthly Data-FE'!N126+'Monthly Data-PC'!N126</f>
        <v>177.77599999999995</v>
      </c>
      <c r="Y66" s="8">
        <f>'Monthly Data-EOP'!O126+'Monthly Data-FE'!O126+'Monthly Data-PC'!O126</f>
        <v>777</v>
      </c>
      <c r="Z66" s="8">
        <f>'Monthly Data-EOP'!P126+'Monthly Data-FE'!P126+'Monthly Data-PC'!P126</f>
        <v>135552</v>
      </c>
      <c r="AA66" s="8">
        <f>'Monthly Data-EOP'!Q126+'Monthly Data-FE'!Q126+'Monthly Data-PC'!Q126</f>
        <v>41</v>
      </c>
      <c r="AB66">
        <f>'Weather Data'!S246</f>
        <v>146.39999999999998</v>
      </c>
      <c r="AC66">
        <f>'Weather Data'!T246</f>
        <v>7.3</v>
      </c>
      <c r="AD66">
        <v>127.70000000000003</v>
      </c>
      <c r="AE66">
        <v>12.399999999999999</v>
      </c>
      <c r="AF66">
        <v>6842.6</v>
      </c>
      <c r="AG66">
        <v>82.8</v>
      </c>
      <c r="AH66">
        <v>195.7</v>
      </c>
      <c r="AI66">
        <f t="shared" si="8"/>
        <v>65</v>
      </c>
      <c r="AJ66">
        <f t="shared" ref="AJ66:AX66" si="40">AJ54</f>
        <v>1</v>
      </c>
      <c r="AK66">
        <f t="shared" si="40"/>
        <v>0</v>
      </c>
      <c r="AL66">
        <f t="shared" si="40"/>
        <v>1</v>
      </c>
      <c r="AM66">
        <f t="shared" si="40"/>
        <v>0</v>
      </c>
      <c r="AN66">
        <f t="shared" si="40"/>
        <v>0</v>
      </c>
      <c r="AO66">
        <f t="shared" si="40"/>
        <v>0</v>
      </c>
      <c r="AP66">
        <f t="shared" si="40"/>
        <v>0</v>
      </c>
      <c r="AQ66">
        <f t="shared" si="40"/>
        <v>1</v>
      </c>
      <c r="AR66">
        <f t="shared" si="40"/>
        <v>0</v>
      </c>
      <c r="AS66">
        <f t="shared" si="40"/>
        <v>0</v>
      </c>
      <c r="AT66">
        <f t="shared" si="40"/>
        <v>0</v>
      </c>
      <c r="AU66">
        <f t="shared" si="40"/>
        <v>0</v>
      </c>
      <c r="AV66">
        <f t="shared" si="40"/>
        <v>0</v>
      </c>
      <c r="AW66">
        <f t="shared" si="40"/>
        <v>0</v>
      </c>
      <c r="AX66">
        <f t="shared" si="40"/>
        <v>0</v>
      </c>
      <c r="AY66" s="16">
        <v>22</v>
      </c>
      <c r="AZ66">
        <v>31</v>
      </c>
      <c r="BA66">
        <v>1</v>
      </c>
      <c r="BB66">
        <v>17</v>
      </c>
    </row>
    <row r="67" spans="1:54" x14ac:dyDescent="0.2">
      <c r="A67" s="3">
        <f>'Monthly Data-EOP'!A127</f>
        <v>41791</v>
      </c>
      <c r="B67" s="102">
        <f t="shared" si="7"/>
        <v>2014</v>
      </c>
      <c r="C67" s="8">
        <f>'Monthly Data-EOP'!B127+'Monthly Data-FE'!B127+'Monthly Data-PC'!B127</f>
        <v>45060086</v>
      </c>
      <c r="D67" s="8">
        <v>8832.1198195815232</v>
      </c>
      <c r="E67" s="8">
        <v>2958.5305549300465</v>
      </c>
      <c r="F67" s="8">
        <f t="shared" ref="F67:F85" si="41">MONTH(A67)</f>
        <v>6</v>
      </c>
      <c r="G67" s="8">
        <f t="shared" ref="G67:G85" si="42">(D67/12+E67/12/12*F67)*1000</f>
        <v>859282.09142054559</v>
      </c>
      <c r="H67" s="8">
        <f t="shared" ref="H67:H85" si="43">C67+G67</f>
        <v>45919368.091420546</v>
      </c>
      <c r="I67" s="8">
        <f>'Monthly Data-EOP'!C127+'Monthly Data-FE'!C127+'Monthly Data-PC'!C127</f>
        <v>12926798</v>
      </c>
      <c r="J67" s="8">
        <f>'Monthly Data-EOP'!D127+'Monthly Data-FE'!D127+'Monthly Data-PC'!D127</f>
        <v>25836</v>
      </c>
      <c r="K67" s="8">
        <f>'Monthly Data-EOP'!E127+'Monthly Data-FE'!E127+'Monthly Data-PC'!E127</f>
        <v>6385925</v>
      </c>
      <c r="L67" s="8">
        <f>'Monthly Data-EOP'!F127+'Monthly Data-FE'!F127+'Monthly Data-PC'!F127</f>
        <v>2515</v>
      </c>
      <c r="M67" s="8">
        <f>'Monthly Data-EOP'!G127+'Monthly Data-FE'!G127+'Monthly Data-PC'!G127</f>
        <v>21867706</v>
      </c>
      <c r="N67" s="8">
        <v>387856</v>
      </c>
      <c r="O67" s="8">
        <f t="shared" si="4"/>
        <v>21479850</v>
      </c>
      <c r="P67" s="8">
        <f>'Monthly Data-EOP'!H127+'Monthly Data-FE'!H127+'Monthly Data-PC'!H127</f>
        <v>54863.12999999999</v>
      </c>
      <c r="Q67" s="8">
        <v>1181.5999999999999</v>
      </c>
      <c r="R67" s="8">
        <f t="shared" si="5"/>
        <v>53681.529999999992</v>
      </c>
      <c r="S67" s="8">
        <f>'Monthly Data-EOP'!I127+'Monthly Data-FE'!I127+'Monthly Data-PC'!I127</f>
        <v>225</v>
      </c>
      <c r="T67" s="8">
        <f>'Monthly Data-EOP'!J127+'Monthly Data-FE'!J127+'Monthly Data-PC'!J127</f>
        <v>327380</v>
      </c>
      <c r="U67" s="8">
        <f>'Monthly Data-EOP'!K127+'Monthly Data-FE'!K127+'Monthly Data-PC'!K127</f>
        <v>1108.0970000000002</v>
      </c>
      <c r="V67" s="8">
        <f>'Monthly Data-EOP'!L127+'Monthly Data-FE'!L127+'Monthly Data-PC'!L127</f>
        <v>5720</v>
      </c>
      <c r="W67" s="8">
        <f>'Monthly Data-EOP'!M127+'Monthly Data-FE'!M127+'Monthly Data-PC'!M127</f>
        <v>60751</v>
      </c>
      <c r="X67" s="8">
        <f>'Monthly Data-EOP'!N127+'Monthly Data-FE'!N127+'Monthly Data-PC'!N127</f>
        <v>177.42600000000004</v>
      </c>
      <c r="Y67" s="8">
        <f>'Monthly Data-EOP'!O127+'Monthly Data-FE'!O127+'Monthly Data-PC'!O127</f>
        <v>777</v>
      </c>
      <c r="Z67" s="8">
        <f>'Monthly Data-EOP'!P127+'Monthly Data-FE'!P127+'Monthly Data-PC'!P127</f>
        <v>149850</v>
      </c>
      <c r="AA67" s="8">
        <f>'Monthly Data-EOP'!Q127+'Monthly Data-FE'!Q127+'Monthly Data-PC'!Q127</f>
        <v>40</v>
      </c>
      <c r="AB67">
        <f>'Weather Data'!S247</f>
        <v>21.3</v>
      </c>
      <c r="AC67">
        <f>'Weather Data'!T247</f>
        <v>71.599999999999994</v>
      </c>
      <c r="AD67">
        <v>25.699999999999996</v>
      </c>
      <c r="AE67">
        <v>47.4</v>
      </c>
      <c r="AF67">
        <v>6912.9</v>
      </c>
      <c r="AG67">
        <v>83.4</v>
      </c>
      <c r="AH67">
        <v>197.1</v>
      </c>
      <c r="AI67">
        <f t="shared" si="8"/>
        <v>66</v>
      </c>
      <c r="AJ67">
        <f t="shared" ref="AJ67:AX67" si="44">AJ55</f>
        <v>0</v>
      </c>
      <c r="AK67">
        <f t="shared" si="44"/>
        <v>0</v>
      </c>
      <c r="AL67">
        <f t="shared" si="44"/>
        <v>0</v>
      </c>
      <c r="AM67">
        <f t="shared" si="44"/>
        <v>0</v>
      </c>
      <c r="AN67">
        <f t="shared" si="44"/>
        <v>0</v>
      </c>
      <c r="AO67">
        <f t="shared" si="44"/>
        <v>0</v>
      </c>
      <c r="AP67">
        <f t="shared" si="44"/>
        <v>0</v>
      </c>
      <c r="AQ67">
        <f t="shared" si="44"/>
        <v>0</v>
      </c>
      <c r="AR67">
        <f t="shared" si="44"/>
        <v>1</v>
      </c>
      <c r="AS67">
        <f t="shared" si="44"/>
        <v>0</v>
      </c>
      <c r="AT67">
        <f t="shared" si="44"/>
        <v>0</v>
      </c>
      <c r="AU67">
        <f t="shared" si="44"/>
        <v>0</v>
      </c>
      <c r="AV67">
        <f t="shared" si="44"/>
        <v>0</v>
      </c>
      <c r="AW67">
        <f t="shared" si="44"/>
        <v>0</v>
      </c>
      <c r="AX67">
        <f t="shared" si="44"/>
        <v>0</v>
      </c>
      <c r="AY67" s="16">
        <v>21</v>
      </c>
      <c r="AZ67">
        <v>30</v>
      </c>
      <c r="BA67">
        <v>1</v>
      </c>
      <c r="BB67">
        <v>18</v>
      </c>
    </row>
    <row r="68" spans="1:54" x14ac:dyDescent="0.2">
      <c r="A68" s="3">
        <f>'Monthly Data-EOP'!A128</f>
        <v>41821</v>
      </c>
      <c r="B68" s="102">
        <f t="shared" si="7"/>
        <v>2014</v>
      </c>
      <c r="C68" s="8">
        <f>'Monthly Data-EOP'!B128+'Monthly Data-FE'!B128+'Monthly Data-PC'!B128</f>
        <v>46747535</v>
      </c>
      <c r="D68" s="8">
        <v>8832.1198195815232</v>
      </c>
      <c r="E68" s="8">
        <v>2958.5305549300465</v>
      </c>
      <c r="F68" s="8">
        <f t="shared" si="41"/>
        <v>7</v>
      </c>
      <c r="G68" s="8">
        <f t="shared" si="42"/>
        <v>879827.44249644864</v>
      </c>
      <c r="H68" s="8">
        <f t="shared" si="43"/>
        <v>47627362.442496449</v>
      </c>
      <c r="I68" s="8">
        <f>'Monthly Data-EOP'!C128+'Monthly Data-FE'!C128+'Monthly Data-PC'!C128</f>
        <v>18303268</v>
      </c>
      <c r="J68" s="8">
        <f>'Monthly Data-EOP'!D128+'Monthly Data-FE'!D128+'Monthly Data-PC'!D128</f>
        <v>25849</v>
      </c>
      <c r="K68" s="8">
        <f>'Monthly Data-EOP'!E128+'Monthly Data-FE'!E128+'Monthly Data-PC'!E128</f>
        <v>5593805</v>
      </c>
      <c r="L68" s="8">
        <f>'Monthly Data-EOP'!F128+'Monthly Data-FE'!F128+'Monthly Data-PC'!F128</f>
        <v>2508</v>
      </c>
      <c r="M68" s="8">
        <f>'Monthly Data-EOP'!G128+'Monthly Data-FE'!G128+'Monthly Data-PC'!G128</f>
        <v>18821477</v>
      </c>
      <c r="N68" s="8">
        <v>436961</v>
      </c>
      <c r="O68" s="8">
        <f t="shared" ref="O68:O85" si="45">M68-N68</f>
        <v>18384516</v>
      </c>
      <c r="P68" s="8">
        <f>'Monthly Data-EOP'!H128+'Monthly Data-FE'!H128+'Monthly Data-PC'!H128</f>
        <v>60420.317999999999</v>
      </c>
      <c r="Q68" s="8">
        <v>1304.8</v>
      </c>
      <c r="R68" s="8">
        <f t="shared" ref="R68:R85" si="46">P68-Q68</f>
        <v>59115.517999999996</v>
      </c>
      <c r="S68" s="8">
        <f>'Monthly Data-EOP'!I128+'Monthly Data-FE'!I128+'Monthly Data-PC'!I128</f>
        <v>225</v>
      </c>
      <c r="T68" s="8">
        <f>'Monthly Data-EOP'!J128+'Monthly Data-FE'!J128+'Monthly Data-PC'!J128</f>
        <v>197523</v>
      </c>
      <c r="U68" s="8">
        <f>'Monthly Data-EOP'!K128+'Monthly Data-FE'!K128+'Monthly Data-PC'!K128</f>
        <v>1108.0969999999993</v>
      </c>
      <c r="V68" s="8">
        <f>'Monthly Data-EOP'!L128+'Monthly Data-FE'!L128+'Monthly Data-PC'!L128</f>
        <v>5720</v>
      </c>
      <c r="W68" s="8">
        <f>'Monthly Data-EOP'!M128+'Monthly Data-FE'!M128+'Monthly Data-PC'!M128</f>
        <v>57583</v>
      </c>
      <c r="X68" s="8">
        <f>'Monthly Data-EOP'!N128+'Monthly Data-FE'!N128+'Monthly Data-PC'!N128</f>
        <v>178.52600000000007</v>
      </c>
      <c r="Y68" s="8">
        <f>'Monthly Data-EOP'!O128+'Monthly Data-FE'!O128+'Monthly Data-PC'!O128</f>
        <v>774</v>
      </c>
      <c r="Z68" s="8">
        <f>'Monthly Data-EOP'!P128+'Monthly Data-FE'!P128+'Monthly Data-PC'!P128</f>
        <v>89294</v>
      </c>
      <c r="AA68" s="8">
        <f>'Monthly Data-EOP'!Q128+'Monthly Data-FE'!Q128+'Monthly Data-PC'!Q128</f>
        <v>40</v>
      </c>
      <c r="AB68">
        <f>'Weather Data'!S248</f>
        <v>13.700000000000001</v>
      </c>
      <c r="AC68">
        <f>'Weather Data'!T248</f>
        <v>51</v>
      </c>
      <c r="AD68">
        <v>10.600000000000001</v>
      </c>
      <c r="AE68">
        <v>55.899999999999984</v>
      </c>
      <c r="AF68">
        <v>6957.8</v>
      </c>
      <c r="AG68">
        <v>83.4</v>
      </c>
      <c r="AH68">
        <v>197.9</v>
      </c>
      <c r="AI68">
        <f t="shared" si="8"/>
        <v>67</v>
      </c>
      <c r="AJ68">
        <f t="shared" ref="AJ68:AX68" si="47">AJ56</f>
        <v>0</v>
      </c>
      <c r="AK68">
        <f t="shared" si="47"/>
        <v>0</v>
      </c>
      <c r="AL68">
        <f t="shared" si="47"/>
        <v>0</v>
      </c>
      <c r="AM68">
        <f t="shared" si="47"/>
        <v>0</v>
      </c>
      <c r="AN68">
        <f t="shared" si="47"/>
        <v>0</v>
      </c>
      <c r="AO68">
        <f t="shared" si="47"/>
        <v>0</v>
      </c>
      <c r="AP68">
        <f t="shared" si="47"/>
        <v>0</v>
      </c>
      <c r="AQ68">
        <f t="shared" si="47"/>
        <v>0</v>
      </c>
      <c r="AR68">
        <f t="shared" si="47"/>
        <v>0</v>
      </c>
      <c r="AS68">
        <f t="shared" si="47"/>
        <v>1</v>
      </c>
      <c r="AT68">
        <f t="shared" si="47"/>
        <v>0</v>
      </c>
      <c r="AU68">
        <f t="shared" si="47"/>
        <v>0</v>
      </c>
      <c r="AV68">
        <f t="shared" si="47"/>
        <v>0</v>
      </c>
      <c r="AW68">
        <f t="shared" si="47"/>
        <v>0</v>
      </c>
      <c r="AX68">
        <f t="shared" si="47"/>
        <v>0</v>
      </c>
      <c r="AY68" s="16">
        <v>22</v>
      </c>
      <c r="AZ68">
        <v>31</v>
      </c>
      <c r="BA68">
        <v>1</v>
      </c>
      <c r="BB68">
        <v>19</v>
      </c>
    </row>
    <row r="69" spans="1:54" x14ac:dyDescent="0.2">
      <c r="A69" s="3">
        <f>'Monthly Data-EOP'!A129</f>
        <v>41852</v>
      </c>
      <c r="B69" s="102">
        <f t="shared" si="7"/>
        <v>2014</v>
      </c>
      <c r="C69" s="8">
        <f>'Monthly Data-EOP'!B129+'Monthly Data-FE'!B129+'Monthly Data-PC'!B129</f>
        <v>44915574</v>
      </c>
      <c r="D69" s="8">
        <v>8832.1198195815232</v>
      </c>
      <c r="E69" s="8">
        <v>2958.5305549300465</v>
      </c>
      <c r="F69" s="8">
        <f t="shared" si="41"/>
        <v>8</v>
      </c>
      <c r="G69" s="8">
        <f t="shared" si="42"/>
        <v>900372.79357235169</v>
      </c>
      <c r="H69" s="8">
        <f t="shared" si="43"/>
        <v>45815946.793572351</v>
      </c>
      <c r="I69" s="8">
        <f>'Monthly Data-EOP'!C129+'Monthly Data-FE'!C129+'Monthly Data-PC'!C129</f>
        <v>18296644</v>
      </c>
      <c r="J69" s="8">
        <f>'Monthly Data-EOP'!D129+'Monthly Data-FE'!D129+'Monthly Data-PC'!D129</f>
        <v>25857</v>
      </c>
      <c r="K69" s="8">
        <f>'Monthly Data-EOP'!E129+'Monthly Data-FE'!E129+'Monthly Data-PC'!E129</f>
        <v>6090920</v>
      </c>
      <c r="L69" s="8">
        <f>'Monthly Data-EOP'!F129+'Monthly Data-FE'!F129+'Monthly Data-PC'!F129</f>
        <v>2506</v>
      </c>
      <c r="M69" s="8">
        <f>'Monthly Data-EOP'!G129+'Monthly Data-FE'!G129+'Monthly Data-PC'!G129</f>
        <v>20391866</v>
      </c>
      <c r="N69" s="8">
        <v>466062.8</v>
      </c>
      <c r="O69" s="8">
        <f t="shared" si="45"/>
        <v>19925803.199999999</v>
      </c>
      <c r="P69" s="8">
        <f>'Monthly Data-EOP'!H129+'Monthly Data-FE'!H129+'Monthly Data-PC'!H129</f>
        <v>59988.737999999998</v>
      </c>
      <c r="Q69" s="8">
        <v>1321.6</v>
      </c>
      <c r="R69" s="8">
        <f t="shared" si="46"/>
        <v>58667.137999999999</v>
      </c>
      <c r="S69" s="8">
        <f>'Monthly Data-EOP'!I129+'Monthly Data-FE'!I129+'Monthly Data-PC'!I129</f>
        <v>225</v>
      </c>
      <c r="T69" s="8">
        <f>'Monthly Data-EOP'!J129+'Monthly Data-FE'!J129+'Monthly Data-PC'!J129</f>
        <v>272072</v>
      </c>
      <c r="U69" s="8">
        <f>'Monthly Data-EOP'!K129+'Monthly Data-FE'!K129+'Monthly Data-PC'!K129</f>
        <v>1108.0970000000004</v>
      </c>
      <c r="V69" s="8">
        <f>'Monthly Data-EOP'!L129+'Monthly Data-FE'!L129+'Monthly Data-PC'!L129</f>
        <v>5720</v>
      </c>
      <c r="W69" s="8">
        <f>'Monthly Data-EOP'!M129+'Monthly Data-FE'!M129+'Monthly Data-PC'!M129</f>
        <v>58838</v>
      </c>
      <c r="X69" s="8">
        <f>'Monthly Data-EOP'!N129+'Monthly Data-FE'!N129+'Monthly Data-PC'!N129</f>
        <v>177.35099999999989</v>
      </c>
      <c r="Y69" s="8">
        <f>'Monthly Data-EOP'!O129+'Monthly Data-FE'!O129+'Monthly Data-PC'!O129</f>
        <v>774</v>
      </c>
      <c r="Z69" s="8">
        <f>'Monthly Data-EOP'!P129+'Monthly Data-FE'!P129+'Monthly Data-PC'!P129</f>
        <v>149696</v>
      </c>
      <c r="AA69" s="8">
        <f>'Monthly Data-EOP'!Q129+'Monthly Data-FE'!Q129+'Monthly Data-PC'!Q129</f>
        <v>40</v>
      </c>
      <c r="AB69">
        <f>'Weather Data'!S249</f>
        <v>19.5</v>
      </c>
      <c r="AC69">
        <f>'Weather Data'!T249</f>
        <v>56.999999999999993</v>
      </c>
      <c r="AD69">
        <v>18.999999999999996</v>
      </c>
      <c r="AE69">
        <v>51.999999999999993</v>
      </c>
      <c r="AF69">
        <v>6969.7</v>
      </c>
      <c r="AG69">
        <v>82.2</v>
      </c>
      <c r="AH69">
        <v>196.7</v>
      </c>
      <c r="AI69">
        <f t="shared" si="8"/>
        <v>68</v>
      </c>
      <c r="AJ69">
        <f t="shared" ref="AJ69:AX69" si="48">AJ57</f>
        <v>0</v>
      </c>
      <c r="AK69">
        <f t="shared" si="48"/>
        <v>0</v>
      </c>
      <c r="AL69">
        <f t="shared" si="48"/>
        <v>0</v>
      </c>
      <c r="AM69">
        <f t="shared" si="48"/>
        <v>0</v>
      </c>
      <c r="AN69">
        <f t="shared" si="48"/>
        <v>0</v>
      </c>
      <c r="AO69">
        <f t="shared" si="48"/>
        <v>0</v>
      </c>
      <c r="AP69">
        <f t="shared" si="48"/>
        <v>0</v>
      </c>
      <c r="AQ69">
        <f t="shared" si="48"/>
        <v>0</v>
      </c>
      <c r="AR69">
        <f t="shared" si="48"/>
        <v>0</v>
      </c>
      <c r="AS69">
        <f t="shared" si="48"/>
        <v>0</v>
      </c>
      <c r="AT69">
        <f t="shared" si="48"/>
        <v>1</v>
      </c>
      <c r="AU69">
        <f t="shared" si="48"/>
        <v>0</v>
      </c>
      <c r="AV69">
        <f t="shared" si="48"/>
        <v>0</v>
      </c>
      <c r="AW69">
        <f t="shared" si="48"/>
        <v>0</v>
      </c>
      <c r="AX69">
        <f t="shared" si="48"/>
        <v>0</v>
      </c>
      <c r="AY69" s="16">
        <v>20</v>
      </c>
      <c r="AZ69">
        <v>31</v>
      </c>
      <c r="BA69">
        <v>1</v>
      </c>
      <c r="BB69">
        <v>20</v>
      </c>
    </row>
    <row r="70" spans="1:54" x14ac:dyDescent="0.2">
      <c r="A70" s="3">
        <f>'Monthly Data-EOP'!A130</f>
        <v>41883</v>
      </c>
      <c r="B70" s="102">
        <f t="shared" si="7"/>
        <v>2014</v>
      </c>
      <c r="C70" s="8">
        <f>'Monthly Data-EOP'!B130+'Monthly Data-FE'!B130+'Monthly Data-PC'!B130</f>
        <v>39557944</v>
      </c>
      <c r="D70" s="8">
        <v>8832.1198195815232</v>
      </c>
      <c r="E70" s="8">
        <v>2958.5305549300465</v>
      </c>
      <c r="F70" s="8">
        <f t="shared" si="41"/>
        <v>9</v>
      </c>
      <c r="G70" s="8">
        <f t="shared" si="42"/>
        <v>920918.14464825485</v>
      </c>
      <c r="H70" s="8">
        <f t="shared" si="43"/>
        <v>40478862.144648254</v>
      </c>
      <c r="I70" s="8">
        <f>'Monthly Data-EOP'!C130+'Monthly Data-FE'!C130+'Monthly Data-PC'!C130</f>
        <v>15712457</v>
      </c>
      <c r="J70" s="8">
        <f>'Monthly Data-EOP'!D130+'Monthly Data-FE'!D130+'Monthly Data-PC'!D130</f>
        <v>25877</v>
      </c>
      <c r="K70" s="8">
        <f>'Monthly Data-EOP'!E130+'Monthly Data-FE'!E130+'Monthly Data-PC'!E130</f>
        <v>5218132</v>
      </c>
      <c r="L70" s="8">
        <f>'Monthly Data-EOP'!F130+'Monthly Data-FE'!F130+'Monthly Data-PC'!F130</f>
        <v>2514</v>
      </c>
      <c r="M70" s="8">
        <f>'Monthly Data-EOP'!G130+'Monthly Data-FE'!G130+'Monthly Data-PC'!G130</f>
        <v>15982957</v>
      </c>
      <c r="N70" s="8">
        <v>451201.8</v>
      </c>
      <c r="O70" s="8">
        <f t="shared" si="45"/>
        <v>15531755.199999999</v>
      </c>
      <c r="P70" s="8">
        <f>'Monthly Data-EOP'!H130+'Monthly Data-FE'!H130+'Monthly Data-PC'!H130</f>
        <v>56187.452000000012</v>
      </c>
      <c r="Q70" s="8">
        <v>1411.2</v>
      </c>
      <c r="R70" s="8">
        <f t="shared" si="46"/>
        <v>54776.252000000015</v>
      </c>
      <c r="S70" s="8">
        <f>'Monthly Data-EOP'!I130+'Monthly Data-FE'!I130+'Monthly Data-PC'!I130</f>
        <v>224</v>
      </c>
      <c r="T70" s="8">
        <f>'Monthly Data-EOP'!J130+'Monthly Data-FE'!J130+'Monthly Data-PC'!J130</f>
        <v>310194</v>
      </c>
      <c r="U70" s="8">
        <f>'Monthly Data-EOP'!K130+'Monthly Data-FE'!K130+'Monthly Data-PC'!K130</f>
        <v>1108.0969999999998</v>
      </c>
      <c r="V70" s="8">
        <f>'Monthly Data-EOP'!L130+'Monthly Data-FE'!L130+'Monthly Data-PC'!L130</f>
        <v>5712</v>
      </c>
      <c r="W70" s="8">
        <f>'Monthly Data-EOP'!M130+'Monthly Data-FE'!M130+'Monthly Data-PC'!M130</f>
        <v>58678</v>
      </c>
      <c r="X70" s="8">
        <f>'Monthly Data-EOP'!N130+'Monthly Data-FE'!N130+'Monthly Data-PC'!N130</f>
        <v>177.666</v>
      </c>
      <c r="Y70" s="8">
        <f>'Monthly Data-EOP'!O130+'Monthly Data-FE'!O130+'Monthly Data-PC'!O130</f>
        <v>772</v>
      </c>
      <c r="Z70" s="8">
        <f>'Monthly Data-EOP'!P130+'Monthly Data-FE'!P130+'Monthly Data-PC'!P130</f>
        <v>114624</v>
      </c>
      <c r="AA70" s="8">
        <f>'Monthly Data-EOP'!Q130+'Monthly Data-FE'!Q130+'Monthly Data-PC'!Q130</f>
        <v>38</v>
      </c>
      <c r="AB70">
        <f>'Weather Data'!S250</f>
        <v>85.300000000000011</v>
      </c>
      <c r="AC70">
        <f>'Weather Data'!T250</f>
        <v>27.500000000000004</v>
      </c>
      <c r="AD70">
        <v>90.500000000000014</v>
      </c>
      <c r="AE70">
        <v>25.400000000000006</v>
      </c>
      <c r="AF70">
        <v>6944.1</v>
      </c>
      <c r="AG70">
        <v>81.3</v>
      </c>
      <c r="AH70">
        <v>196.3</v>
      </c>
      <c r="AI70">
        <f t="shared" si="8"/>
        <v>69</v>
      </c>
      <c r="AJ70">
        <f t="shared" ref="AJ70:AX70" si="49">AJ58</f>
        <v>0</v>
      </c>
      <c r="AK70">
        <f t="shared" si="49"/>
        <v>1</v>
      </c>
      <c r="AL70">
        <f t="shared" si="49"/>
        <v>1</v>
      </c>
      <c r="AM70">
        <f t="shared" si="49"/>
        <v>0</v>
      </c>
      <c r="AN70">
        <f t="shared" si="49"/>
        <v>0</v>
      </c>
      <c r="AO70">
        <f t="shared" si="49"/>
        <v>0</v>
      </c>
      <c r="AP70">
        <f t="shared" si="49"/>
        <v>0</v>
      </c>
      <c r="AQ70">
        <f t="shared" si="49"/>
        <v>0</v>
      </c>
      <c r="AR70">
        <f t="shared" si="49"/>
        <v>0</v>
      </c>
      <c r="AS70">
        <f t="shared" si="49"/>
        <v>0</v>
      </c>
      <c r="AT70">
        <f t="shared" si="49"/>
        <v>0</v>
      </c>
      <c r="AU70">
        <f t="shared" si="49"/>
        <v>1</v>
      </c>
      <c r="AV70">
        <f t="shared" si="49"/>
        <v>0</v>
      </c>
      <c r="AW70">
        <f t="shared" si="49"/>
        <v>0</v>
      </c>
      <c r="AX70">
        <f t="shared" si="49"/>
        <v>0</v>
      </c>
      <c r="AY70" s="16">
        <v>21</v>
      </c>
      <c r="AZ70">
        <v>30</v>
      </c>
      <c r="BA70">
        <v>1</v>
      </c>
      <c r="BB70">
        <v>21</v>
      </c>
    </row>
    <row r="71" spans="1:54" x14ac:dyDescent="0.2">
      <c r="A71" s="3">
        <f>'Monthly Data-EOP'!A131</f>
        <v>41913</v>
      </c>
      <c r="B71" s="102">
        <f t="shared" ref="B71:B85" si="50">YEAR(A71)</f>
        <v>2014</v>
      </c>
      <c r="C71" s="8">
        <f>'Monthly Data-EOP'!B131+'Monthly Data-FE'!B131+'Monthly Data-PC'!B131</f>
        <v>39850442</v>
      </c>
      <c r="D71" s="8">
        <v>8832.1198195815232</v>
      </c>
      <c r="E71" s="8">
        <v>2958.5305549300465</v>
      </c>
      <c r="F71" s="8">
        <f t="shared" si="41"/>
        <v>10</v>
      </c>
      <c r="G71" s="8">
        <f t="shared" si="42"/>
        <v>941463.4957241579</v>
      </c>
      <c r="H71" s="8">
        <f t="shared" si="43"/>
        <v>40791905.495724156</v>
      </c>
      <c r="I71" s="8">
        <f>'Monthly Data-EOP'!C131+'Monthly Data-FE'!C131+'Monthly Data-PC'!C131</f>
        <v>13353246</v>
      </c>
      <c r="J71" s="8">
        <f>'Monthly Data-EOP'!D131+'Monthly Data-FE'!D131+'Monthly Data-PC'!D131</f>
        <v>25871</v>
      </c>
      <c r="K71" s="8">
        <f>'Monthly Data-EOP'!E131+'Monthly Data-FE'!E131+'Monthly Data-PC'!E131</f>
        <v>5269942</v>
      </c>
      <c r="L71" s="8">
        <f>'Monthly Data-EOP'!F131+'Monthly Data-FE'!F131+'Monthly Data-PC'!F131</f>
        <v>2514</v>
      </c>
      <c r="M71" s="8">
        <f>'Monthly Data-EOP'!G131+'Monthly Data-FE'!G131+'Monthly Data-PC'!G131</f>
        <v>18796286</v>
      </c>
      <c r="N71" s="8">
        <v>410769.8</v>
      </c>
      <c r="O71" s="8">
        <f t="shared" si="45"/>
        <v>18385516.199999999</v>
      </c>
      <c r="P71" s="8">
        <f>'Monthly Data-EOP'!H131+'Monthly Data-FE'!H131+'Monthly Data-PC'!H131</f>
        <v>56903.275999999991</v>
      </c>
      <c r="Q71" s="8">
        <v>1226.4000000000001</v>
      </c>
      <c r="R71" s="8">
        <f t="shared" si="46"/>
        <v>55676.875999999989</v>
      </c>
      <c r="S71" s="8">
        <f>'Monthly Data-EOP'!I131+'Monthly Data-FE'!I131+'Monthly Data-PC'!I131</f>
        <v>225</v>
      </c>
      <c r="T71" s="8">
        <f>'Monthly Data-EOP'!J131+'Monthly Data-FE'!J131+'Monthly Data-PC'!J131</f>
        <v>427618</v>
      </c>
      <c r="U71" s="8">
        <f>'Monthly Data-EOP'!K131+'Monthly Data-FE'!K131+'Monthly Data-PC'!K131</f>
        <v>1108.097</v>
      </c>
      <c r="V71" s="8">
        <f>'Monthly Data-EOP'!L131+'Monthly Data-FE'!L131+'Monthly Data-PC'!L131</f>
        <v>5712</v>
      </c>
      <c r="W71" s="8">
        <f>'Monthly Data-EOP'!M131+'Monthly Data-FE'!M131+'Monthly Data-PC'!M131</f>
        <v>58161</v>
      </c>
      <c r="X71" s="8">
        <f>'Monthly Data-EOP'!N131+'Monthly Data-FE'!N131+'Monthly Data-PC'!N131</f>
        <v>177.89100000000008</v>
      </c>
      <c r="Y71" s="8">
        <f>'Monthly Data-EOP'!O131+'Monthly Data-FE'!O131+'Monthly Data-PC'!O131</f>
        <v>772</v>
      </c>
      <c r="Z71" s="8">
        <f>'Monthly Data-EOP'!P131+'Monthly Data-FE'!P131+'Monthly Data-PC'!P131</f>
        <v>130917</v>
      </c>
      <c r="AA71" s="8">
        <f>'Monthly Data-EOP'!Q131+'Monthly Data-FE'!Q131+'Monthly Data-PC'!Q131</f>
        <v>38</v>
      </c>
      <c r="AB71">
        <f>'Weather Data'!S251</f>
        <v>225.09999999999997</v>
      </c>
      <c r="AC71">
        <f>'Weather Data'!T251</f>
        <v>4.5</v>
      </c>
      <c r="AD71">
        <v>225.59999999999994</v>
      </c>
      <c r="AE71">
        <v>1.8</v>
      </c>
      <c r="AF71">
        <v>6936.6</v>
      </c>
      <c r="AG71">
        <v>80.099999999999994</v>
      </c>
      <c r="AH71">
        <v>197.1</v>
      </c>
      <c r="AI71">
        <f t="shared" si="8"/>
        <v>70</v>
      </c>
      <c r="AJ71">
        <f t="shared" ref="AJ71:AX71" si="51">AJ59</f>
        <v>0</v>
      </c>
      <c r="AK71">
        <f t="shared" si="51"/>
        <v>1</v>
      </c>
      <c r="AL71">
        <f t="shared" si="51"/>
        <v>1</v>
      </c>
      <c r="AM71">
        <f t="shared" si="51"/>
        <v>0</v>
      </c>
      <c r="AN71">
        <f t="shared" si="51"/>
        <v>0</v>
      </c>
      <c r="AO71">
        <f t="shared" si="51"/>
        <v>0</v>
      </c>
      <c r="AP71">
        <f t="shared" si="51"/>
        <v>0</v>
      </c>
      <c r="AQ71">
        <f t="shared" si="51"/>
        <v>0</v>
      </c>
      <c r="AR71">
        <f t="shared" si="51"/>
        <v>0</v>
      </c>
      <c r="AS71">
        <f t="shared" si="51"/>
        <v>0</v>
      </c>
      <c r="AT71">
        <f t="shared" si="51"/>
        <v>0</v>
      </c>
      <c r="AU71">
        <f t="shared" si="51"/>
        <v>0</v>
      </c>
      <c r="AV71">
        <f t="shared" si="51"/>
        <v>1</v>
      </c>
      <c r="AW71">
        <f t="shared" si="51"/>
        <v>0</v>
      </c>
      <c r="AX71">
        <f t="shared" si="51"/>
        <v>0</v>
      </c>
      <c r="AY71" s="16">
        <v>22</v>
      </c>
      <c r="AZ71">
        <v>31</v>
      </c>
      <c r="BA71">
        <v>1</v>
      </c>
      <c r="BB71">
        <v>22</v>
      </c>
    </row>
    <row r="72" spans="1:54" x14ac:dyDescent="0.2">
      <c r="A72" s="3">
        <f>'Monthly Data-EOP'!A132</f>
        <v>41944</v>
      </c>
      <c r="B72" s="102">
        <f t="shared" si="50"/>
        <v>2014</v>
      </c>
      <c r="C72" s="8">
        <f>'Monthly Data-EOP'!B132+'Monthly Data-FE'!B132+'Monthly Data-PC'!B132</f>
        <v>43491698</v>
      </c>
      <c r="D72" s="8">
        <v>8832.1198195815232</v>
      </c>
      <c r="E72" s="8">
        <v>2958.5305549300465</v>
      </c>
      <c r="F72" s="8">
        <f t="shared" si="41"/>
        <v>11</v>
      </c>
      <c r="G72" s="8">
        <f t="shared" si="42"/>
        <v>962008.84680006106</v>
      </c>
      <c r="H72" s="8">
        <f t="shared" si="43"/>
        <v>44453706.846800059</v>
      </c>
      <c r="I72" s="8">
        <f>'Monthly Data-EOP'!C132+'Monthly Data-FE'!C132+'Monthly Data-PC'!C132</f>
        <v>15856978</v>
      </c>
      <c r="J72" s="8">
        <f>'Monthly Data-EOP'!D132+'Monthly Data-FE'!D132+'Monthly Data-PC'!D132</f>
        <v>25882</v>
      </c>
      <c r="K72" s="8">
        <f>'Monthly Data-EOP'!E132+'Monthly Data-FE'!E132+'Monthly Data-PC'!E132</f>
        <v>5786508</v>
      </c>
      <c r="L72" s="8">
        <f>'Monthly Data-EOP'!F132+'Monthly Data-FE'!F132+'Monthly Data-PC'!F132</f>
        <v>2503</v>
      </c>
      <c r="M72" s="8">
        <f>'Monthly Data-EOP'!G132+'Monthly Data-FE'!G132+'Monthly Data-PC'!G132</f>
        <v>19019895</v>
      </c>
      <c r="N72" s="8">
        <v>392023.8</v>
      </c>
      <c r="O72" s="8">
        <f t="shared" si="45"/>
        <v>18627871.199999999</v>
      </c>
      <c r="P72" s="8">
        <f>'Monthly Data-EOP'!H132+'Monthly Data-FE'!H132+'Monthly Data-PC'!H132</f>
        <v>58001.896000000001</v>
      </c>
      <c r="Q72" s="8">
        <v>1047.2</v>
      </c>
      <c r="R72" s="8">
        <f t="shared" si="46"/>
        <v>56954.696000000004</v>
      </c>
      <c r="S72" s="8">
        <f>'Monthly Data-EOP'!I132+'Monthly Data-FE'!I132+'Monthly Data-PC'!I132</f>
        <v>224</v>
      </c>
      <c r="T72" s="8">
        <f>'Monthly Data-EOP'!J132+'Monthly Data-FE'!J132+'Monthly Data-PC'!J132</f>
        <v>536661</v>
      </c>
      <c r="U72" s="8">
        <f>'Monthly Data-EOP'!K132+'Monthly Data-FE'!K132+'Monthly Data-PC'!K132</f>
        <v>1104.0920000000008</v>
      </c>
      <c r="V72" s="8">
        <f>'Monthly Data-EOP'!L132+'Monthly Data-FE'!L132+'Monthly Data-PC'!L132</f>
        <v>5712</v>
      </c>
      <c r="W72" s="8">
        <f>'Monthly Data-EOP'!M132+'Monthly Data-FE'!M132+'Monthly Data-PC'!M132</f>
        <v>59589</v>
      </c>
      <c r="X72" s="8">
        <f>'Monthly Data-EOP'!N132+'Monthly Data-FE'!N132+'Monthly Data-PC'!N132</f>
        <v>176.3659999999999</v>
      </c>
      <c r="Y72" s="8">
        <f>'Monthly Data-EOP'!O132+'Monthly Data-FE'!O132+'Monthly Data-PC'!O132</f>
        <v>772</v>
      </c>
      <c r="Z72" s="8">
        <f>'Monthly Data-EOP'!P132+'Monthly Data-FE'!P132+'Monthly Data-PC'!P132</f>
        <v>145687</v>
      </c>
      <c r="AA72" s="8">
        <f>'Monthly Data-EOP'!Q132+'Monthly Data-FE'!Q132+'Monthly Data-PC'!Q132</f>
        <v>38</v>
      </c>
      <c r="AB72">
        <f>'Weather Data'!S252</f>
        <v>465.7</v>
      </c>
      <c r="AC72">
        <f>'Weather Data'!T252</f>
        <v>0</v>
      </c>
      <c r="AD72">
        <v>491.6</v>
      </c>
      <c r="AE72">
        <v>0</v>
      </c>
      <c r="AF72">
        <v>6914.3</v>
      </c>
      <c r="AG72">
        <v>79.099999999999994</v>
      </c>
      <c r="AH72">
        <v>197.2</v>
      </c>
      <c r="AI72">
        <f t="shared" si="8"/>
        <v>71</v>
      </c>
      <c r="AJ72">
        <f t="shared" ref="AJ72:AX72" si="52">AJ60</f>
        <v>0</v>
      </c>
      <c r="AK72">
        <f t="shared" si="52"/>
        <v>1</v>
      </c>
      <c r="AL72">
        <f t="shared" si="52"/>
        <v>1</v>
      </c>
      <c r="AM72">
        <f t="shared" si="52"/>
        <v>0</v>
      </c>
      <c r="AN72">
        <f t="shared" si="52"/>
        <v>0</v>
      </c>
      <c r="AO72">
        <f t="shared" si="52"/>
        <v>0</v>
      </c>
      <c r="AP72">
        <f t="shared" si="52"/>
        <v>0</v>
      </c>
      <c r="AQ72">
        <f t="shared" si="52"/>
        <v>0</v>
      </c>
      <c r="AR72">
        <f t="shared" si="52"/>
        <v>0</v>
      </c>
      <c r="AS72">
        <f t="shared" si="52"/>
        <v>0</v>
      </c>
      <c r="AT72">
        <f t="shared" si="52"/>
        <v>0</v>
      </c>
      <c r="AU72">
        <f t="shared" si="52"/>
        <v>0</v>
      </c>
      <c r="AV72">
        <f t="shared" si="52"/>
        <v>0</v>
      </c>
      <c r="AW72">
        <f t="shared" si="52"/>
        <v>1</v>
      </c>
      <c r="AX72">
        <f t="shared" si="52"/>
        <v>0</v>
      </c>
      <c r="AY72" s="16">
        <v>20</v>
      </c>
      <c r="AZ72">
        <v>30</v>
      </c>
      <c r="BA72">
        <v>1</v>
      </c>
      <c r="BB72">
        <v>23</v>
      </c>
    </row>
    <row r="73" spans="1:54" x14ac:dyDescent="0.2">
      <c r="A73" s="3">
        <f>'Monthly Data-EOP'!A133</f>
        <v>41974</v>
      </c>
      <c r="B73" s="102">
        <f t="shared" si="50"/>
        <v>2014</v>
      </c>
      <c r="C73" s="8">
        <f>'Monthly Data-EOP'!B133+'Monthly Data-FE'!B133+'Monthly Data-PC'!B133</f>
        <v>44870993</v>
      </c>
      <c r="D73" s="8">
        <v>8832.1198195815232</v>
      </c>
      <c r="E73" s="8">
        <v>2958.5305549300465</v>
      </c>
      <c r="F73" s="8">
        <f t="shared" si="41"/>
        <v>12</v>
      </c>
      <c r="G73" s="8">
        <f t="shared" si="42"/>
        <v>982554.19787596422</v>
      </c>
      <c r="H73" s="8">
        <f t="shared" si="43"/>
        <v>45853547.197875962</v>
      </c>
      <c r="I73" s="8">
        <f>'Monthly Data-EOP'!C133+'Monthly Data-FE'!C133+'Monthly Data-PC'!C133</f>
        <v>18464326</v>
      </c>
      <c r="J73" s="8">
        <f>'Monthly Data-EOP'!D133+'Monthly Data-FE'!D133+'Monthly Data-PC'!D133</f>
        <v>25892</v>
      </c>
      <c r="K73" s="8">
        <f>'Monthly Data-EOP'!E133+'Monthly Data-FE'!E133+'Monthly Data-PC'!E133</f>
        <v>5956358</v>
      </c>
      <c r="L73" s="8">
        <f>'Monthly Data-EOP'!F133+'Monthly Data-FE'!F133+'Monthly Data-PC'!F133</f>
        <v>2502</v>
      </c>
      <c r="M73" s="8">
        <f>'Monthly Data-EOP'!G133+'Monthly Data-FE'!G133+'Monthly Data-PC'!G133</f>
        <v>17726894</v>
      </c>
      <c r="N73" s="8">
        <v>429025.8</v>
      </c>
      <c r="O73" s="8">
        <f t="shared" si="45"/>
        <v>17297868.199999999</v>
      </c>
      <c r="P73" s="8">
        <f>'Monthly Data-EOP'!H133+'Monthly Data-FE'!H133+'Monthly Data-PC'!H133</f>
        <v>56995.61599999998</v>
      </c>
      <c r="Q73" s="8">
        <v>1052.8</v>
      </c>
      <c r="R73" s="8">
        <f t="shared" si="46"/>
        <v>55942.815999999977</v>
      </c>
      <c r="S73" s="8">
        <f>'Monthly Data-EOP'!I133+'Monthly Data-FE'!I133+'Monthly Data-PC'!I133</f>
        <v>226</v>
      </c>
      <c r="T73" s="8">
        <f>'Monthly Data-EOP'!J133+'Monthly Data-FE'!J133+'Monthly Data-PC'!J133</f>
        <v>474735</v>
      </c>
      <c r="U73" s="8">
        <f>'Monthly Data-EOP'!K133+'Monthly Data-FE'!K133+'Monthly Data-PC'!K133</f>
        <v>1104.0919999999999</v>
      </c>
      <c r="V73" s="8">
        <f>'Monthly Data-EOP'!L133+'Monthly Data-FE'!L133+'Monthly Data-PC'!L133</f>
        <v>5712</v>
      </c>
      <c r="W73" s="8">
        <f>'Monthly Data-EOP'!M133+'Monthly Data-FE'!M133+'Monthly Data-PC'!M133</f>
        <v>57314</v>
      </c>
      <c r="X73" s="8">
        <f>'Monthly Data-EOP'!N133+'Monthly Data-FE'!N133+'Monthly Data-PC'!N133</f>
        <v>178.94099999999995</v>
      </c>
      <c r="Y73" s="8">
        <f>'Monthly Data-EOP'!O133+'Monthly Data-FE'!O133+'Monthly Data-PC'!O133</f>
        <v>772</v>
      </c>
      <c r="Z73" s="8">
        <f>'Monthly Data-EOP'!P133+'Monthly Data-FE'!P133+'Monthly Data-PC'!P133</f>
        <v>120074</v>
      </c>
      <c r="AA73" s="8">
        <f>'Monthly Data-EOP'!Q133+'Monthly Data-FE'!Q133+'Monthly Data-PC'!Q133</f>
        <v>38</v>
      </c>
      <c r="AB73">
        <f>'Weather Data'!S253</f>
        <v>540.79999999999995</v>
      </c>
      <c r="AC73">
        <f>'Weather Data'!T253</f>
        <v>0</v>
      </c>
      <c r="AD73">
        <v>619.89999999999986</v>
      </c>
      <c r="AE73">
        <v>0</v>
      </c>
      <c r="AF73">
        <v>6903.2</v>
      </c>
      <c r="AG73">
        <v>79</v>
      </c>
      <c r="AH73">
        <v>196</v>
      </c>
      <c r="AI73">
        <f t="shared" ref="AI73:AI85" si="53">AI72+1</f>
        <v>72</v>
      </c>
      <c r="AJ73">
        <f t="shared" ref="AJ73:AX73" si="54">AJ61</f>
        <v>0</v>
      </c>
      <c r="AK73">
        <f t="shared" si="54"/>
        <v>0</v>
      </c>
      <c r="AL73">
        <f t="shared" si="54"/>
        <v>0</v>
      </c>
      <c r="AM73">
        <f t="shared" si="54"/>
        <v>0</v>
      </c>
      <c r="AN73">
        <f t="shared" si="54"/>
        <v>0</v>
      </c>
      <c r="AO73">
        <f t="shared" si="54"/>
        <v>0</v>
      </c>
      <c r="AP73">
        <f t="shared" si="54"/>
        <v>0</v>
      </c>
      <c r="AQ73">
        <f t="shared" si="54"/>
        <v>0</v>
      </c>
      <c r="AR73">
        <f t="shared" si="54"/>
        <v>0</v>
      </c>
      <c r="AS73">
        <f t="shared" si="54"/>
        <v>0</v>
      </c>
      <c r="AT73">
        <f t="shared" si="54"/>
        <v>0</v>
      </c>
      <c r="AU73">
        <f t="shared" si="54"/>
        <v>0</v>
      </c>
      <c r="AV73">
        <f t="shared" si="54"/>
        <v>0</v>
      </c>
      <c r="AW73">
        <f t="shared" si="54"/>
        <v>0</v>
      </c>
      <c r="AX73">
        <f t="shared" si="54"/>
        <v>1</v>
      </c>
      <c r="AY73" s="16">
        <v>21</v>
      </c>
      <c r="AZ73">
        <v>31</v>
      </c>
      <c r="BA73">
        <v>1</v>
      </c>
      <c r="BB73">
        <v>24</v>
      </c>
    </row>
    <row r="74" spans="1:54" x14ac:dyDescent="0.2">
      <c r="A74" s="3">
        <f>'Monthly Data-EOP'!A134</f>
        <v>42005</v>
      </c>
      <c r="B74" s="102">
        <f t="shared" si="50"/>
        <v>2015</v>
      </c>
      <c r="C74" s="8">
        <f>'Monthly Data-EOP'!B134+'Monthly Data-FE'!B134+'Monthly Data-PC'!B134</f>
        <v>50100445</v>
      </c>
      <c r="D74" s="8">
        <v>11312.970600631321</v>
      </c>
      <c r="E74" s="8">
        <v>4113.4189999999999</v>
      </c>
      <c r="F74" s="8">
        <f t="shared" si="41"/>
        <v>1</v>
      </c>
      <c r="G74" s="8">
        <f t="shared" si="42"/>
        <v>971312.95977483224</v>
      </c>
      <c r="H74" s="8">
        <f t="shared" si="43"/>
        <v>51071757.959774829</v>
      </c>
      <c r="I74" s="8">
        <f>'Monthly Data-EOP'!C134+'Monthly Data-FE'!C134+'Monthly Data-PC'!C134</f>
        <v>21454463</v>
      </c>
      <c r="J74" s="8">
        <f>'Monthly Data-EOP'!D134+'Monthly Data-FE'!D134+'Monthly Data-PC'!D134</f>
        <v>25909</v>
      </c>
      <c r="K74" s="8">
        <f>'Monthly Data-EOP'!E134+'Monthly Data-FE'!E134+'Monthly Data-PC'!E134</f>
        <v>6630161</v>
      </c>
      <c r="L74" s="8">
        <f>'Monthly Data-EOP'!F134+'Monthly Data-FE'!F134+'Monthly Data-PC'!F134</f>
        <v>2505</v>
      </c>
      <c r="M74" s="8">
        <f>'Monthly Data-EOP'!G134+'Monthly Data-FE'!G134+'Monthly Data-PC'!G134</f>
        <v>19626583</v>
      </c>
      <c r="N74" s="8">
        <v>457961</v>
      </c>
      <c r="O74" s="8">
        <f t="shared" si="45"/>
        <v>19168622</v>
      </c>
      <c r="P74" s="8">
        <f>'Monthly Data-EOP'!H134+'Monthly Data-FE'!H134+'Monthly Data-PC'!H134</f>
        <v>52210.622000000003</v>
      </c>
      <c r="Q74" s="8">
        <v>935.2</v>
      </c>
      <c r="R74" s="8">
        <f t="shared" si="46"/>
        <v>51275.422000000006</v>
      </c>
      <c r="S74" s="8">
        <f>'Monthly Data-EOP'!I134+'Monthly Data-FE'!I134+'Monthly Data-PC'!I134</f>
        <v>228</v>
      </c>
      <c r="T74" s="8">
        <f>'Monthly Data-EOP'!J134+'Monthly Data-FE'!J134+'Monthly Data-PC'!J134</f>
        <v>497553</v>
      </c>
      <c r="U74" s="8">
        <f>'Monthly Data-EOP'!K134+'Monthly Data-FE'!K134+'Monthly Data-PC'!K134</f>
        <v>1104.0920000000001</v>
      </c>
      <c r="V74" s="8">
        <f>'Monthly Data-EOP'!L134+'Monthly Data-FE'!L134+'Monthly Data-PC'!L134</f>
        <v>5712</v>
      </c>
      <c r="W74" s="8">
        <f>'Monthly Data-EOP'!M134+'Monthly Data-FE'!M134+'Monthly Data-PC'!M134</f>
        <v>59255</v>
      </c>
      <c r="X74" s="8">
        <f>'Monthly Data-EOP'!N134+'Monthly Data-FE'!N134+'Monthly Data-PC'!N134</f>
        <v>175.64099999999999</v>
      </c>
      <c r="Y74" s="8">
        <f>'Monthly Data-EOP'!O134+'Monthly Data-FE'!O134+'Monthly Data-PC'!O134</f>
        <v>772</v>
      </c>
      <c r="Z74" s="8">
        <f>'Monthly Data-EOP'!P134+'Monthly Data-FE'!P134+'Monthly Data-PC'!P134</f>
        <v>131962</v>
      </c>
      <c r="AA74" s="8">
        <f>'Monthly Data-EOP'!Q134+'Monthly Data-FE'!Q134+'Monthly Data-PC'!Q134</f>
        <v>37</v>
      </c>
      <c r="AB74">
        <f>'Weather Data'!S254</f>
        <v>776.4</v>
      </c>
      <c r="AC74">
        <f>'Weather Data'!T254</f>
        <v>0</v>
      </c>
      <c r="AD74">
        <v>882.3</v>
      </c>
      <c r="AE74">
        <v>0</v>
      </c>
      <c r="AF74">
        <v>6845.1</v>
      </c>
      <c r="AG74">
        <v>79.7</v>
      </c>
      <c r="AH74">
        <v>193.5</v>
      </c>
      <c r="AI74">
        <f t="shared" si="53"/>
        <v>73</v>
      </c>
      <c r="AJ74">
        <f t="shared" ref="AJ74:AX74" si="55">AJ62</f>
        <v>0</v>
      </c>
      <c r="AK74">
        <f t="shared" si="55"/>
        <v>0</v>
      </c>
      <c r="AL74">
        <f t="shared" si="55"/>
        <v>0</v>
      </c>
      <c r="AM74">
        <f t="shared" si="55"/>
        <v>1</v>
      </c>
      <c r="AN74">
        <f t="shared" si="55"/>
        <v>0</v>
      </c>
      <c r="AO74">
        <f t="shared" si="55"/>
        <v>0</v>
      </c>
      <c r="AP74">
        <f t="shared" si="55"/>
        <v>0</v>
      </c>
      <c r="AQ74">
        <f t="shared" si="55"/>
        <v>0</v>
      </c>
      <c r="AR74">
        <f t="shared" si="55"/>
        <v>0</v>
      </c>
      <c r="AS74">
        <f t="shared" si="55"/>
        <v>0</v>
      </c>
      <c r="AT74">
        <f t="shared" si="55"/>
        <v>0</v>
      </c>
      <c r="AU74">
        <f t="shared" si="55"/>
        <v>0</v>
      </c>
      <c r="AV74">
        <f t="shared" si="55"/>
        <v>0</v>
      </c>
      <c r="AW74">
        <f t="shared" si="55"/>
        <v>0</v>
      </c>
      <c r="AX74">
        <f t="shared" si="55"/>
        <v>0</v>
      </c>
      <c r="AY74" s="16">
        <v>21</v>
      </c>
      <c r="AZ74">
        <v>31</v>
      </c>
      <c r="BA74">
        <v>1</v>
      </c>
      <c r="BB74">
        <v>25</v>
      </c>
    </row>
    <row r="75" spans="1:54" x14ac:dyDescent="0.2">
      <c r="A75" s="3">
        <f>'Monthly Data-EOP'!A135</f>
        <v>42036</v>
      </c>
      <c r="B75" s="102">
        <f t="shared" si="50"/>
        <v>2015</v>
      </c>
      <c r="C75" s="8">
        <f>'Monthly Data-EOP'!B135+'Monthly Data-FE'!B135+'Monthly Data-PC'!B135</f>
        <v>46271067</v>
      </c>
      <c r="D75" s="8">
        <v>11312.970600631321</v>
      </c>
      <c r="E75" s="8">
        <v>4113.4189999999999</v>
      </c>
      <c r="F75" s="8">
        <f t="shared" si="41"/>
        <v>2</v>
      </c>
      <c r="G75" s="8">
        <f t="shared" si="42"/>
        <v>999878.36949705461</v>
      </c>
      <c r="H75" s="8">
        <f t="shared" si="43"/>
        <v>47270945.369497053</v>
      </c>
      <c r="I75" s="8">
        <f>'Monthly Data-EOP'!C135+'Monthly Data-FE'!C135+'Monthly Data-PC'!C135</f>
        <v>20003507</v>
      </c>
      <c r="J75" s="8">
        <f>'Monthly Data-EOP'!D135+'Monthly Data-FE'!D135+'Monthly Data-PC'!D135</f>
        <v>25900</v>
      </c>
      <c r="K75" s="8">
        <f>'Monthly Data-EOP'!E135+'Monthly Data-FE'!E135+'Monthly Data-PC'!E135</f>
        <v>6543836</v>
      </c>
      <c r="L75" s="8">
        <f>'Monthly Data-EOP'!F135+'Monthly Data-FE'!F135+'Monthly Data-PC'!F135</f>
        <v>2494</v>
      </c>
      <c r="M75" s="8">
        <f>'Monthly Data-EOP'!G135+'Monthly Data-FE'!G135+'Monthly Data-PC'!G135</f>
        <v>16361620</v>
      </c>
      <c r="N75" s="8">
        <v>431417</v>
      </c>
      <c r="O75" s="8">
        <f t="shared" si="45"/>
        <v>15930203</v>
      </c>
      <c r="P75" s="8">
        <f>'Monthly Data-EOP'!H135+'Monthly Data-FE'!H135+'Monthly Data-PC'!H135</f>
        <v>54560.885999999999</v>
      </c>
      <c r="Q75" s="8">
        <v>896</v>
      </c>
      <c r="R75" s="8">
        <f t="shared" si="46"/>
        <v>53664.885999999999</v>
      </c>
      <c r="S75" s="8">
        <f>'Monthly Data-EOP'!I135+'Monthly Data-FE'!I135+'Monthly Data-PC'!I135</f>
        <v>228</v>
      </c>
      <c r="T75" s="8">
        <f>'Monthly Data-EOP'!J135+'Monthly Data-FE'!J135+'Monthly Data-PC'!J135</f>
        <v>379137</v>
      </c>
      <c r="U75" s="8">
        <f>'Monthly Data-EOP'!K135+'Monthly Data-FE'!K135+'Monthly Data-PC'!K135</f>
        <v>1096.2919999999999</v>
      </c>
      <c r="V75" s="8">
        <f>'Monthly Data-EOP'!L135+'Monthly Data-FE'!L135+'Monthly Data-PC'!L135</f>
        <v>5712</v>
      </c>
      <c r="W75" s="8">
        <f>'Monthly Data-EOP'!M135+'Monthly Data-FE'!M135+'Monthly Data-PC'!M135</f>
        <v>58337</v>
      </c>
      <c r="X75" s="8">
        <f>'Monthly Data-EOP'!N135+'Monthly Data-FE'!N135+'Monthly Data-PC'!N135</f>
        <v>176.01599999999999</v>
      </c>
      <c r="Y75" s="8">
        <f>'Monthly Data-EOP'!O135+'Monthly Data-FE'!O135+'Monthly Data-PC'!O135</f>
        <v>772</v>
      </c>
      <c r="Z75" s="8">
        <f>'Monthly Data-EOP'!P135+'Monthly Data-FE'!P135+'Monthly Data-PC'!P135</f>
        <v>83990</v>
      </c>
      <c r="AA75" s="8">
        <f>'Monthly Data-EOP'!Q135+'Monthly Data-FE'!Q135+'Monthly Data-PC'!Q135</f>
        <v>37</v>
      </c>
      <c r="AB75">
        <f>'Weather Data'!S255</f>
        <v>871.9</v>
      </c>
      <c r="AC75">
        <f>'Weather Data'!T255</f>
        <v>0</v>
      </c>
      <c r="AD75">
        <v>901.3</v>
      </c>
      <c r="AE75">
        <v>0</v>
      </c>
      <c r="AF75">
        <v>6810.3</v>
      </c>
      <c r="AG75">
        <v>79.599999999999994</v>
      </c>
      <c r="AH75">
        <v>192.8</v>
      </c>
      <c r="AI75">
        <f t="shared" si="53"/>
        <v>74</v>
      </c>
      <c r="AJ75">
        <f t="shared" ref="AJ75:AX75" si="56">AJ63</f>
        <v>0</v>
      </c>
      <c r="AK75">
        <f t="shared" si="56"/>
        <v>0</v>
      </c>
      <c r="AL75">
        <f t="shared" si="56"/>
        <v>0</v>
      </c>
      <c r="AM75">
        <f t="shared" si="56"/>
        <v>0</v>
      </c>
      <c r="AN75">
        <f t="shared" si="56"/>
        <v>1</v>
      </c>
      <c r="AO75">
        <f t="shared" si="56"/>
        <v>0</v>
      </c>
      <c r="AP75">
        <f t="shared" si="56"/>
        <v>0</v>
      </c>
      <c r="AQ75">
        <f t="shared" si="56"/>
        <v>0</v>
      </c>
      <c r="AR75">
        <f t="shared" si="56"/>
        <v>0</v>
      </c>
      <c r="AS75">
        <f t="shared" si="56"/>
        <v>0</v>
      </c>
      <c r="AT75">
        <f t="shared" si="56"/>
        <v>0</v>
      </c>
      <c r="AU75">
        <f t="shared" si="56"/>
        <v>0</v>
      </c>
      <c r="AV75">
        <f t="shared" si="56"/>
        <v>0</v>
      </c>
      <c r="AW75">
        <f t="shared" si="56"/>
        <v>0</v>
      </c>
      <c r="AX75">
        <f t="shared" si="56"/>
        <v>0</v>
      </c>
      <c r="AY75" s="16">
        <v>19</v>
      </c>
      <c r="AZ75">
        <v>28</v>
      </c>
      <c r="BA75">
        <v>1</v>
      </c>
      <c r="BB75">
        <v>26</v>
      </c>
    </row>
    <row r="76" spans="1:54" x14ac:dyDescent="0.2">
      <c r="A76" s="3">
        <f>'Monthly Data-EOP'!A136</f>
        <v>42064</v>
      </c>
      <c r="B76" s="102">
        <f t="shared" si="50"/>
        <v>2015</v>
      </c>
      <c r="C76" s="8">
        <f>'Monthly Data-EOP'!B136+'Monthly Data-FE'!B136+'Monthly Data-PC'!B136</f>
        <v>44501238</v>
      </c>
      <c r="D76" s="8">
        <v>11312.970600631321</v>
      </c>
      <c r="E76" s="8">
        <v>4113.4189999999999</v>
      </c>
      <c r="F76" s="8">
        <f t="shared" si="41"/>
        <v>3</v>
      </c>
      <c r="G76" s="8">
        <f t="shared" si="42"/>
        <v>1028443.7792192769</v>
      </c>
      <c r="H76" s="8">
        <f t="shared" si="43"/>
        <v>45529681.779219277</v>
      </c>
      <c r="I76" s="8">
        <f>'Monthly Data-EOP'!C136+'Monthly Data-FE'!C136+'Monthly Data-PC'!C136</f>
        <v>18233862</v>
      </c>
      <c r="J76" s="8">
        <f>'Monthly Data-EOP'!D136+'Monthly Data-FE'!D136+'Monthly Data-PC'!D136</f>
        <v>25901</v>
      </c>
      <c r="K76" s="8">
        <f>'Monthly Data-EOP'!E136+'Monthly Data-FE'!E136+'Monthly Data-PC'!E136</f>
        <v>5925918</v>
      </c>
      <c r="L76" s="8">
        <f>'Monthly Data-EOP'!F136+'Monthly Data-FE'!F136+'Monthly Data-PC'!F136</f>
        <v>2489</v>
      </c>
      <c r="M76" s="8">
        <f>'Monthly Data-EOP'!G136+'Monthly Data-FE'!G136+'Monthly Data-PC'!G136</f>
        <v>16432963</v>
      </c>
      <c r="N76" s="8">
        <v>400615.6</v>
      </c>
      <c r="O76" s="8">
        <f t="shared" si="45"/>
        <v>16032347.4</v>
      </c>
      <c r="P76" s="8">
        <f>'Monthly Data-EOP'!H136+'Monthly Data-FE'!H136+'Monthly Data-PC'!H136</f>
        <v>57439.259000000005</v>
      </c>
      <c r="Q76" s="8">
        <v>744.8</v>
      </c>
      <c r="R76" s="8">
        <f t="shared" si="46"/>
        <v>56694.459000000003</v>
      </c>
      <c r="S76" s="8">
        <f>'Monthly Data-EOP'!I136+'Monthly Data-FE'!I136+'Monthly Data-PC'!I136</f>
        <v>225</v>
      </c>
      <c r="T76" s="8">
        <f>'Monthly Data-EOP'!J136+'Monthly Data-FE'!J136+'Monthly Data-PC'!J136</f>
        <v>284862</v>
      </c>
      <c r="U76" s="8">
        <f>'Monthly Data-EOP'!K136+'Monthly Data-FE'!K136+'Monthly Data-PC'!K136</f>
        <v>1085.8619999999999</v>
      </c>
      <c r="V76" s="8">
        <f>'Monthly Data-EOP'!L136+'Monthly Data-FE'!L136+'Monthly Data-PC'!L136</f>
        <v>5712</v>
      </c>
      <c r="W76" s="8">
        <f>'Monthly Data-EOP'!M136+'Monthly Data-FE'!M136+'Monthly Data-PC'!M136</f>
        <v>52500</v>
      </c>
      <c r="X76" s="8">
        <f>'Monthly Data-EOP'!N136+'Monthly Data-FE'!N136+'Monthly Data-PC'!N136</f>
        <v>176.16600000000003</v>
      </c>
      <c r="Y76" s="8">
        <f>'Monthly Data-EOP'!O136+'Monthly Data-FE'!O136+'Monthly Data-PC'!O136</f>
        <v>766</v>
      </c>
      <c r="Z76" s="8">
        <f>'Monthly Data-EOP'!P136+'Monthly Data-FE'!P136+'Monthly Data-PC'!P136</f>
        <v>136747</v>
      </c>
      <c r="AA76" s="8">
        <f>'Monthly Data-EOP'!Q136+'Monthly Data-FE'!Q136+'Monthly Data-PC'!Q136</f>
        <v>37</v>
      </c>
      <c r="AB76">
        <f>'Weather Data'!S256</f>
        <v>637</v>
      </c>
      <c r="AC76">
        <f>'Weather Data'!T256</f>
        <v>0</v>
      </c>
      <c r="AD76">
        <v>665.9</v>
      </c>
      <c r="AE76">
        <v>0</v>
      </c>
      <c r="AF76">
        <v>6783.7</v>
      </c>
      <c r="AG76">
        <v>79.7</v>
      </c>
      <c r="AH76">
        <v>195</v>
      </c>
      <c r="AI76">
        <f t="shared" si="53"/>
        <v>75</v>
      </c>
      <c r="AJ76">
        <f t="shared" ref="AJ76:AX76" si="57">AJ64</f>
        <v>1</v>
      </c>
      <c r="AK76">
        <f t="shared" si="57"/>
        <v>0</v>
      </c>
      <c r="AL76">
        <f t="shared" si="57"/>
        <v>1</v>
      </c>
      <c r="AM76">
        <f t="shared" si="57"/>
        <v>0</v>
      </c>
      <c r="AN76">
        <f t="shared" si="57"/>
        <v>0</v>
      </c>
      <c r="AO76">
        <f t="shared" si="57"/>
        <v>1</v>
      </c>
      <c r="AP76">
        <f t="shared" si="57"/>
        <v>0</v>
      </c>
      <c r="AQ76">
        <f t="shared" si="57"/>
        <v>0</v>
      </c>
      <c r="AR76">
        <f t="shared" si="57"/>
        <v>0</v>
      </c>
      <c r="AS76">
        <f t="shared" si="57"/>
        <v>0</v>
      </c>
      <c r="AT76">
        <f t="shared" si="57"/>
        <v>0</v>
      </c>
      <c r="AU76">
        <f t="shared" si="57"/>
        <v>0</v>
      </c>
      <c r="AV76">
        <f t="shared" si="57"/>
        <v>0</v>
      </c>
      <c r="AW76">
        <f t="shared" si="57"/>
        <v>0</v>
      </c>
      <c r="AX76">
        <f t="shared" si="57"/>
        <v>0</v>
      </c>
      <c r="AY76" s="16">
        <v>22</v>
      </c>
      <c r="AZ76">
        <v>31</v>
      </c>
      <c r="BA76">
        <v>1</v>
      </c>
      <c r="BB76">
        <v>27</v>
      </c>
    </row>
    <row r="77" spans="1:54" x14ac:dyDescent="0.2">
      <c r="A77" s="3">
        <f>'Monthly Data-EOP'!A137</f>
        <v>42095</v>
      </c>
      <c r="B77" s="102">
        <f t="shared" si="50"/>
        <v>2015</v>
      </c>
      <c r="C77" s="8">
        <f>'Monthly Data-EOP'!B137+'Monthly Data-FE'!B137+'Monthly Data-PC'!B137</f>
        <v>37785792</v>
      </c>
      <c r="D77" s="8">
        <v>11312.970600631321</v>
      </c>
      <c r="E77" s="8">
        <v>4113.4189999999999</v>
      </c>
      <c r="F77" s="8">
        <f t="shared" si="41"/>
        <v>4</v>
      </c>
      <c r="G77" s="8">
        <f t="shared" si="42"/>
        <v>1057009.188941499</v>
      </c>
      <c r="H77" s="8">
        <f t="shared" si="43"/>
        <v>38842801.188941501</v>
      </c>
      <c r="I77" s="8">
        <f>'Monthly Data-EOP'!C137+'Monthly Data-FE'!C137+'Monthly Data-PC'!C137</f>
        <v>14113714</v>
      </c>
      <c r="J77" s="8">
        <f>'Monthly Data-EOP'!D137+'Monthly Data-FE'!D137+'Monthly Data-PC'!D137</f>
        <v>25891</v>
      </c>
      <c r="K77" s="8">
        <f>'Monthly Data-EOP'!E137+'Monthly Data-FE'!E137+'Monthly Data-PC'!E137</f>
        <v>5449700</v>
      </c>
      <c r="L77" s="8">
        <f>'Monthly Data-EOP'!F137+'Monthly Data-FE'!F137+'Monthly Data-PC'!F137</f>
        <v>2491</v>
      </c>
      <c r="M77" s="8">
        <f>'Monthly Data-EOP'!G137+'Monthly Data-FE'!G137+'Monthly Data-PC'!G137</f>
        <v>17330356</v>
      </c>
      <c r="N77" s="8">
        <v>323999.2</v>
      </c>
      <c r="O77" s="8">
        <f t="shared" si="45"/>
        <v>17006356.800000001</v>
      </c>
      <c r="P77" s="8">
        <f>'Monthly Data-EOP'!H137+'Monthly Data-FE'!H137+'Monthly Data-PC'!H137</f>
        <v>51307.830999999998</v>
      </c>
      <c r="Q77" s="8">
        <v>722.4</v>
      </c>
      <c r="R77" s="8">
        <f t="shared" si="46"/>
        <v>50585.430999999997</v>
      </c>
      <c r="S77" s="8">
        <f>'Monthly Data-EOP'!I137+'Monthly Data-FE'!I137+'Monthly Data-PC'!I137</f>
        <v>219</v>
      </c>
      <c r="T77" s="8">
        <f>'Monthly Data-EOP'!J137+'Monthly Data-FE'!J137+'Monthly Data-PC'!J137</f>
        <v>296523</v>
      </c>
      <c r="U77" s="8">
        <f>'Monthly Data-EOP'!K137+'Monthly Data-FE'!K137+'Monthly Data-PC'!K137</f>
        <v>1066.222</v>
      </c>
      <c r="V77" s="8">
        <f>'Monthly Data-EOP'!L137+'Monthly Data-FE'!L137+'Monthly Data-PC'!L137</f>
        <v>5712</v>
      </c>
      <c r="W77" s="8">
        <f>'Monthly Data-EOP'!M137+'Monthly Data-FE'!M137+'Monthly Data-PC'!M137</f>
        <v>58442</v>
      </c>
      <c r="X77" s="8">
        <f>'Monthly Data-EOP'!N137+'Monthly Data-FE'!N137+'Monthly Data-PC'!N137</f>
        <v>175.34099999999995</v>
      </c>
      <c r="Y77" s="8">
        <f>'Monthly Data-EOP'!O137+'Monthly Data-FE'!O137+'Monthly Data-PC'!O137</f>
        <v>766</v>
      </c>
      <c r="Z77" s="8">
        <f>'Monthly Data-EOP'!P137+'Monthly Data-FE'!P137+'Monthly Data-PC'!P137</f>
        <v>123567</v>
      </c>
      <c r="AA77" s="8">
        <f>'Monthly Data-EOP'!Q137+'Monthly Data-FE'!Q137+'Monthly Data-PC'!Q137</f>
        <v>36</v>
      </c>
      <c r="AB77">
        <f>'Weather Data'!S257</f>
        <v>330.29999999999995</v>
      </c>
      <c r="AC77">
        <f>'Weather Data'!T257</f>
        <v>0</v>
      </c>
      <c r="AD77">
        <v>333</v>
      </c>
      <c r="AE77">
        <v>0</v>
      </c>
      <c r="AF77">
        <v>6805.6</v>
      </c>
      <c r="AG77">
        <v>79.900000000000006</v>
      </c>
      <c r="AH77">
        <v>198.1</v>
      </c>
      <c r="AI77">
        <f t="shared" si="53"/>
        <v>76</v>
      </c>
      <c r="AJ77">
        <f t="shared" ref="AJ77:AX77" si="58">AJ65</f>
        <v>1</v>
      </c>
      <c r="AK77">
        <f t="shared" si="58"/>
        <v>0</v>
      </c>
      <c r="AL77">
        <f t="shared" si="58"/>
        <v>1</v>
      </c>
      <c r="AM77">
        <f t="shared" si="58"/>
        <v>0</v>
      </c>
      <c r="AN77">
        <f t="shared" si="58"/>
        <v>0</v>
      </c>
      <c r="AO77">
        <f t="shared" si="58"/>
        <v>0</v>
      </c>
      <c r="AP77">
        <f t="shared" si="58"/>
        <v>1</v>
      </c>
      <c r="AQ77">
        <f t="shared" si="58"/>
        <v>0</v>
      </c>
      <c r="AR77">
        <f t="shared" si="58"/>
        <v>0</v>
      </c>
      <c r="AS77">
        <f t="shared" si="58"/>
        <v>0</v>
      </c>
      <c r="AT77">
        <f t="shared" si="58"/>
        <v>0</v>
      </c>
      <c r="AU77">
        <f t="shared" si="58"/>
        <v>0</v>
      </c>
      <c r="AV77">
        <f t="shared" si="58"/>
        <v>0</v>
      </c>
      <c r="AW77">
        <f t="shared" si="58"/>
        <v>0</v>
      </c>
      <c r="AX77">
        <f t="shared" si="58"/>
        <v>0</v>
      </c>
      <c r="AY77" s="16">
        <v>20</v>
      </c>
      <c r="AZ77">
        <v>30</v>
      </c>
      <c r="BA77">
        <v>1</v>
      </c>
      <c r="BB77">
        <v>28</v>
      </c>
    </row>
    <row r="78" spans="1:54" x14ac:dyDescent="0.2">
      <c r="A78" s="3">
        <f>'Monthly Data-EOP'!A138</f>
        <v>42125</v>
      </c>
      <c r="B78" s="102">
        <f t="shared" si="50"/>
        <v>2015</v>
      </c>
      <c r="C78" s="8">
        <f>'Monthly Data-EOP'!B138+'Monthly Data-FE'!B138+'Monthly Data-PC'!B138</f>
        <v>36307058</v>
      </c>
      <c r="D78" s="8">
        <v>11312.970600631321</v>
      </c>
      <c r="E78" s="8">
        <v>4113.4189999999999</v>
      </c>
      <c r="F78" s="8">
        <f t="shared" si="41"/>
        <v>5</v>
      </c>
      <c r="G78" s="8">
        <f t="shared" si="42"/>
        <v>1085574.5986637212</v>
      </c>
      <c r="H78" s="8">
        <f t="shared" si="43"/>
        <v>37392632.598663718</v>
      </c>
      <c r="I78" s="8">
        <f>'Monthly Data-EOP'!C138+'Monthly Data-FE'!C138+'Monthly Data-PC'!C138</f>
        <v>13575875</v>
      </c>
      <c r="J78" s="8">
        <f>'Monthly Data-EOP'!D138+'Monthly Data-FE'!D138+'Monthly Data-PC'!D138</f>
        <v>25865</v>
      </c>
      <c r="K78" s="8">
        <f>'Monthly Data-EOP'!E138+'Monthly Data-FE'!E138+'Monthly Data-PC'!E138</f>
        <v>5233801</v>
      </c>
      <c r="L78" s="8">
        <f>'Monthly Data-EOP'!F138+'Monthly Data-FE'!F138+'Monthly Data-PC'!F138</f>
        <v>2488</v>
      </c>
      <c r="M78" s="8">
        <f>'Monthly Data-EOP'!G138+'Monthly Data-FE'!G138+'Monthly Data-PC'!G138</f>
        <v>15910375</v>
      </c>
      <c r="N78" s="8">
        <v>326389</v>
      </c>
      <c r="O78" s="8">
        <f t="shared" si="45"/>
        <v>15583986</v>
      </c>
      <c r="P78" s="8">
        <f>'Monthly Data-EOP'!H138+'Monthly Data-FE'!H138+'Monthly Data-PC'!H138</f>
        <v>52350.450999999986</v>
      </c>
      <c r="Q78" s="8">
        <v>929.6</v>
      </c>
      <c r="R78" s="8">
        <f t="shared" si="46"/>
        <v>51420.850999999988</v>
      </c>
      <c r="S78" s="8">
        <f>'Monthly Data-EOP'!I138+'Monthly Data-FE'!I138+'Monthly Data-PC'!I138</f>
        <v>219</v>
      </c>
      <c r="T78" s="8">
        <f>'Monthly Data-EOP'!J138+'Monthly Data-FE'!J138+'Monthly Data-PC'!J138</f>
        <v>271343</v>
      </c>
      <c r="U78" s="8">
        <f>'Monthly Data-EOP'!K138+'Monthly Data-FE'!K138+'Monthly Data-PC'!K138</f>
        <v>985.11199999999997</v>
      </c>
      <c r="V78" s="8">
        <f>'Monthly Data-EOP'!L138+'Monthly Data-FE'!L138+'Monthly Data-PC'!L138</f>
        <v>5712</v>
      </c>
      <c r="W78" s="8">
        <f>'Monthly Data-EOP'!M138+'Monthly Data-FE'!M138+'Monthly Data-PC'!M138</f>
        <v>57550</v>
      </c>
      <c r="X78" s="8">
        <f>'Monthly Data-EOP'!N138+'Monthly Data-FE'!N138+'Monthly Data-PC'!N138</f>
        <v>175.54100000000008</v>
      </c>
      <c r="Y78" s="8">
        <f>'Monthly Data-EOP'!O138+'Monthly Data-FE'!O138+'Monthly Data-PC'!O138</f>
        <v>766</v>
      </c>
      <c r="Z78" s="8">
        <f>'Monthly Data-EOP'!P138+'Monthly Data-FE'!P138+'Monthly Data-PC'!P138</f>
        <v>132802</v>
      </c>
      <c r="AA78" s="8">
        <f>'Monthly Data-EOP'!Q138+'Monthly Data-FE'!Q138+'Monthly Data-PC'!Q138</f>
        <v>36</v>
      </c>
      <c r="AB78">
        <f>'Weather Data'!S258</f>
        <v>105.2</v>
      </c>
      <c r="AC78">
        <f>'Weather Data'!T258</f>
        <v>34.200000000000003</v>
      </c>
      <c r="AD78">
        <v>86.9</v>
      </c>
      <c r="AE78">
        <v>23.7</v>
      </c>
      <c r="AF78">
        <v>6870.9</v>
      </c>
      <c r="AG78">
        <v>82</v>
      </c>
      <c r="AH78">
        <v>200.6</v>
      </c>
      <c r="AI78">
        <f t="shared" si="53"/>
        <v>77</v>
      </c>
      <c r="AJ78">
        <f t="shared" ref="AJ78:AX78" si="59">AJ66</f>
        <v>1</v>
      </c>
      <c r="AK78">
        <f t="shared" si="59"/>
        <v>0</v>
      </c>
      <c r="AL78">
        <f t="shared" si="59"/>
        <v>1</v>
      </c>
      <c r="AM78">
        <f t="shared" si="59"/>
        <v>0</v>
      </c>
      <c r="AN78">
        <f t="shared" si="59"/>
        <v>0</v>
      </c>
      <c r="AO78">
        <f t="shared" si="59"/>
        <v>0</v>
      </c>
      <c r="AP78">
        <f t="shared" si="59"/>
        <v>0</v>
      </c>
      <c r="AQ78">
        <f t="shared" si="59"/>
        <v>1</v>
      </c>
      <c r="AR78">
        <f t="shared" si="59"/>
        <v>0</v>
      </c>
      <c r="AS78">
        <f t="shared" si="59"/>
        <v>0</v>
      </c>
      <c r="AT78">
        <f t="shared" si="59"/>
        <v>0</v>
      </c>
      <c r="AU78">
        <f t="shared" si="59"/>
        <v>0</v>
      </c>
      <c r="AV78">
        <f t="shared" si="59"/>
        <v>0</v>
      </c>
      <c r="AW78">
        <f t="shared" si="59"/>
        <v>0</v>
      </c>
      <c r="AX78">
        <f t="shared" si="59"/>
        <v>0</v>
      </c>
      <c r="AY78" s="16">
        <v>20</v>
      </c>
      <c r="AZ78">
        <v>31</v>
      </c>
      <c r="BA78">
        <v>1</v>
      </c>
      <c r="BB78">
        <v>29</v>
      </c>
    </row>
    <row r="79" spans="1:54" x14ac:dyDescent="0.2">
      <c r="A79" s="3">
        <f>'Monthly Data-EOP'!A139</f>
        <v>42156</v>
      </c>
      <c r="B79" s="102">
        <f t="shared" si="50"/>
        <v>2015</v>
      </c>
      <c r="C79" s="8">
        <f>'Monthly Data-EOP'!B139+'Monthly Data-FE'!B139+'Monthly Data-PC'!B139</f>
        <v>37811948</v>
      </c>
      <c r="D79" s="8">
        <v>11312.970600631321</v>
      </c>
      <c r="E79" s="8">
        <v>4113.4189999999999</v>
      </c>
      <c r="F79" s="8">
        <f t="shared" si="41"/>
        <v>6</v>
      </c>
      <c r="G79" s="8">
        <f t="shared" si="42"/>
        <v>1114140.0083859435</v>
      </c>
      <c r="H79" s="8">
        <f t="shared" si="43"/>
        <v>38926088.008385941</v>
      </c>
      <c r="I79" s="8">
        <f>'Monthly Data-EOP'!C139+'Monthly Data-FE'!C139+'Monthly Data-PC'!C139</f>
        <v>14181518</v>
      </c>
      <c r="J79" s="8">
        <f>'Monthly Data-EOP'!D139+'Monthly Data-FE'!D139+'Monthly Data-PC'!D139</f>
        <v>25875</v>
      </c>
      <c r="K79" s="8">
        <f>'Monthly Data-EOP'!E139+'Monthly Data-FE'!E139+'Monthly Data-PC'!E139</f>
        <v>5721129</v>
      </c>
      <c r="L79" s="8">
        <f>'Monthly Data-EOP'!F139+'Monthly Data-FE'!F139+'Monthly Data-PC'!F139</f>
        <v>2477</v>
      </c>
      <c r="M79" s="8">
        <f>'Monthly Data-EOP'!G139+'Monthly Data-FE'!G139+'Monthly Data-PC'!G139</f>
        <v>16018485</v>
      </c>
      <c r="N79" s="8">
        <v>403260.2</v>
      </c>
      <c r="O79" s="8">
        <f t="shared" si="45"/>
        <v>15615224.800000001</v>
      </c>
      <c r="P79" s="8">
        <f>'Monthly Data-EOP'!H139+'Monthly Data-FE'!H139+'Monthly Data-PC'!H139</f>
        <v>51578.123000000007</v>
      </c>
      <c r="Q79" s="8">
        <v>1282.4000000000001</v>
      </c>
      <c r="R79" s="8">
        <f t="shared" si="46"/>
        <v>50295.723000000005</v>
      </c>
      <c r="S79" s="8">
        <f>'Monthly Data-EOP'!I139+'Monthly Data-FE'!I139+'Monthly Data-PC'!I139</f>
        <v>217</v>
      </c>
      <c r="T79" s="8">
        <f>'Monthly Data-EOP'!J139+'Monthly Data-FE'!J139+'Monthly Data-PC'!J139</f>
        <v>228609</v>
      </c>
      <c r="U79" s="8">
        <f>'Monthly Data-EOP'!K139+'Monthly Data-FE'!K139+'Monthly Data-PC'!K139</f>
        <v>932.7620000000004</v>
      </c>
      <c r="V79" s="8">
        <f>'Monthly Data-EOP'!L139+'Monthly Data-FE'!L139+'Monthly Data-PC'!L139</f>
        <v>5713</v>
      </c>
      <c r="W79" s="8">
        <f>'Monthly Data-EOP'!M139+'Monthly Data-FE'!M139+'Monthly Data-PC'!M139</f>
        <v>58385</v>
      </c>
      <c r="X79" s="8">
        <f>'Monthly Data-EOP'!N139+'Monthly Data-FE'!N139+'Monthly Data-PC'!N139</f>
        <v>174.84099999999992</v>
      </c>
      <c r="Y79" s="8">
        <f>'Monthly Data-EOP'!O139+'Monthly Data-FE'!O139+'Monthly Data-PC'!O139</f>
        <v>761</v>
      </c>
      <c r="Z79" s="8">
        <f>'Monthly Data-EOP'!P139+'Monthly Data-FE'!P139+'Monthly Data-PC'!P139</f>
        <v>139436</v>
      </c>
      <c r="AA79" s="8">
        <f>'Monthly Data-EOP'!Q139+'Monthly Data-FE'!Q139+'Monthly Data-PC'!Q139</f>
        <v>36</v>
      </c>
      <c r="AB79">
        <f>'Weather Data'!S259</f>
        <v>35.9</v>
      </c>
      <c r="AC79">
        <f>'Weather Data'!T259</f>
        <v>28.599999999999998</v>
      </c>
      <c r="AD79">
        <v>44.4</v>
      </c>
      <c r="AE79">
        <v>18.8</v>
      </c>
      <c r="AF79">
        <v>6965.8</v>
      </c>
      <c r="AG79">
        <v>83.6</v>
      </c>
      <c r="AH79">
        <v>204.5</v>
      </c>
      <c r="AI79">
        <f t="shared" si="53"/>
        <v>78</v>
      </c>
      <c r="AJ79">
        <f t="shared" ref="AJ79:AX79" si="60">AJ67</f>
        <v>0</v>
      </c>
      <c r="AK79">
        <f t="shared" si="60"/>
        <v>0</v>
      </c>
      <c r="AL79">
        <f t="shared" si="60"/>
        <v>0</v>
      </c>
      <c r="AM79">
        <f t="shared" si="60"/>
        <v>0</v>
      </c>
      <c r="AN79">
        <f t="shared" si="60"/>
        <v>0</v>
      </c>
      <c r="AO79">
        <f t="shared" si="60"/>
        <v>0</v>
      </c>
      <c r="AP79">
        <f t="shared" si="60"/>
        <v>0</v>
      </c>
      <c r="AQ79">
        <f t="shared" si="60"/>
        <v>0</v>
      </c>
      <c r="AR79">
        <f t="shared" si="60"/>
        <v>1</v>
      </c>
      <c r="AS79">
        <f t="shared" si="60"/>
        <v>0</v>
      </c>
      <c r="AT79">
        <f t="shared" si="60"/>
        <v>0</v>
      </c>
      <c r="AU79">
        <f t="shared" si="60"/>
        <v>0</v>
      </c>
      <c r="AV79">
        <f t="shared" si="60"/>
        <v>0</v>
      </c>
      <c r="AW79">
        <f t="shared" si="60"/>
        <v>0</v>
      </c>
      <c r="AX79">
        <f t="shared" si="60"/>
        <v>0</v>
      </c>
      <c r="AY79" s="16">
        <v>22</v>
      </c>
      <c r="AZ79">
        <v>30</v>
      </c>
      <c r="BA79">
        <v>1</v>
      </c>
      <c r="BB79">
        <v>30</v>
      </c>
    </row>
    <row r="80" spans="1:54" x14ac:dyDescent="0.2">
      <c r="A80" s="3">
        <f>'Monthly Data-EOP'!A140</f>
        <v>42186</v>
      </c>
      <c r="B80" s="102">
        <f t="shared" si="50"/>
        <v>2015</v>
      </c>
      <c r="C80" s="8">
        <f>'Monthly Data-EOP'!B140+'Monthly Data-FE'!B140+'Monthly Data-PC'!B140</f>
        <v>44310484</v>
      </c>
      <c r="D80" s="8">
        <v>11312.970600631321</v>
      </c>
      <c r="E80" s="8">
        <v>4113.4189999999999</v>
      </c>
      <c r="F80" s="8">
        <f t="shared" si="41"/>
        <v>7</v>
      </c>
      <c r="G80" s="8">
        <f t="shared" si="42"/>
        <v>1142705.4181081657</v>
      </c>
      <c r="H80" s="8">
        <f t="shared" si="43"/>
        <v>45453189.418108165</v>
      </c>
      <c r="I80" s="8">
        <f>'Monthly Data-EOP'!C140+'Monthly Data-FE'!C140+'Monthly Data-PC'!C140</f>
        <v>17923403</v>
      </c>
      <c r="J80" s="8">
        <f>'Monthly Data-EOP'!D140+'Monthly Data-FE'!D140+'Monthly Data-PC'!D140</f>
        <v>25906</v>
      </c>
      <c r="K80" s="8">
        <f>'Monthly Data-EOP'!E140+'Monthly Data-FE'!E140+'Monthly Data-PC'!E140</f>
        <v>6644705</v>
      </c>
      <c r="L80" s="8">
        <f>'Monthly Data-EOP'!F140+'Monthly Data-FE'!F140+'Monthly Data-PC'!F140</f>
        <v>2489</v>
      </c>
      <c r="M80" s="8">
        <f>'Monthly Data-EOP'!G140+'Monthly Data-FE'!G140+'Monthly Data-PC'!G140</f>
        <v>16544240</v>
      </c>
      <c r="N80" s="8">
        <v>513007.6</v>
      </c>
      <c r="O80" s="8">
        <f t="shared" si="45"/>
        <v>16031232.4</v>
      </c>
      <c r="P80" s="8">
        <f>'Monthly Data-EOP'!H140+'Monthly Data-FE'!H140+'Monthly Data-PC'!H140</f>
        <v>54273.945999999982</v>
      </c>
      <c r="Q80" s="8">
        <v>1512</v>
      </c>
      <c r="R80" s="8">
        <f t="shared" si="46"/>
        <v>52761.945999999982</v>
      </c>
      <c r="S80" s="8">
        <f>'Monthly Data-EOP'!I140+'Monthly Data-FE'!I140+'Monthly Data-PC'!I140</f>
        <v>219</v>
      </c>
      <c r="T80" s="8">
        <f>'Monthly Data-EOP'!J140+'Monthly Data-FE'!J140+'Monthly Data-PC'!J140</f>
        <v>204457</v>
      </c>
      <c r="U80" s="8">
        <f>'Monthly Data-EOP'!K140+'Monthly Data-FE'!K140+'Monthly Data-PC'!K140</f>
        <v>883.02199999999948</v>
      </c>
      <c r="V80" s="8">
        <f>'Monthly Data-EOP'!L140+'Monthly Data-FE'!L140+'Monthly Data-PC'!L140</f>
        <v>5713</v>
      </c>
      <c r="W80" s="8">
        <f>'Monthly Data-EOP'!M140+'Monthly Data-FE'!M140+'Monthly Data-PC'!M140</f>
        <v>58381</v>
      </c>
      <c r="X80" s="8">
        <f>'Monthly Data-EOP'!N140+'Monthly Data-FE'!N140+'Monthly Data-PC'!N140</f>
        <v>174.19099999999997</v>
      </c>
      <c r="Y80" s="8">
        <f>'Monthly Data-EOP'!O140+'Monthly Data-FE'!O140+'Monthly Data-PC'!O140</f>
        <v>761</v>
      </c>
      <c r="Z80" s="8">
        <f>'Monthly Data-EOP'!P140+'Monthly Data-FE'!P140+'Monthly Data-PC'!P140</f>
        <v>136860</v>
      </c>
      <c r="AA80" s="8">
        <f>'Monthly Data-EOP'!Q140+'Monthly Data-FE'!Q140+'Monthly Data-PC'!Q140</f>
        <v>36</v>
      </c>
      <c r="AB80">
        <f>'Weather Data'!S260</f>
        <v>7.6</v>
      </c>
      <c r="AC80">
        <f>'Weather Data'!T260</f>
        <v>79.100000000000009</v>
      </c>
      <c r="AD80">
        <v>11.6</v>
      </c>
      <c r="AE80">
        <v>87.5</v>
      </c>
      <c r="AF80">
        <v>7032.3</v>
      </c>
      <c r="AG80">
        <v>84.4</v>
      </c>
      <c r="AH80">
        <v>209.6</v>
      </c>
      <c r="AI80">
        <f t="shared" si="53"/>
        <v>79</v>
      </c>
      <c r="AJ80">
        <f t="shared" ref="AJ80:AX80" si="61">AJ68</f>
        <v>0</v>
      </c>
      <c r="AK80">
        <f t="shared" si="61"/>
        <v>0</v>
      </c>
      <c r="AL80">
        <f t="shared" si="61"/>
        <v>0</v>
      </c>
      <c r="AM80">
        <f t="shared" si="61"/>
        <v>0</v>
      </c>
      <c r="AN80">
        <f t="shared" si="61"/>
        <v>0</v>
      </c>
      <c r="AO80">
        <f t="shared" si="61"/>
        <v>0</v>
      </c>
      <c r="AP80">
        <f t="shared" si="61"/>
        <v>0</v>
      </c>
      <c r="AQ80">
        <f t="shared" si="61"/>
        <v>0</v>
      </c>
      <c r="AR80">
        <f t="shared" si="61"/>
        <v>0</v>
      </c>
      <c r="AS80">
        <f t="shared" si="61"/>
        <v>1</v>
      </c>
      <c r="AT80">
        <f t="shared" si="61"/>
        <v>0</v>
      </c>
      <c r="AU80">
        <f t="shared" si="61"/>
        <v>0</v>
      </c>
      <c r="AV80">
        <f t="shared" si="61"/>
        <v>0</v>
      </c>
      <c r="AW80">
        <f t="shared" si="61"/>
        <v>0</v>
      </c>
      <c r="AX80">
        <f t="shared" si="61"/>
        <v>0</v>
      </c>
      <c r="AY80" s="16">
        <v>22</v>
      </c>
      <c r="AZ80">
        <v>31</v>
      </c>
      <c r="BA80">
        <v>1</v>
      </c>
      <c r="BB80">
        <v>31</v>
      </c>
    </row>
    <row r="81" spans="1:54" x14ac:dyDescent="0.2">
      <c r="A81" s="3">
        <f>'Monthly Data-EOP'!A141</f>
        <v>42217</v>
      </c>
      <c r="B81" s="102">
        <f t="shared" si="50"/>
        <v>2015</v>
      </c>
      <c r="C81" s="8">
        <f>'Monthly Data-EOP'!B141+'Monthly Data-FE'!B141+'Monthly Data-PC'!B141</f>
        <v>43495493</v>
      </c>
      <c r="D81" s="8">
        <v>11312.970600631321</v>
      </c>
      <c r="E81" s="8">
        <v>4113.4189999999999</v>
      </c>
      <c r="F81" s="8">
        <f t="shared" si="41"/>
        <v>8</v>
      </c>
      <c r="G81" s="8">
        <f t="shared" si="42"/>
        <v>1171270.8278303877</v>
      </c>
      <c r="H81" s="8">
        <f t="shared" si="43"/>
        <v>44666763.827830389</v>
      </c>
      <c r="I81" s="8">
        <f>'Monthly Data-EOP'!C141+'Monthly Data-FE'!C141+'Monthly Data-PC'!C141</f>
        <v>19531193</v>
      </c>
      <c r="J81" s="8">
        <f>'Monthly Data-EOP'!D141+'Monthly Data-FE'!D141+'Monthly Data-PC'!D141</f>
        <v>25917</v>
      </c>
      <c r="K81" s="8">
        <f>'Monthly Data-EOP'!E141+'Monthly Data-FE'!E141+'Monthly Data-PC'!E141</f>
        <v>5349335</v>
      </c>
      <c r="L81" s="8">
        <f>'Monthly Data-EOP'!F141+'Monthly Data-FE'!F141+'Monthly Data-PC'!F141</f>
        <v>2493</v>
      </c>
      <c r="M81" s="8">
        <f>'Monthly Data-EOP'!G141+'Monthly Data-FE'!G141+'Monthly Data-PC'!G141</f>
        <v>15861763</v>
      </c>
      <c r="N81" s="8">
        <v>513086</v>
      </c>
      <c r="O81" s="8">
        <f t="shared" si="45"/>
        <v>15348677</v>
      </c>
      <c r="P81" s="8">
        <f>'Monthly Data-EOP'!H141+'Monthly Data-FE'!H141+'Monthly Data-PC'!H141</f>
        <v>49659.597000000009</v>
      </c>
      <c r="Q81" s="8">
        <v>1528.8</v>
      </c>
      <c r="R81" s="8">
        <f t="shared" si="46"/>
        <v>48130.797000000006</v>
      </c>
      <c r="S81" s="8">
        <f>'Monthly Data-EOP'!I141+'Monthly Data-FE'!I141+'Monthly Data-PC'!I141</f>
        <v>219</v>
      </c>
      <c r="T81" s="8">
        <f>'Monthly Data-EOP'!J141+'Monthly Data-FE'!J141+'Monthly Data-PC'!J141</f>
        <v>166713</v>
      </c>
      <c r="U81" s="8">
        <f>'Monthly Data-EOP'!K141+'Monthly Data-FE'!K141+'Monthly Data-PC'!K141</f>
        <v>870.31200000000047</v>
      </c>
      <c r="V81" s="8">
        <f>'Monthly Data-EOP'!L141+'Monthly Data-FE'!L141+'Monthly Data-PC'!L141</f>
        <v>5713</v>
      </c>
      <c r="W81" s="8">
        <f>'Monthly Data-EOP'!M141+'Monthly Data-FE'!M141+'Monthly Data-PC'!M141</f>
        <v>57358</v>
      </c>
      <c r="X81" s="8">
        <f>'Monthly Data-EOP'!N141+'Monthly Data-FE'!N141+'Monthly Data-PC'!N141</f>
        <v>175.99100000000013</v>
      </c>
      <c r="Y81" s="8">
        <f>'Monthly Data-EOP'!O141+'Monthly Data-FE'!O141+'Monthly Data-PC'!O141</f>
        <v>761</v>
      </c>
      <c r="Z81" s="8">
        <f>'Monthly Data-EOP'!P141+'Monthly Data-FE'!P141+'Monthly Data-PC'!P141</f>
        <v>105158</v>
      </c>
      <c r="AA81" s="8">
        <f>'Monthly Data-EOP'!Q141+'Monthly Data-FE'!Q141+'Monthly Data-PC'!Q141</f>
        <v>36</v>
      </c>
      <c r="AB81">
        <f>'Weather Data'!S261</f>
        <v>12</v>
      </c>
      <c r="AC81">
        <f>'Weather Data'!T261</f>
        <v>59</v>
      </c>
      <c r="AD81">
        <v>6.4</v>
      </c>
      <c r="AE81">
        <v>66.3</v>
      </c>
      <c r="AF81">
        <v>7045.7</v>
      </c>
      <c r="AG81">
        <v>85</v>
      </c>
      <c r="AH81">
        <v>211.4</v>
      </c>
      <c r="AI81">
        <f t="shared" si="53"/>
        <v>80</v>
      </c>
      <c r="AJ81">
        <f t="shared" ref="AJ81:AX81" si="62">AJ69</f>
        <v>0</v>
      </c>
      <c r="AK81">
        <f t="shared" si="62"/>
        <v>0</v>
      </c>
      <c r="AL81">
        <f t="shared" si="62"/>
        <v>0</v>
      </c>
      <c r="AM81">
        <f t="shared" si="62"/>
        <v>0</v>
      </c>
      <c r="AN81">
        <f t="shared" si="62"/>
        <v>0</v>
      </c>
      <c r="AO81">
        <f t="shared" si="62"/>
        <v>0</v>
      </c>
      <c r="AP81">
        <f t="shared" si="62"/>
        <v>0</v>
      </c>
      <c r="AQ81">
        <f t="shared" si="62"/>
        <v>0</v>
      </c>
      <c r="AR81">
        <f t="shared" si="62"/>
        <v>0</v>
      </c>
      <c r="AS81">
        <f t="shared" si="62"/>
        <v>0</v>
      </c>
      <c r="AT81">
        <f t="shared" si="62"/>
        <v>1</v>
      </c>
      <c r="AU81">
        <f t="shared" si="62"/>
        <v>0</v>
      </c>
      <c r="AV81">
        <f t="shared" si="62"/>
        <v>0</v>
      </c>
      <c r="AW81">
        <f t="shared" si="62"/>
        <v>0</v>
      </c>
      <c r="AX81">
        <f t="shared" si="62"/>
        <v>0</v>
      </c>
      <c r="AY81" s="16">
        <v>20</v>
      </c>
      <c r="AZ81">
        <v>31</v>
      </c>
      <c r="BA81">
        <v>1</v>
      </c>
      <c r="BB81">
        <v>32</v>
      </c>
    </row>
    <row r="82" spans="1:54" x14ac:dyDescent="0.2">
      <c r="A82" s="3">
        <f>'Monthly Data-EOP'!A142</f>
        <v>42248</v>
      </c>
      <c r="B82" s="102">
        <f t="shared" si="50"/>
        <v>2015</v>
      </c>
      <c r="C82" s="8">
        <f>'Monthly Data-EOP'!B142+'Monthly Data-FE'!B142+'Monthly Data-PC'!B142</f>
        <v>41484818</v>
      </c>
      <c r="D82" s="8">
        <v>11312.970600631321</v>
      </c>
      <c r="E82" s="8">
        <v>4113.4189999999999</v>
      </c>
      <c r="F82" s="8">
        <f t="shared" si="41"/>
        <v>9</v>
      </c>
      <c r="G82" s="8">
        <f t="shared" si="42"/>
        <v>1199836.23755261</v>
      </c>
      <c r="H82" s="8">
        <f t="shared" si="43"/>
        <v>42684654.237552613</v>
      </c>
      <c r="I82" s="8">
        <f>'Monthly Data-EOP'!C142+'Monthly Data-FE'!C142+'Monthly Data-PC'!C142</f>
        <v>17115934</v>
      </c>
      <c r="J82" s="8">
        <f>'Monthly Data-EOP'!D142+'Monthly Data-FE'!D142+'Monthly Data-PC'!D142</f>
        <v>25948</v>
      </c>
      <c r="K82" s="8">
        <f>'Monthly Data-EOP'!E142+'Monthly Data-FE'!E142+'Monthly Data-PC'!E142</f>
        <v>5980165</v>
      </c>
      <c r="L82" s="8">
        <f>'Monthly Data-EOP'!F142+'Monthly Data-FE'!F142+'Monthly Data-PC'!F142</f>
        <v>2496</v>
      </c>
      <c r="M82" s="8">
        <f>'Monthly Data-EOP'!G142+'Monthly Data-FE'!G142+'Monthly Data-PC'!G142</f>
        <v>16682103</v>
      </c>
      <c r="N82" s="8">
        <v>490714</v>
      </c>
      <c r="O82" s="8">
        <f t="shared" si="45"/>
        <v>16191389</v>
      </c>
      <c r="P82" s="8">
        <f>'Monthly Data-EOP'!H142+'Monthly Data-FE'!H142+'Monthly Data-PC'!H142</f>
        <v>52066.021999999997</v>
      </c>
      <c r="Q82" s="8">
        <v>1467.2</v>
      </c>
      <c r="R82" s="8">
        <f t="shared" si="46"/>
        <v>50598.822</v>
      </c>
      <c r="S82" s="8">
        <f>'Monthly Data-EOP'!I142+'Monthly Data-FE'!I142+'Monthly Data-PC'!I142</f>
        <v>218</v>
      </c>
      <c r="T82" s="8">
        <f>'Monthly Data-EOP'!J142+'Monthly Data-FE'!J142+'Monthly Data-PC'!J142</f>
        <v>272777</v>
      </c>
      <c r="U82" s="8">
        <f>'Monthly Data-EOP'!K142+'Monthly Data-FE'!K142+'Monthly Data-PC'!K142</f>
        <v>866.43199999999979</v>
      </c>
      <c r="V82" s="8">
        <f>'Monthly Data-EOP'!L142+'Monthly Data-FE'!L142+'Monthly Data-PC'!L142</f>
        <v>5713</v>
      </c>
      <c r="W82" s="8">
        <f>'Monthly Data-EOP'!M142+'Monthly Data-FE'!M142+'Monthly Data-PC'!M142</f>
        <v>57839</v>
      </c>
      <c r="X82" s="8">
        <f>'Monthly Data-EOP'!N142+'Monthly Data-FE'!N142+'Monthly Data-PC'!N142</f>
        <v>175.41599999999985</v>
      </c>
      <c r="Y82" s="8">
        <f>'Monthly Data-EOP'!O142+'Monthly Data-FE'!O142+'Monthly Data-PC'!O142</f>
        <v>759</v>
      </c>
      <c r="Z82" s="8">
        <f>'Monthly Data-EOP'!P142+'Monthly Data-FE'!P142+'Monthly Data-PC'!P142</f>
        <v>126191</v>
      </c>
      <c r="AA82" s="8">
        <f>'Monthly Data-EOP'!Q142+'Monthly Data-FE'!Q142+'Monthly Data-PC'!Q142</f>
        <v>36</v>
      </c>
      <c r="AB82">
        <f>'Weather Data'!S262</f>
        <v>37</v>
      </c>
      <c r="AC82">
        <f>'Weather Data'!T262</f>
        <v>54.4</v>
      </c>
      <c r="AD82">
        <v>38.5</v>
      </c>
      <c r="AE82">
        <v>57.4</v>
      </c>
      <c r="AF82">
        <v>6994.9</v>
      </c>
      <c r="AG82">
        <v>84.6</v>
      </c>
      <c r="AH82">
        <v>210.4</v>
      </c>
      <c r="AI82">
        <f t="shared" si="53"/>
        <v>81</v>
      </c>
      <c r="AJ82">
        <f t="shared" ref="AJ82:AX82" si="63">AJ70</f>
        <v>0</v>
      </c>
      <c r="AK82">
        <f t="shared" si="63"/>
        <v>1</v>
      </c>
      <c r="AL82">
        <f t="shared" si="63"/>
        <v>1</v>
      </c>
      <c r="AM82">
        <f t="shared" si="63"/>
        <v>0</v>
      </c>
      <c r="AN82">
        <f t="shared" si="63"/>
        <v>0</v>
      </c>
      <c r="AO82">
        <f t="shared" si="63"/>
        <v>0</v>
      </c>
      <c r="AP82">
        <f t="shared" si="63"/>
        <v>0</v>
      </c>
      <c r="AQ82">
        <f t="shared" si="63"/>
        <v>0</v>
      </c>
      <c r="AR82">
        <f t="shared" si="63"/>
        <v>0</v>
      </c>
      <c r="AS82">
        <f t="shared" si="63"/>
        <v>0</v>
      </c>
      <c r="AT82">
        <f t="shared" si="63"/>
        <v>0</v>
      </c>
      <c r="AU82">
        <f t="shared" si="63"/>
        <v>1</v>
      </c>
      <c r="AV82">
        <f t="shared" si="63"/>
        <v>0</v>
      </c>
      <c r="AW82">
        <f t="shared" si="63"/>
        <v>0</v>
      </c>
      <c r="AX82">
        <f t="shared" si="63"/>
        <v>0</v>
      </c>
      <c r="AY82" s="16">
        <v>21</v>
      </c>
      <c r="AZ82">
        <v>30</v>
      </c>
      <c r="BA82">
        <v>1</v>
      </c>
      <c r="BB82">
        <v>33</v>
      </c>
    </row>
    <row r="83" spans="1:54" x14ac:dyDescent="0.2">
      <c r="A83" s="3">
        <f>'Monthly Data-EOP'!A143</f>
        <v>42278</v>
      </c>
      <c r="B83" s="102">
        <f t="shared" si="50"/>
        <v>2015</v>
      </c>
      <c r="C83" s="8">
        <f>'Monthly Data-EOP'!B143+'Monthly Data-FE'!B143+'Monthly Data-PC'!B143</f>
        <v>38178098</v>
      </c>
      <c r="D83" s="8">
        <v>11312.970600631321</v>
      </c>
      <c r="E83" s="8">
        <v>4113.4189999999999</v>
      </c>
      <c r="F83" s="8">
        <f t="shared" si="41"/>
        <v>10</v>
      </c>
      <c r="G83" s="8">
        <f t="shared" si="42"/>
        <v>1228401.6472748325</v>
      </c>
      <c r="H83" s="8">
        <f t="shared" si="43"/>
        <v>39406499.647274829</v>
      </c>
      <c r="I83" s="8">
        <f>'Monthly Data-EOP'!C143+'Monthly Data-FE'!C143+'Monthly Data-PC'!C143</f>
        <v>13841826</v>
      </c>
      <c r="J83" s="8">
        <f>'Monthly Data-EOP'!D143+'Monthly Data-FE'!D143+'Monthly Data-PC'!D143</f>
        <v>25951</v>
      </c>
      <c r="K83" s="8">
        <f>'Monthly Data-EOP'!E143+'Monthly Data-FE'!E143+'Monthly Data-PC'!E143</f>
        <v>5019344</v>
      </c>
      <c r="L83" s="8">
        <f>'Monthly Data-EOP'!F143+'Monthly Data-FE'!F143+'Monthly Data-PC'!F143</f>
        <v>2495</v>
      </c>
      <c r="M83" s="8">
        <f>'Monthly Data-EOP'!G143+'Monthly Data-FE'!G143+'Monthly Data-PC'!G143</f>
        <v>17008186</v>
      </c>
      <c r="N83" s="8">
        <v>455506.8</v>
      </c>
      <c r="O83" s="8">
        <f t="shared" si="45"/>
        <v>16552679.199999999</v>
      </c>
      <c r="P83" s="8">
        <f>'Monthly Data-EOP'!H143+'Monthly Data-FE'!H143+'Monthly Data-PC'!H143</f>
        <v>59863.216</v>
      </c>
      <c r="Q83" s="8">
        <v>1349.6</v>
      </c>
      <c r="R83" s="8">
        <f t="shared" si="46"/>
        <v>58513.616000000002</v>
      </c>
      <c r="S83" s="8">
        <f>'Monthly Data-EOP'!I143+'Monthly Data-FE'!I143+'Monthly Data-PC'!I143</f>
        <v>219</v>
      </c>
      <c r="T83" s="8">
        <f>'Monthly Data-EOP'!J143+'Monthly Data-FE'!J143+'Monthly Data-PC'!J143</f>
        <v>280396</v>
      </c>
      <c r="U83" s="8">
        <f>'Monthly Data-EOP'!K143+'Monthly Data-FE'!K143+'Monthly Data-PC'!K143</f>
        <v>866.43199999999979</v>
      </c>
      <c r="V83" s="8">
        <f>'Monthly Data-EOP'!L143+'Monthly Data-FE'!L143+'Monthly Data-PC'!L143</f>
        <v>5713</v>
      </c>
      <c r="W83" s="8">
        <f>'Monthly Data-EOP'!M143+'Monthly Data-FE'!M143+'Monthly Data-PC'!M143</f>
        <v>57002</v>
      </c>
      <c r="X83" s="8">
        <f>'Monthly Data-EOP'!N143+'Monthly Data-FE'!N143+'Monthly Data-PC'!N143</f>
        <v>174.99100000000013</v>
      </c>
      <c r="Y83" s="8">
        <f>'Monthly Data-EOP'!O143+'Monthly Data-FE'!O143+'Monthly Data-PC'!O143</f>
        <v>759</v>
      </c>
      <c r="Z83" s="8">
        <f>'Monthly Data-EOP'!P143+'Monthly Data-FE'!P143+'Monthly Data-PC'!P143</f>
        <v>112639</v>
      </c>
      <c r="AA83" s="8">
        <f>'Monthly Data-EOP'!Q143+'Monthly Data-FE'!Q143+'Monthly Data-PC'!Q143</f>
        <v>36</v>
      </c>
      <c r="AB83">
        <f>'Weather Data'!S263</f>
        <v>252.3</v>
      </c>
      <c r="AC83">
        <f>'Weather Data'!T263</f>
        <v>0.9</v>
      </c>
      <c r="AD83">
        <v>296.5</v>
      </c>
      <c r="AE83">
        <v>0</v>
      </c>
      <c r="AF83">
        <v>6969</v>
      </c>
      <c r="AG83">
        <v>85.1</v>
      </c>
      <c r="AH83">
        <v>208.5</v>
      </c>
      <c r="AI83">
        <f t="shared" si="53"/>
        <v>82</v>
      </c>
      <c r="AJ83">
        <f t="shared" ref="AJ83:AX83" si="64">AJ71</f>
        <v>0</v>
      </c>
      <c r="AK83">
        <f t="shared" si="64"/>
        <v>1</v>
      </c>
      <c r="AL83">
        <f t="shared" si="64"/>
        <v>1</v>
      </c>
      <c r="AM83">
        <f t="shared" si="64"/>
        <v>0</v>
      </c>
      <c r="AN83">
        <f t="shared" si="64"/>
        <v>0</v>
      </c>
      <c r="AO83">
        <f t="shared" si="64"/>
        <v>0</v>
      </c>
      <c r="AP83">
        <f t="shared" si="64"/>
        <v>0</v>
      </c>
      <c r="AQ83">
        <f t="shared" si="64"/>
        <v>0</v>
      </c>
      <c r="AR83">
        <f t="shared" si="64"/>
        <v>0</v>
      </c>
      <c r="AS83">
        <f t="shared" si="64"/>
        <v>0</v>
      </c>
      <c r="AT83">
        <f t="shared" si="64"/>
        <v>0</v>
      </c>
      <c r="AU83">
        <f t="shared" si="64"/>
        <v>0</v>
      </c>
      <c r="AV83">
        <f t="shared" si="64"/>
        <v>1</v>
      </c>
      <c r="AW83">
        <f t="shared" si="64"/>
        <v>0</v>
      </c>
      <c r="AX83">
        <f t="shared" si="64"/>
        <v>0</v>
      </c>
      <c r="AY83" s="16">
        <v>21</v>
      </c>
      <c r="AZ83">
        <v>31</v>
      </c>
      <c r="BA83">
        <v>1</v>
      </c>
      <c r="BB83">
        <v>34</v>
      </c>
    </row>
    <row r="84" spans="1:54" x14ac:dyDescent="0.2">
      <c r="A84" s="3">
        <f>'Monthly Data-EOP'!A144</f>
        <v>42309</v>
      </c>
      <c r="B84" s="102">
        <f t="shared" si="50"/>
        <v>2015</v>
      </c>
      <c r="C84" s="8">
        <f>'Monthly Data-EOP'!B144+'Monthly Data-FE'!B144+'Monthly Data-PC'!B144</f>
        <v>36946837</v>
      </c>
      <c r="D84" s="8">
        <v>11312.970600631321</v>
      </c>
      <c r="E84" s="8">
        <v>4113.4189999999999</v>
      </c>
      <c r="F84" s="8">
        <f t="shared" si="41"/>
        <v>11</v>
      </c>
      <c r="G84" s="8">
        <f t="shared" si="42"/>
        <v>1256967.0569970545</v>
      </c>
      <c r="H84" s="8">
        <f t="shared" si="43"/>
        <v>38203804.056997053</v>
      </c>
      <c r="I84" s="8">
        <f>'Monthly Data-EOP'!C144+'Monthly Data-FE'!C144+'Monthly Data-PC'!C144</f>
        <v>13726338</v>
      </c>
      <c r="J84" s="8">
        <f>'Monthly Data-EOP'!D144+'Monthly Data-FE'!D144+'Monthly Data-PC'!D144</f>
        <v>25962</v>
      </c>
      <c r="K84" s="8">
        <f>'Monthly Data-EOP'!E144+'Monthly Data-FE'!E144+'Monthly Data-PC'!E144</f>
        <v>5424683</v>
      </c>
      <c r="L84" s="8">
        <f>'Monthly Data-EOP'!F144+'Monthly Data-FE'!F144+'Monthly Data-PC'!F144</f>
        <v>2494</v>
      </c>
      <c r="M84" s="8">
        <f>'Monthly Data-EOP'!G144+'Monthly Data-FE'!G144+'Monthly Data-PC'!G144</f>
        <v>15377062</v>
      </c>
      <c r="N84" s="8">
        <v>447024.2</v>
      </c>
      <c r="O84" s="8">
        <f t="shared" si="45"/>
        <v>14930037.800000001</v>
      </c>
      <c r="P84" s="8">
        <f>'Monthly Data-EOP'!H144+'Monthly Data-FE'!H144+'Monthly Data-PC'!H144</f>
        <v>53833</v>
      </c>
      <c r="Q84" s="8">
        <v>1366.4</v>
      </c>
      <c r="R84" s="8">
        <f t="shared" si="46"/>
        <v>52466.6</v>
      </c>
      <c r="S84" s="8">
        <f>'Monthly Data-EOP'!I144+'Monthly Data-FE'!I144+'Monthly Data-PC'!I144</f>
        <v>216</v>
      </c>
      <c r="T84" s="8">
        <f>'Monthly Data-EOP'!J144+'Monthly Data-FE'!J144+'Monthly Data-PC'!J144</f>
        <v>415216</v>
      </c>
      <c r="U84" s="8">
        <f>'Monthly Data-EOP'!K144+'Monthly Data-FE'!K144+'Monthly Data-PC'!K144</f>
        <v>866</v>
      </c>
      <c r="V84" s="8">
        <f>'Monthly Data-EOP'!L144+'Monthly Data-FE'!L144+'Monthly Data-PC'!L144</f>
        <v>5713</v>
      </c>
      <c r="W84" s="8">
        <f>'Monthly Data-EOP'!M144+'Monthly Data-FE'!M144+'Monthly Data-PC'!M144</f>
        <v>59298</v>
      </c>
      <c r="X84" s="8">
        <f>'Monthly Data-EOP'!N144+'Monthly Data-FE'!N144+'Monthly Data-PC'!N144</f>
        <v>176</v>
      </c>
      <c r="Y84" s="8">
        <f>'Monthly Data-EOP'!O144+'Monthly Data-FE'!O144+'Monthly Data-PC'!O144</f>
        <v>759</v>
      </c>
      <c r="Z84" s="8">
        <f>'Monthly Data-EOP'!P144+'Monthly Data-FE'!P144+'Monthly Data-PC'!P144</f>
        <v>145744</v>
      </c>
      <c r="AA84" s="8">
        <f>'Monthly Data-EOP'!Q144+'Monthly Data-FE'!Q144+'Monthly Data-PC'!Q144</f>
        <v>36</v>
      </c>
      <c r="AB84">
        <f>'Weather Data'!S264</f>
        <v>338.5</v>
      </c>
      <c r="AC84">
        <f>'Weather Data'!T264</f>
        <v>0</v>
      </c>
      <c r="AD84">
        <v>356.2</v>
      </c>
      <c r="AE84">
        <v>0</v>
      </c>
      <c r="AF84">
        <v>6936.9</v>
      </c>
      <c r="AG84">
        <v>84.1</v>
      </c>
      <c r="AH84">
        <v>207.7</v>
      </c>
      <c r="AI84">
        <f t="shared" si="53"/>
        <v>83</v>
      </c>
      <c r="AJ84">
        <f t="shared" ref="AJ84:AX84" si="65">AJ72</f>
        <v>0</v>
      </c>
      <c r="AK84">
        <f t="shared" si="65"/>
        <v>1</v>
      </c>
      <c r="AL84">
        <f t="shared" si="65"/>
        <v>1</v>
      </c>
      <c r="AM84">
        <f t="shared" si="65"/>
        <v>0</v>
      </c>
      <c r="AN84">
        <f t="shared" si="65"/>
        <v>0</v>
      </c>
      <c r="AO84">
        <f t="shared" si="65"/>
        <v>0</v>
      </c>
      <c r="AP84">
        <f t="shared" si="65"/>
        <v>0</v>
      </c>
      <c r="AQ84">
        <f t="shared" si="65"/>
        <v>0</v>
      </c>
      <c r="AR84">
        <f t="shared" si="65"/>
        <v>0</v>
      </c>
      <c r="AS84">
        <f t="shared" si="65"/>
        <v>0</v>
      </c>
      <c r="AT84">
        <f t="shared" si="65"/>
        <v>0</v>
      </c>
      <c r="AU84">
        <f t="shared" si="65"/>
        <v>0</v>
      </c>
      <c r="AV84">
        <f t="shared" si="65"/>
        <v>0</v>
      </c>
      <c r="AW84">
        <f t="shared" si="65"/>
        <v>1</v>
      </c>
      <c r="AX84">
        <f t="shared" si="65"/>
        <v>0</v>
      </c>
      <c r="AY84" s="16">
        <v>21</v>
      </c>
      <c r="AZ84">
        <v>30</v>
      </c>
      <c r="BA84">
        <v>1</v>
      </c>
      <c r="BB84">
        <v>35</v>
      </c>
    </row>
    <row r="85" spans="1:54" x14ac:dyDescent="0.2">
      <c r="A85" s="3">
        <f>'Monthly Data-EOP'!A145</f>
        <v>42339</v>
      </c>
      <c r="B85" s="102">
        <f t="shared" si="50"/>
        <v>2015</v>
      </c>
      <c r="C85" s="8">
        <f>'Monthly Data-EOP'!B145+'Monthly Data-FE'!B145+'Monthly Data-PC'!B145</f>
        <v>39604094</v>
      </c>
      <c r="D85" s="8">
        <v>11312.970600631321</v>
      </c>
      <c r="E85" s="8">
        <v>4113.4189999999999</v>
      </c>
      <c r="F85" s="8">
        <f t="shared" si="41"/>
        <v>12</v>
      </c>
      <c r="G85" s="8">
        <f t="shared" si="42"/>
        <v>1285532.4667192767</v>
      </c>
      <c r="H85" s="8">
        <f t="shared" si="43"/>
        <v>40889626.466719277</v>
      </c>
      <c r="I85" s="8">
        <f>'Monthly Data-EOP'!C145+'Monthly Data-FE'!C145+'Monthly Data-PC'!C145</f>
        <v>16280986</v>
      </c>
      <c r="J85" s="8">
        <f>'Monthly Data-EOP'!D145+'Monthly Data-FE'!D145+'Monthly Data-PC'!D145</f>
        <v>25980</v>
      </c>
      <c r="K85" s="8">
        <f>'Monthly Data-EOP'!E145+'Monthly Data-FE'!E145+'Monthly Data-PC'!E145</f>
        <v>5607515</v>
      </c>
      <c r="L85" s="8">
        <f>'Monthly Data-EOP'!F145+'Monthly Data-FE'!F145+'Monthly Data-PC'!F145</f>
        <v>2496</v>
      </c>
      <c r="M85" s="8">
        <f>'Monthly Data-EOP'!G145+'Monthly Data-FE'!G145+'Monthly Data-PC'!G145</f>
        <v>15606092</v>
      </c>
      <c r="N85" s="8">
        <v>375957.4</v>
      </c>
      <c r="O85" s="8">
        <f t="shared" si="45"/>
        <v>15230134.6</v>
      </c>
      <c r="P85" s="8">
        <f>'Monthly Data-EOP'!H145+'Monthly Data-FE'!H145+'Monthly Data-PC'!H145</f>
        <v>45821</v>
      </c>
      <c r="Q85" s="8">
        <v>1008</v>
      </c>
      <c r="R85" s="8">
        <f t="shared" si="46"/>
        <v>44813</v>
      </c>
      <c r="S85" s="8">
        <f>'Monthly Data-EOP'!I145+'Monthly Data-FE'!I145+'Monthly Data-PC'!I145</f>
        <v>221</v>
      </c>
      <c r="T85" s="8">
        <f>'Monthly Data-EOP'!J145+'Monthly Data-FE'!J145+'Monthly Data-PC'!J145</f>
        <v>422058</v>
      </c>
      <c r="U85" s="8">
        <f>'Monthly Data-EOP'!K145+'Monthly Data-FE'!K145+'Monthly Data-PC'!K145</f>
        <v>866</v>
      </c>
      <c r="V85" s="8">
        <f>'Monthly Data-EOP'!L145+'Monthly Data-FE'!L145+'Monthly Data-PC'!L145</f>
        <v>5713</v>
      </c>
      <c r="W85" s="8">
        <f>'Monthly Data-EOP'!M145+'Monthly Data-FE'!M145+'Monthly Data-PC'!M145</f>
        <v>56762</v>
      </c>
      <c r="X85" s="8">
        <f>'Monthly Data-EOP'!N145+'Monthly Data-FE'!N145+'Monthly Data-PC'!N145</f>
        <v>175</v>
      </c>
      <c r="Y85" s="8">
        <f>'Monthly Data-EOP'!O145+'Monthly Data-FE'!O145+'Monthly Data-PC'!O145</f>
        <v>759</v>
      </c>
      <c r="Z85" s="8">
        <f>'Monthly Data-EOP'!P145+'Monthly Data-FE'!P145+'Monthly Data-PC'!P145</f>
        <v>131081</v>
      </c>
      <c r="AA85" s="8">
        <f>'Monthly Data-EOP'!Q145+'Monthly Data-FE'!Q145+'Monthly Data-PC'!Q145</f>
        <v>36</v>
      </c>
      <c r="AB85">
        <f>'Weather Data'!S265</f>
        <v>416.69999999999987</v>
      </c>
      <c r="AC85">
        <f>'Weather Data'!T265</f>
        <v>0</v>
      </c>
      <c r="AD85">
        <v>447</v>
      </c>
      <c r="AE85">
        <v>0</v>
      </c>
      <c r="AF85">
        <v>6948.2</v>
      </c>
      <c r="AG85">
        <v>83.8</v>
      </c>
      <c r="AH85">
        <v>206.4</v>
      </c>
      <c r="AI85">
        <f t="shared" si="53"/>
        <v>84</v>
      </c>
      <c r="AJ85">
        <f t="shared" ref="AJ85:AX85" si="66">AJ73</f>
        <v>0</v>
      </c>
      <c r="AK85">
        <f t="shared" si="66"/>
        <v>0</v>
      </c>
      <c r="AL85">
        <f t="shared" si="66"/>
        <v>0</v>
      </c>
      <c r="AM85">
        <f t="shared" si="66"/>
        <v>0</v>
      </c>
      <c r="AN85">
        <f t="shared" si="66"/>
        <v>0</v>
      </c>
      <c r="AO85">
        <f t="shared" si="66"/>
        <v>0</v>
      </c>
      <c r="AP85">
        <f t="shared" si="66"/>
        <v>0</v>
      </c>
      <c r="AQ85">
        <f t="shared" si="66"/>
        <v>0</v>
      </c>
      <c r="AR85">
        <f t="shared" si="66"/>
        <v>0</v>
      </c>
      <c r="AS85">
        <f t="shared" si="66"/>
        <v>0</v>
      </c>
      <c r="AT85">
        <f t="shared" si="66"/>
        <v>0</v>
      </c>
      <c r="AU85">
        <f t="shared" si="66"/>
        <v>0</v>
      </c>
      <c r="AV85">
        <f t="shared" si="66"/>
        <v>0</v>
      </c>
      <c r="AW85">
        <f t="shared" si="66"/>
        <v>0</v>
      </c>
      <c r="AX85">
        <f t="shared" si="66"/>
        <v>1</v>
      </c>
      <c r="AY85" s="16">
        <v>21</v>
      </c>
      <c r="AZ85">
        <v>31</v>
      </c>
      <c r="BA85">
        <v>1</v>
      </c>
      <c r="BB85">
        <v>36</v>
      </c>
    </row>
    <row r="86" spans="1:54" x14ac:dyDescent="0.2">
      <c r="A86" s="3"/>
      <c r="B86" s="102"/>
    </row>
    <row r="87" spans="1:54" x14ac:dyDescent="0.2">
      <c r="A87" s="3"/>
      <c r="B87" s="102"/>
    </row>
    <row r="88" spans="1:54" x14ac:dyDescent="0.2">
      <c r="A88" s="3"/>
      <c r="B88" s="102"/>
    </row>
    <row r="89" spans="1:54" x14ac:dyDescent="0.2">
      <c r="A89" s="3"/>
      <c r="B89" s="102"/>
    </row>
    <row r="90" spans="1:54" x14ac:dyDescent="0.2">
      <c r="A90" s="3"/>
      <c r="B90" s="102"/>
    </row>
    <row r="91" spans="1:54" x14ac:dyDescent="0.2">
      <c r="A91" s="3"/>
      <c r="B91" s="102"/>
    </row>
    <row r="92" spans="1:54" x14ac:dyDescent="0.2">
      <c r="A92" s="3"/>
      <c r="B92" s="102"/>
    </row>
    <row r="93" spans="1:54" x14ac:dyDescent="0.2">
      <c r="A93" s="3"/>
      <c r="B93" s="102"/>
    </row>
    <row r="94" spans="1:54" x14ac:dyDescent="0.2">
      <c r="A94" s="3"/>
      <c r="B94" s="102"/>
    </row>
    <row r="95" spans="1:54" x14ac:dyDescent="0.2">
      <c r="A95" s="3"/>
      <c r="B95" s="102"/>
    </row>
    <row r="96" spans="1:54" x14ac:dyDescent="0.2">
      <c r="A96" s="3"/>
      <c r="B96" s="102"/>
    </row>
    <row r="97" spans="1:2" x14ac:dyDescent="0.2">
      <c r="A97" s="3"/>
      <c r="B97" s="102"/>
    </row>
    <row r="98" spans="1:2" x14ac:dyDescent="0.2">
      <c r="A98" s="3"/>
      <c r="B98" s="102"/>
    </row>
    <row r="99" spans="1:2" x14ac:dyDescent="0.2">
      <c r="A99" s="3"/>
      <c r="B99" s="102"/>
    </row>
    <row r="100" spans="1:2" x14ac:dyDescent="0.2">
      <c r="A100" s="3"/>
      <c r="B100" s="102"/>
    </row>
    <row r="101" spans="1:2" x14ac:dyDescent="0.2">
      <c r="A101" s="3"/>
      <c r="B101" s="102"/>
    </row>
    <row r="102" spans="1:2" x14ac:dyDescent="0.2">
      <c r="A102" s="3"/>
      <c r="B102" s="102"/>
    </row>
    <row r="103" spans="1:2" x14ac:dyDescent="0.2">
      <c r="A103" s="3"/>
      <c r="B103" s="102"/>
    </row>
    <row r="104" spans="1:2" x14ac:dyDescent="0.2">
      <c r="A104" s="3"/>
      <c r="B104" s="102"/>
    </row>
    <row r="105" spans="1:2" x14ac:dyDescent="0.2">
      <c r="A105" s="3"/>
      <c r="B105" s="102"/>
    </row>
    <row r="106" spans="1:2" x14ac:dyDescent="0.2">
      <c r="A106" s="3"/>
      <c r="B106" s="102"/>
    </row>
    <row r="107" spans="1:2" x14ac:dyDescent="0.2">
      <c r="A107" s="3"/>
      <c r="B107" s="102"/>
    </row>
    <row r="108" spans="1:2" x14ac:dyDescent="0.2">
      <c r="A108" s="3"/>
      <c r="B108" s="102"/>
    </row>
    <row r="109" spans="1:2" x14ac:dyDescent="0.2">
      <c r="A109" s="3"/>
      <c r="B109" s="10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6"/>
  <sheetViews>
    <sheetView workbookViewId="0">
      <selection activeCell="F23" sqref="F23"/>
    </sheetView>
  </sheetViews>
  <sheetFormatPr defaultColWidth="9.33203125" defaultRowHeight="12.75" x14ac:dyDescent="0.2"/>
  <cols>
    <col min="1" max="2" width="9.33203125" style="112"/>
    <col min="3" max="3" width="13" style="112" bestFit="1" customWidth="1"/>
    <col min="4" max="4" width="9.33203125" style="112"/>
    <col min="5" max="5" width="13.1640625" style="112" bestFit="1" customWidth="1"/>
    <col min="6" max="6" width="13.1640625" style="112" customWidth="1"/>
    <col min="7" max="7" width="5" style="112" bestFit="1" customWidth="1"/>
    <col min="8" max="8" width="14.5" style="112" bestFit="1" customWidth="1"/>
    <col min="9" max="9" width="12" style="112" bestFit="1" customWidth="1"/>
    <col min="10" max="10" width="10.1640625" style="112" bestFit="1" customWidth="1"/>
    <col min="11" max="11" width="10.1640625" style="112" customWidth="1"/>
    <col min="12" max="12" width="5" style="112" bestFit="1" customWidth="1"/>
    <col min="13" max="13" width="10.6640625" style="112" bestFit="1" customWidth="1"/>
    <col min="14" max="16384" width="9.33203125" style="112"/>
  </cols>
  <sheetData>
    <row r="2" spans="2:20" s="124" customFormat="1" ht="12.75" customHeight="1" x14ac:dyDescent="0.2">
      <c r="B2" s="187" t="s">
        <v>39</v>
      </c>
      <c r="C2" s="187"/>
      <c r="D2" s="187"/>
      <c r="E2" s="187"/>
      <c r="F2" s="161"/>
      <c r="G2" s="187" t="s">
        <v>248</v>
      </c>
      <c r="H2" s="187"/>
      <c r="I2" s="187"/>
      <c r="J2" s="187"/>
      <c r="L2" s="187" t="s">
        <v>179</v>
      </c>
      <c r="M2" s="187"/>
      <c r="N2" s="187"/>
      <c r="O2" s="187"/>
      <c r="Q2" s="187" t="s">
        <v>185</v>
      </c>
      <c r="R2" s="187"/>
      <c r="S2" s="187"/>
      <c r="T2" s="187"/>
    </row>
    <row r="3" spans="2:20" s="125" customFormat="1" ht="25.5" x14ac:dyDescent="0.2">
      <c r="B3" s="125" t="s">
        <v>158</v>
      </c>
      <c r="C3" s="125" t="s">
        <v>189</v>
      </c>
      <c r="D3" s="125" t="s">
        <v>190</v>
      </c>
      <c r="E3" s="123" t="s">
        <v>67</v>
      </c>
      <c r="F3" s="159"/>
      <c r="G3" s="160" t="s">
        <v>158</v>
      </c>
      <c r="H3" s="160" t="s">
        <v>189</v>
      </c>
      <c r="I3" s="160" t="s">
        <v>190</v>
      </c>
      <c r="J3" s="159" t="s">
        <v>67</v>
      </c>
      <c r="L3" s="125" t="s">
        <v>158</v>
      </c>
      <c r="M3" s="125" t="s">
        <v>189</v>
      </c>
      <c r="N3" s="125" t="s">
        <v>190</v>
      </c>
      <c r="O3" s="123" t="s">
        <v>67</v>
      </c>
      <c r="Q3" s="125" t="s">
        <v>158</v>
      </c>
      <c r="R3" s="125" t="s">
        <v>189</v>
      </c>
      <c r="S3" s="125" t="s">
        <v>190</v>
      </c>
      <c r="T3" s="123" t="s">
        <v>67</v>
      </c>
    </row>
    <row r="4" spans="2:20" s="126" customFormat="1" x14ac:dyDescent="0.2">
      <c r="C4" s="126" t="s">
        <v>191</v>
      </c>
      <c r="D4" s="126" t="s">
        <v>192</v>
      </c>
      <c r="E4" s="126" t="s">
        <v>193</v>
      </c>
      <c r="F4" s="161"/>
      <c r="G4" s="161"/>
      <c r="H4" s="161" t="s">
        <v>191</v>
      </c>
      <c r="I4" s="161" t="s">
        <v>192</v>
      </c>
      <c r="J4" s="161" t="s">
        <v>193</v>
      </c>
      <c r="M4" s="126" t="s">
        <v>191</v>
      </c>
      <c r="N4" s="126" t="s">
        <v>192</v>
      </c>
      <c r="O4" s="126" t="s">
        <v>193</v>
      </c>
      <c r="R4" s="126" t="s">
        <v>191</v>
      </c>
      <c r="S4" s="126" t="s">
        <v>192</v>
      </c>
      <c r="T4" s="126" t="s">
        <v>193</v>
      </c>
    </row>
    <row r="5" spans="2:20" x14ac:dyDescent="0.2">
      <c r="B5" s="112">
        <v>2009</v>
      </c>
      <c r="C5" s="114">
        <f>'Normalized Annual Summary'!U4</f>
        <v>241348799.79074028</v>
      </c>
      <c r="D5" s="112">
        <f t="shared" ref="D5:D11" si="0">E5/C5</f>
        <v>3.1792938712158427E-3</v>
      </c>
      <c r="E5" s="127">
        <f>SUMIF('Combined Monthly Data'!$B:$B,B5,'Combined Monthly Data'!R:R)</f>
        <v>767318.76</v>
      </c>
      <c r="F5" s="127"/>
      <c r="G5" s="112">
        <v>2009</v>
      </c>
      <c r="H5" s="114">
        <f>'Normalized Annual Summary'!AA4</f>
        <v>5037472.4400000004</v>
      </c>
      <c r="I5" s="112">
        <f t="shared" ref="I5:I11" si="1">J5/H5</f>
        <v>2.4322197582087412E-3</v>
      </c>
      <c r="J5" s="127">
        <f>SUMIF('Combined Monthly Data'!$B:$B,G5,'Combined Monthly Data'!Q:Q)</f>
        <v>12252.24</v>
      </c>
      <c r="L5" s="112">
        <v>2009</v>
      </c>
      <c r="M5" s="114">
        <f>'Normalized Annual Summary'!AG4</f>
        <v>4543568.368878861</v>
      </c>
      <c r="N5" s="112">
        <f t="shared" ref="N5:N11" si="2">O5/M5</f>
        <v>3.1534685596764723E-3</v>
      </c>
      <c r="O5" s="127">
        <f>SUMIF('Combined Monthly Data'!$B:$B,L5,'Combined Monthly Data'!U:U)</f>
        <v>14328</v>
      </c>
      <c r="Q5" s="112">
        <v>2009</v>
      </c>
      <c r="R5" s="114">
        <f>'Normalized Annual Summary'!AL4</f>
        <v>767004.71365694073</v>
      </c>
      <c r="S5" s="112">
        <f t="shared" ref="S5:S11" si="3">T5/R5</f>
        <v>3.2946342506185102E-3</v>
      </c>
      <c r="T5" s="127">
        <f>SUMIF('Combined Monthly Data'!$B:$B,Q5,'Combined Monthly Data'!X:X)</f>
        <v>2527</v>
      </c>
    </row>
    <row r="6" spans="2:20" x14ac:dyDescent="0.2">
      <c r="B6" s="112">
        <v>2010</v>
      </c>
      <c r="C6" s="114">
        <f>'Normalized Annual Summary'!U5</f>
        <v>244269810.3738147</v>
      </c>
      <c r="D6" s="112">
        <f t="shared" si="0"/>
        <v>3.2492177350340371E-3</v>
      </c>
      <c r="E6" s="127">
        <f>SUMIF('Combined Monthly Data'!$B:$B,B6,'Combined Monthly Data'!R:R)</f>
        <v>793685.79999999993</v>
      </c>
      <c r="F6" s="127"/>
      <c r="G6" s="112">
        <v>2010</v>
      </c>
      <c r="H6" s="114">
        <f>'Normalized Annual Summary'!AA5</f>
        <v>5131021.1399999997</v>
      </c>
      <c r="I6" s="112">
        <f t="shared" si="1"/>
        <v>2.4851193655382213E-3</v>
      </c>
      <c r="J6" s="127">
        <f>SUMIF('Combined Monthly Data'!$B:$B,G6,'Combined Monthly Data'!Q:Q)</f>
        <v>12751.2</v>
      </c>
      <c r="L6" s="112">
        <v>2010</v>
      </c>
      <c r="M6" s="114">
        <f>'Normalized Annual Summary'!AG5</f>
        <v>3872998.1624522032</v>
      </c>
      <c r="N6" s="112">
        <f t="shared" si="2"/>
        <v>3.7397384125866461E-3</v>
      </c>
      <c r="O6" s="127">
        <f>SUMIF('Combined Monthly Data'!$B:$B,L6,'Combined Monthly Data'!U:U)</f>
        <v>14484</v>
      </c>
      <c r="Q6" s="112">
        <v>2010</v>
      </c>
      <c r="R6" s="114">
        <f>'Normalized Annual Summary'!AL5</f>
        <v>789879.34341817885</v>
      </c>
      <c r="S6" s="112">
        <f t="shared" si="3"/>
        <v>3.5385151204293075E-3</v>
      </c>
      <c r="T6" s="127">
        <f>SUMIF('Combined Monthly Data'!$B:$B,Q6,'Combined Monthly Data'!X:X)</f>
        <v>2794.9999999999995</v>
      </c>
    </row>
    <row r="7" spans="2:20" x14ac:dyDescent="0.2">
      <c r="B7" s="112">
        <v>2011</v>
      </c>
      <c r="C7" s="114">
        <f>'Normalized Annual Summary'!U6</f>
        <v>234668425.18486074</v>
      </c>
      <c r="D7" s="112">
        <f t="shared" si="0"/>
        <v>3.1886793436762461E-3</v>
      </c>
      <c r="E7" s="127">
        <f>SUMIF('Combined Monthly Data'!$B:$B,B7,'Combined Monthly Data'!R:R)</f>
        <v>748282.36</v>
      </c>
      <c r="F7" s="127"/>
      <c r="G7" s="112">
        <v>2011</v>
      </c>
      <c r="H7" s="114">
        <f>'Normalized Annual Summary'!AA6</f>
        <v>5010546.66</v>
      </c>
      <c r="I7" s="112">
        <f t="shared" si="1"/>
        <v>2.3966726217454284E-3</v>
      </c>
      <c r="J7" s="127">
        <f>SUMIF('Combined Monthly Data'!$B:$B,G7,'Combined Monthly Data'!Q:Q)</f>
        <v>12008.64</v>
      </c>
      <c r="L7" s="112">
        <v>2011</v>
      </c>
      <c r="M7" s="114">
        <f>'Normalized Annual Summary'!AG6</f>
        <v>4475402.6495600026</v>
      </c>
      <c r="N7" s="112">
        <f t="shared" si="2"/>
        <v>3.0663162791283532E-3</v>
      </c>
      <c r="O7" s="127">
        <f>SUMIF('Combined Monthly Data'!$B:$B,L7,'Combined Monthly Data'!U:U)</f>
        <v>13723</v>
      </c>
      <c r="Q7" s="112">
        <v>2011</v>
      </c>
      <c r="R7" s="114">
        <f>'Normalized Annual Summary'!AL6</f>
        <v>761034.83022289607</v>
      </c>
      <c r="S7" s="112">
        <f t="shared" si="3"/>
        <v>3.0287707059674243E-3</v>
      </c>
      <c r="T7" s="127">
        <f>SUMIF('Combined Monthly Data'!$B:$B,Q7,'Combined Monthly Data'!X:X)</f>
        <v>2305</v>
      </c>
    </row>
    <row r="8" spans="2:20" x14ac:dyDescent="0.2">
      <c r="B8" s="112">
        <v>2012</v>
      </c>
      <c r="C8" s="114">
        <f>'Normalized Annual Summary'!U7</f>
        <v>252249791.57937253</v>
      </c>
      <c r="D8" s="112">
        <f t="shared" si="0"/>
        <v>3.0127251651697494E-3</v>
      </c>
      <c r="E8" s="127">
        <f>SUMIF('Combined Monthly Data'!$B:$B,B8,'Combined Monthly Data'!R:R)</f>
        <v>759959.29499999993</v>
      </c>
      <c r="F8" s="127"/>
      <c r="G8" s="112">
        <v>2012</v>
      </c>
      <c r="H8" s="114">
        <f>'Normalized Annual Summary'!AA7</f>
        <v>5264498.6195</v>
      </c>
      <c r="I8" s="112">
        <f t="shared" si="1"/>
        <v>2.4090955125380103E-3</v>
      </c>
      <c r="J8" s="127">
        <f>SUMIF('Combined Monthly Data'!$B:$B,G8,'Combined Monthly Data'!Q:Q)</f>
        <v>12682.68</v>
      </c>
      <c r="L8" s="112">
        <v>2012</v>
      </c>
      <c r="M8" s="114">
        <f>'Normalized Annual Summary'!AG7</f>
        <v>4830569.4605373191</v>
      </c>
      <c r="N8" s="112">
        <f t="shared" si="2"/>
        <v>2.7642405536416241E-3</v>
      </c>
      <c r="O8" s="127">
        <f>SUMIF('Combined Monthly Data'!$B:$B,L8,'Combined Monthly Data'!U:U)</f>
        <v>13352.856</v>
      </c>
      <c r="Q8" s="112">
        <v>2012</v>
      </c>
      <c r="R8" s="114">
        <f>'Normalized Annual Summary'!AL7</f>
        <v>713312.26771618892</v>
      </c>
      <c r="S8" s="112">
        <f t="shared" si="3"/>
        <v>3.0379401814272472E-3</v>
      </c>
      <c r="T8" s="127">
        <f>SUMIF('Combined Monthly Data'!$B:$B,Q8,'Combined Monthly Data'!X:X)</f>
        <v>2167</v>
      </c>
    </row>
    <row r="9" spans="2:20" x14ac:dyDescent="0.2">
      <c r="B9" s="112">
        <v>2013</v>
      </c>
      <c r="C9" s="114">
        <f>'Normalized Annual Summary'!U8</f>
        <v>214645102.49999997</v>
      </c>
      <c r="D9" s="112">
        <f t="shared" si="0"/>
        <v>3.2181586346699902E-3</v>
      </c>
      <c r="E9" s="127">
        <f>SUMIF('Combined Monthly Data'!$B:$B,B9,'Combined Monthly Data'!R:R)</f>
        <v>690761.99</v>
      </c>
      <c r="F9" s="127"/>
      <c r="G9" s="112">
        <v>2013</v>
      </c>
      <c r="H9" s="114">
        <f>'Normalized Annual Summary'!AA8</f>
        <v>4854403.5</v>
      </c>
      <c r="I9" s="112">
        <f t="shared" si="1"/>
        <v>2.4805601759309869E-3</v>
      </c>
      <c r="J9" s="127">
        <f>SUMIF('Combined Monthly Data'!$B:$B,G9,'Combined Monthly Data'!Q:Q)</f>
        <v>12041.64</v>
      </c>
      <c r="L9" s="112">
        <v>2013</v>
      </c>
      <c r="M9" s="114">
        <f>'Normalized Annual Summary'!AG8</f>
        <v>4446822</v>
      </c>
      <c r="N9" s="112">
        <f t="shared" si="2"/>
        <v>2.9932967858843904E-3</v>
      </c>
      <c r="O9" s="127">
        <f>SUMIF('Combined Monthly Data'!$B:$B,L9,'Combined Monthly Data'!U:U)</f>
        <v>13310.657999999998</v>
      </c>
      <c r="Q9" s="112">
        <v>2013</v>
      </c>
      <c r="R9" s="114">
        <f>'Normalized Annual Summary'!AL8</f>
        <v>679025</v>
      </c>
      <c r="S9" s="112">
        <f t="shared" si="3"/>
        <v>3.0787437870476047E-3</v>
      </c>
      <c r="T9" s="127">
        <f>SUMIF('Combined Monthly Data'!$B:$B,Q9,'Combined Monthly Data'!X:X)</f>
        <v>2090.5439999999999</v>
      </c>
    </row>
    <row r="10" spans="2:20" x14ac:dyDescent="0.2">
      <c r="B10" s="112">
        <v>2014</v>
      </c>
      <c r="C10" s="114">
        <f>'Normalized Annual Summary'!U9</f>
        <v>226629153.79999992</v>
      </c>
      <c r="D10" s="112">
        <f t="shared" si="0"/>
        <v>2.9150053023760626E-3</v>
      </c>
      <c r="E10" s="127">
        <f>SUMIF('Combined Monthly Data'!$B:$B,B10,'Combined Monthly Data'!R:R)</f>
        <v>660625.18499999994</v>
      </c>
      <c r="F10" s="127"/>
      <c r="G10" s="112">
        <v>2014</v>
      </c>
      <c r="H10" s="114">
        <f>'Normalized Annual Summary'!AA9</f>
        <v>4975331.1999999993</v>
      </c>
      <c r="I10" s="112">
        <f t="shared" si="1"/>
        <v>2.6045301265572034E-3</v>
      </c>
      <c r="J10" s="127">
        <f>SUMIF('Combined Monthly Data'!$B:$B,G10,'Combined Monthly Data'!Q:Q)</f>
        <v>12958.4</v>
      </c>
      <c r="L10" s="112">
        <v>2014</v>
      </c>
      <c r="M10" s="114">
        <f>'Normalized Annual Summary'!AG9</f>
        <v>4324650</v>
      </c>
      <c r="N10" s="112">
        <f t="shared" si="2"/>
        <v>3.0728854358156154E-3</v>
      </c>
      <c r="O10" s="127">
        <f>SUMIF('Combined Monthly Data'!$B:$B,L10,'Combined Monthly Data'!U:U)</f>
        <v>13289.154</v>
      </c>
      <c r="Q10" s="112">
        <v>2014</v>
      </c>
      <c r="R10" s="114">
        <f>'Normalized Annual Summary'!AL9</f>
        <v>700647</v>
      </c>
      <c r="S10" s="112">
        <f t="shared" si="3"/>
        <v>3.0508901058592984E-3</v>
      </c>
      <c r="T10" s="127">
        <f>SUMIF('Combined Monthly Data'!$B:$B,Q10,'Combined Monthly Data'!X:X)</f>
        <v>2137.5969999999998</v>
      </c>
    </row>
    <row r="11" spans="2:20" x14ac:dyDescent="0.2">
      <c r="B11" s="112">
        <v>2015</v>
      </c>
      <c r="C11" s="114">
        <f>'Normalized Annual Summary'!U10</f>
        <v>193620890</v>
      </c>
      <c r="D11" s="112">
        <f t="shared" si="0"/>
        <v>3.2084428131695913E-3</v>
      </c>
      <c r="E11" s="127">
        <f>SUMIF('Combined Monthly Data'!$B:$B,B11,'Combined Monthly Data'!R:R)</f>
        <v>621221.55299999996</v>
      </c>
      <c r="F11" s="127"/>
      <c r="G11" s="112">
        <v>2015</v>
      </c>
      <c r="H11" s="114">
        <f>'Normalized Annual Summary'!AA10</f>
        <v>5138938.0000000009</v>
      </c>
      <c r="I11" s="112">
        <f t="shared" si="1"/>
        <v>2.6741712003530687E-3</v>
      </c>
      <c r="J11" s="127">
        <f>SUMIF('Combined Monthly Data'!$B:$B,G11,'Combined Monthly Data'!Q:Q)</f>
        <v>13742.4</v>
      </c>
      <c r="L11" s="112">
        <v>2015</v>
      </c>
      <c r="M11" s="114">
        <f>'Normalized Annual Summary'!AG10</f>
        <v>3719644</v>
      </c>
      <c r="N11" s="112">
        <f t="shared" si="2"/>
        <v>3.0886127812231497E-3</v>
      </c>
      <c r="O11" s="127">
        <f>SUMIF('Combined Monthly Data'!$B:$B,L11,'Combined Monthly Data'!U:U)</f>
        <v>11488.54</v>
      </c>
      <c r="Q11" s="112">
        <v>2015</v>
      </c>
      <c r="R11" s="114">
        <f>'Normalized Annual Summary'!AL10</f>
        <v>691109</v>
      </c>
      <c r="S11" s="112">
        <f t="shared" si="3"/>
        <v>3.0460245778885821E-3</v>
      </c>
      <c r="T11" s="127">
        <f>SUMIF('Combined Monthly Data'!$B:$B,Q11,'Combined Monthly Data'!X:X)</f>
        <v>2105.1350000000002</v>
      </c>
    </row>
    <row r="12" spans="2:20" x14ac:dyDescent="0.2">
      <c r="C12" s="114"/>
      <c r="E12" s="127"/>
      <c r="F12" s="127"/>
      <c r="H12" s="114"/>
      <c r="J12" s="127"/>
      <c r="M12" s="114"/>
      <c r="O12" s="127"/>
      <c r="R12" s="114"/>
      <c r="T12" s="127"/>
    </row>
    <row r="13" spans="2:20" x14ac:dyDescent="0.2">
      <c r="C13" s="112" t="s">
        <v>194</v>
      </c>
      <c r="E13" s="127"/>
      <c r="F13" s="127"/>
      <c r="H13" s="112" t="s">
        <v>194</v>
      </c>
      <c r="J13" s="127"/>
      <c r="M13" s="112" t="s">
        <v>194</v>
      </c>
      <c r="O13" s="127"/>
      <c r="R13" s="112" t="s">
        <v>194</v>
      </c>
      <c r="T13" s="127"/>
    </row>
    <row r="14" spans="2:20" s="126" customFormat="1" x14ac:dyDescent="0.2">
      <c r="C14" s="126" t="s">
        <v>195</v>
      </c>
      <c r="D14" s="126" t="s">
        <v>196</v>
      </c>
      <c r="E14" s="128" t="s">
        <v>197</v>
      </c>
      <c r="F14" s="128"/>
      <c r="G14" s="161"/>
      <c r="H14" s="161" t="s">
        <v>195</v>
      </c>
      <c r="I14" s="161" t="s">
        <v>196</v>
      </c>
      <c r="J14" s="128" t="s">
        <v>197</v>
      </c>
      <c r="M14" s="126" t="s">
        <v>195</v>
      </c>
      <c r="N14" s="126" t="s">
        <v>196</v>
      </c>
      <c r="O14" s="128" t="s">
        <v>197</v>
      </c>
      <c r="R14" s="126" t="s">
        <v>195</v>
      </c>
      <c r="S14" s="126" t="s">
        <v>196</v>
      </c>
      <c r="T14" s="128" t="s">
        <v>197</v>
      </c>
    </row>
    <row r="15" spans="2:20" s="119" customFormat="1" x14ac:dyDescent="0.2">
      <c r="B15" s="119">
        <v>2016</v>
      </c>
      <c r="C15" s="120">
        <f ca="1">'Normalized Annual Summary'!W11</f>
        <v>194648919.09509185</v>
      </c>
      <c r="D15" s="119">
        <f>D11</f>
        <v>3.2084428131695913E-3</v>
      </c>
      <c r="E15" s="129">
        <f ca="1">C15*D15</f>
        <v>624519.92556187662</v>
      </c>
      <c r="F15" s="129"/>
      <c r="G15" s="119">
        <v>2016</v>
      </c>
      <c r="H15" s="120">
        <f ca="1">'Normalized Annual Summary'!AC11</f>
        <v>5166223.1642293008</v>
      </c>
      <c r="I15" s="119">
        <f>I11</f>
        <v>2.6741712003530687E-3</v>
      </c>
      <c r="J15" s="129">
        <f ca="1">H15*I15</f>
        <v>13815.365200378897</v>
      </c>
      <c r="L15" s="119">
        <v>2016</v>
      </c>
      <c r="M15" s="120">
        <f>'Normalized Annual Summary'!AH11</f>
        <v>3719850.2259961669</v>
      </c>
      <c r="N15" s="119">
        <f>N11</f>
        <v>3.0886127812231497E-3</v>
      </c>
      <c r="O15" s="129">
        <f>M15*N15</f>
        <v>11489.176952247582</v>
      </c>
      <c r="Q15" s="119">
        <v>2016</v>
      </c>
      <c r="R15" s="120">
        <f>'Normalized Annual Summary'!AM11</f>
        <v>659330.93192593928</v>
      </c>
      <c r="S15" s="119">
        <f>S11</f>
        <v>3.0460245778885821E-3</v>
      </c>
      <c r="T15" s="129">
        <f>R15*S15</f>
        <v>2008.3382236085947</v>
      </c>
    </row>
    <row r="16" spans="2:20" x14ac:dyDescent="0.2">
      <c r="B16" s="119">
        <v>2017</v>
      </c>
      <c r="C16" s="120">
        <f ca="1">'Normalized Annual Summary'!W12</f>
        <v>196138344.94363838</v>
      </c>
      <c r="D16" s="119">
        <f>D15</f>
        <v>3.2084428131695913E-3</v>
      </c>
      <c r="E16" s="129">
        <f ca="1">C16*D16</f>
        <v>629298.66322139476</v>
      </c>
      <c r="F16" s="129"/>
      <c r="G16" s="119">
        <v>2017</v>
      </c>
      <c r="H16" s="120">
        <f ca="1">'Normalized Annual Summary'!AC12</f>
        <v>5205754.3692107359</v>
      </c>
      <c r="I16" s="119">
        <f>I15</f>
        <v>2.6741712003530687E-3</v>
      </c>
      <c r="J16" s="129">
        <f ca="1">H16*I16</f>
        <v>13921.078410255506</v>
      </c>
      <c r="K16" s="119"/>
      <c r="L16" s="119">
        <v>2017</v>
      </c>
      <c r="M16" s="120">
        <f>'Normalized Annual Summary'!AH12</f>
        <v>3720056.4634259981</v>
      </c>
      <c r="N16" s="119">
        <f>N15</f>
        <v>3.0886127812231497E-3</v>
      </c>
      <c r="O16" s="129">
        <f>M16*N16</f>
        <v>11489.813939809326</v>
      </c>
      <c r="P16" s="119"/>
      <c r="Q16" s="119">
        <v>2017</v>
      </c>
      <c r="R16" s="120">
        <f>'Normalized Annual Summary'!AM12</f>
        <v>629014.05971319659</v>
      </c>
      <c r="S16" s="119">
        <f>S15</f>
        <v>3.0460245778885821E-3</v>
      </c>
      <c r="T16" s="129">
        <f>R16*S16</f>
        <v>1915.992285723873</v>
      </c>
    </row>
  </sheetData>
  <mergeCells count="4">
    <mergeCell ref="B2:E2"/>
    <mergeCell ref="L2:O2"/>
    <mergeCell ref="Q2:T2"/>
    <mergeCell ref="G2:J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workbookViewId="0">
      <selection activeCell="C3" sqref="C3"/>
    </sheetView>
  </sheetViews>
  <sheetFormatPr defaultColWidth="8.83203125" defaultRowHeight="15" x14ac:dyDescent="0.25"/>
  <cols>
    <col min="1" max="1" width="30.1640625" style="130" bestFit="1" customWidth="1"/>
    <col min="2" max="2" width="22.1640625" style="130" bestFit="1" customWidth="1"/>
    <col min="3" max="3" width="14.5" style="130" bestFit="1" customWidth="1"/>
    <col min="4" max="5" width="13.33203125" style="130" bestFit="1" customWidth="1"/>
    <col min="6" max="6" width="11.5" style="130" customWidth="1"/>
    <col min="7" max="7" width="11.33203125" style="130" customWidth="1"/>
    <col min="8" max="8" width="11.1640625" style="130" bestFit="1" customWidth="1"/>
    <col min="9" max="16384" width="8.83203125" style="130"/>
  </cols>
  <sheetData>
    <row r="2" spans="1:9" x14ac:dyDescent="0.25">
      <c r="A2" s="162"/>
      <c r="B2" s="178">
        <v>2015</v>
      </c>
      <c r="C2" s="178">
        <v>2016</v>
      </c>
      <c r="D2" s="178">
        <v>2017</v>
      </c>
      <c r="E2" s="178">
        <v>2018</v>
      </c>
      <c r="F2" s="178">
        <v>2019</v>
      </c>
      <c r="G2" s="178">
        <v>2020</v>
      </c>
      <c r="H2" s="179" t="s">
        <v>230</v>
      </c>
      <c r="I2" s="162"/>
    </row>
    <row r="3" spans="1:9" x14ac:dyDescent="0.25">
      <c r="A3" s="162" t="s">
        <v>180</v>
      </c>
      <c r="B3" s="172">
        <v>493987</v>
      </c>
      <c r="C3" s="173">
        <v>929000</v>
      </c>
      <c r="D3" s="172">
        <v>719000</v>
      </c>
      <c r="E3" s="172">
        <v>596000</v>
      </c>
      <c r="F3" s="173">
        <v>360000</v>
      </c>
      <c r="G3" s="172">
        <v>341000</v>
      </c>
      <c r="H3" s="170">
        <v>3438987</v>
      </c>
      <c r="I3" s="162"/>
    </row>
    <row r="4" spans="1:9" x14ac:dyDescent="0.25">
      <c r="A4" s="162" t="s">
        <v>38</v>
      </c>
      <c r="B4" s="172">
        <v>901107</v>
      </c>
      <c r="C4" s="172">
        <v>776000</v>
      </c>
      <c r="D4" s="172">
        <v>536000</v>
      </c>
      <c r="E4" s="172">
        <v>436000</v>
      </c>
      <c r="F4" s="172">
        <v>302000</v>
      </c>
      <c r="G4" s="172">
        <v>224000</v>
      </c>
      <c r="H4" s="170">
        <v>3175107</v>
      </c>
      <c r="I4" s="169" t="s">
        <v>231</v>
      </c>
    </row>
    <row r="5" spans="1:9" x14ac:dyDescent="0.25">
      <c r="A5" s="162" t="s">
        <v>39</v>
      </c>
      <c r="B5" s="172">
        <v>4650226</v>
      </c>
      <c r="C5" s="174">
        <v>4007000</v>
      </c>
      <c r="D5" s="174">
        <v>3974000</v>
      </c>
      <c r="E5" s="175">
        <v>3243000</v>
      </c>
      <c r="F5" s="172">
        <v>2092000</v>
      </c>
      <c r="G5" s="172">
        <v>1867000</v>
      </c>
      <c r="H5" s="170">
        <v>19833226</v>
      </c>
      <c r="I5" s="164" t="s">
        <v>232</v>
      </c>
    </row>
    <row r="6" spans="1:9" x14ac:dyDescent="0.25">
      <c r="A6" s="162" t="s">
        <v>233</v>
      </c>
      <c r="B6" s="176">
        <v>420000</v>
      </c>
      <c r="C6" s="172">
        <v>646000</v>
      </c>
      <c r="D6" s="172">
        <v>165000</v>
      </c>
      <c r="E6" s="172"/>
      <c r="F6" s="172"/>
      <c r="G6" s="172"/>
      <c r="H6" s="170">
        <v>1231000</v>
      </c>
      <c r="I6" s="163"/>
    </row>
    <row r="7" spans="1:9" x14ac:dyDescent="0.25">
      <c r="A7" s="162" t="s">
        <v>234</v>
      </c>
      <c r="B7" s="172"/>
      <c r="C7" s="172"/>
      <c r="D7" s="172"/>
      <c r="E7" s="172"/>
      <c r="F7" s="172">
        <v>427950</v>
      </c>
      <c r="G7" s="172">
        <v>427950</v>
      </c>
      <c r="H7" s="170"/>
      <c r="I7" s="163"/>
    </row>
    <row r="8" spans="1:9" ht="15.75" thickBot="1" x14ac:dyDescent="0.3">
      <c r="A8" s="162" t="s">
        <v>43</v>
      </c>
      <c r="B8" s="177">
        <v>6465320</v>
      </c>
      <c r="C8" s="177">
        <v>6358000</v>
      </c>
      <c r="D8" s="177">
        <v>5394000</v>
      </c>
      <c r="E8" s="177">
        <v>4275000</v>
      </c>
      <c r="F8" s="177">
        <v>3181950</v>
      </c>
      <c r="G8" s="177">
        <v>2859950</v>
      </c>
      <c r="H8" s="170">
        <v>28534220</v>
      </c>
      <c r="I8" s="163"/>
    </row>
    <row r="9" spans="1:9" ht="15.75" thickTop="1" x14ac:dyDescent="0.25">
      <c r="A9" s="162"/>
      <c r="B9" s="165"/>
      <c r="C9" s="165"/>
      <c r="D9" s="165"/>
      <c r="E9" s="168"/>
      <c r="F9" s="168"/>
      <c r="G9" s="168"/>
      <c r="H9" s="171"/>
      <c r="I9" s="162"/>
    </row>
    <row r="10" spans="1:9" x14ac:dyDescent="0.25">
      <c r="A10" s="162" t="s">
        <v>235</v>
      </c>
      <c r="B10" s="165"/>
      <c r="C10" s="165"/>
      <c r="D10" s="165"/>
      <c r="E10" s="168"/>
      <c r="F10" s="168"/>
      <c r="G10" s="168"/>
      <c r="H10" s="162"/>
      <c r="I10" s="162"/>
    </row>
    <row r="11" spans="1:9" x14ac:dyDescent="0.25">
      <c r="A11" s="162" t="s">
        <v>236</v>
      </c>
      <c r="B11" s="165"/>
      <c r="C11" s="166">
        <v>105000</v>
      </c>
      <c r="D11" s="165"/>
      <c r="E11" s="168"/>
      <c r="F11" s="168"/>
      <c r="G11" s="168"/>
      <c r="H11" s="162"/>
      <c r="I11" s="167" t="s">
        <v>237</v>
      </c>
    </row>
    <row r="12" spans="1:9" x14ac:dyDescent="0.25">
      <c r="A12" s="162" t="s">
        <v>238</v>
      </c>
      <c r="B12" s="165"/>
      <c r="C12" s="166">
        <v>1252627</v>
      </c>
      <c r="D12" s="165"/>
      <c r="E12" s="168"/>
      <c r="F12" s="168"/>
      <c r="G12" s="168"/>
      <c r="H12" s="162"/>
      <c r="I12" s="162"/>
    </row>
    <row r="13" spans="1:9" x14ac:dyDescent="0.25">
      <c r="A13" s="162" t="s">
        <v>239</v>
      </c>
      <c r="B13" s="162"/>
      <c r="C13" s="162"/>
      <c r="D13" s="162"/>
      <c r="E13" s="162"/>
      <c r="F13" s="162">
        <v>427950</v>
      </c>
      <c r="G13" s="162">
        <v>427950</v>
      </c>
      <c r="H13" s="162"/>
      <c r="I13" s="162"/>
    </row>
    <row r="15" spans="1:9" x14ac:dyDescent="0.25">
      <c r="A15" s="162" t="s">
        <v>240</v>
      </c>
      <c r="B15" s="162"/>
      <c r="C15" s="162"/>
      <c r="D15" s="162"/>
      <c r="E15" s="162"/>
      <c r="F15" s="162"/>
      <c r="G15" s="162"/>
      <c r="H15" s="162"/>
      <c r="I15" s="162"/>
    </row>
    <row r="16" spans="1:9" x14ac:dyDescent="0.25">
      <c r="A16" s="162" t="s">
        <v>241</v>
      </c>
      <c r="B16" s="170">
        <v>28530000</v>
      </c>
      <c r="C16" s="162" t="s">
        <v>28</v>
      </c>
      <c r="D16" s="162"/>
      <c r="E16" s="162"/>
      <c r="F16" s="162"/>
      <c r="G16" s="162"/>
      <c r="H16" s="162"/>
      <c r="I16" s="16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20"/>
  <sheetViews>
    <sheetView tabSelected="1" topLeftCell="V1" workbookViewId="0">
      <selection activeCell="Z5" sqref="Z5"/>
    </sheetView>
  </sheetViews>
  <sheetFormatPr defaultColWidth="8.83203125" defaultRowHeight="15" x14ac:dyDescent="0.25"/>
  <cols>
    <col min="1" max="1" width="8.83203125" style="130"/>
    <col min="2" max="2" width="5.1640625" style="130" bestFit="1" customWidth="1"/>
    <col min="3" max="3" width="13" style="130" customWidth="1"/>
    <col min="4" max="4" width="15.5" style="130" bestFit="1" customWidth="1"/>
    <col min="5" max="5" width="14.83203125" style="130" bestFit="1" customWidth="1"/>
    <col min="6" max="6" width="8.83203125" style="130"/>
    <col min="7" max="7" width="5.1640625" style="130" bestFit="1" customWidth="1"/>
    <col min="8" max="8" width="10.1640625" style="130" bestFit="1" customWidth="1"/>
    <col min="9" max="10" width="16.83203125" style="130" customWidth="1"/>
    <col min="11" max="11" width="8.83203125" style="130"/>
    <col min="12" max="12" width="5.1640625" style="130" bestFit="1" customWidth="1"/>
    <col min="13" max="13" width="11.1640625" style="130" bestFit="1" customWidth="1"/>
    <col min="14" max="15" width="16.83203125" style="130" customWidth="1"/>
    <col min="16" max="16" width="8.83203125" style="130"/>
    <col min="17" max="17" width="5.1640625" style="130" bestFit="1" customWidth="1"/>
    <col min="18" max="18" width="10.1640625" style="130" bestFit="1" customWidth="1"/>
    <col min="19" max="20" width="16.5" style="130" customWidth="1"/>
    <col min="21" max="22" width="8.83203125" style="130"/>
    <col min="23" max="23" width="19" style="130" bestFit="1" customWidth="1"/>
    <col min="24" max="24" width="14.83203125" style="130" customWidth="1"/>
    <col min="25" max="25" width="17" style="130" bestFit="1" customWidth="1"/>
    <col min="26" max="26" width="12.5" style="130" bestFit="1" customWidth="1"/>
    <col min="27" max="27" width="8.83203125" style="130"/>
    <col min="28" max="28" width="18" style="130" bestFit="1" customWidth="1"/>
    <col min="29" max="29" width="10.33203125" style="130" bestFit="1" customWidth="1"/>
    <col min="30" max="30" width="12.1640625" style="130" bestFit="1" customWidth="1"/>
    <col min="31" max="31" width="12.5" style="130" bestFit="1" customWidth="1"/>
    <col min="32" max="16384" width="8.83203125" style="130"/>
  </cols>
  <sheetData>
    <row r="2" spans="2:31" x14ac:dyDescent="0.25">
      <c r="D2" s="143" t="s">
        <v>180</v>
      </c>
      <c r="I2" s="143" t="s">
        <v>182</v>
      </c>
      <c r="N2" s="143" t="s">
        <v>183</v>
      </c>
      <c r="S2" s="143" t="s">
        <v>179</v>
      </c>
    </row>
    <row r="4" spans="2:31" ht="75" x14ac:dyDescent="0.25">
      <c r="C4" s="180" t="s">
        <v>242</v>
      </c>
      <c r="D4" s="132" t="s">
        <v>198</v>
      </c>
      <c r="E4" s="133" t="s">
        <v>199</v>
      </c>
      <c r="H4" s="180" t="s">
        <v>242</v>
      </c>
      <c r="I4" s="132" t="s">
        <v>198</v>
      </c>
      <c r="J4" s="133" t="s">
        <v>199</v>
      </c>
      <c r="M4" s="180" t="s">
        <v>242</v>
      </c>
      <c r="N4" s="132" t="s">
        <v>198</v>
      </c>
      <c r="O4" s="133" t="s">
        <v>199</v>
      </c>
      <c r="R4" s="180" t="s">
        <v>242</v>
      </c>
      <c r="S4" s="132" t="s">
        <v>198</v>
      </c>
      <c r="T4" s="133" t="s">
        <v>199</v>
      </c>
      <c r="W4" s="130" t="s">
        <v>200</v>
      </c>
      <c r="X4" s="132" t="s">
        <v>228</v>
      </c>
      <c r="Y4" s="132" t="s">
        <v>201</v>
      </c>
      <c r="Z4" s="209" t="s">
        <v>263</v>
      </c>
      <c r="AB4" s="130" t="s">
        <v>202</v>
      </c>
      <c r="AC4" s="132" t="s">
        <v>228</v>
      </c>
      <c r="AD4" s="132" t="s">
        <v>201</v>
      </c>
      <c r="AE4" s="209" t="s">
        <v>263</v>
      </c>
    </row>
    <row r="5" spans="2:31" x14ac:dyDescent="0.25">
      <c r="C5" s="131" t="s">
        <v>191</v>
      </c>
      <c r="D5" s="131" t="s">
        <v>193</v>
      </c>
      <c r="E5" s="131" t="s">
        <v>203</v>
      </c>
      <c r="H5" s="131" t="s">
        <v>191</v>
      </c>
      <c r="I5" s="131" t="s">
        <v>193</v>
      </c>
      <c r="J5" s="131" t="s">
        <v>203</v>
      </c>
      <c r="M5" s="131" t="s">
        <v>191</v>
      </c>
      <c r="N5" s="131" t="s">
        <v>193</v>
      </c>
      <c r="O5" s="131" t="s">
        <v>203</v>
      </c>
      <c r="R5" s="131" t="s">
        <v>191</v>
      </c>
      <c r="S5" s="131" t="s">
        <v>193</v>
      </c>
      <c r="T5" s="131" t="s">
        <v>203</v>
      </c>
      <c r="X5" s="134" t="s">
        <v>191</v>
      </c>
      <c r="Y5" s="182" t="s">
        <v>193</v>
      </c>
      <c r="Z5" s="182" t="s">
        <v>244</v>
      </c>
      <c r="AC5" s="182" t="s">
        <v>195</v>
      </c>
      <c r="AD5" s="183" t="s">
        <v>250</v>
      </c>
      <c r="AE5" s="183" t="s">
        <v>251</v>
      </c>
    </row>
    <row r="6" spans="2:31" x14ac:dyDescent="0.25">
      <c r="B6" s="135" t="s">
        <v>204</v>
      </c>
      <c r="G6" s="135" t="s">
        <v>204</v>
      </c>
      <c r="L6" s="135" t="s">
        <v>204</v>
      </c>
      <c r="Q6" s="135" t="s">
        <v>204</v>
      </c>
      <c r="W6" s="130" t="s">
        <v>205</v>
      </c>
      <c r="X6" s="136">
        <f ca="1">'Summary Tables'!G3</f>
        <v>202582789.01700228</v>
      </c>
      <c r="Y6" s="138">
        <f>E9</f>
        <v>1288500</v>
      </c>
      <c r="Z6" s="137">
        <f ca="1">X6-Y6</f>
        <v>201294289.01700228</v>
      </c>
      <c r="AB6" s="130" t="s">
        <v>207</v>
      </c>
      <c r="AC6" s="136">
        <f ca="1">'kW Forecast'!E$16</f>
        <v>629298.66322139476</v>
      </c>
      <c r="AD6" s="138">
        <f ca="1">AC6/X8*Y8</f>
        <v>19231.406222138528</v>
      </c>
      <c r="AE6" s="137">
        <f ca="1">AC6-AD6</f>
        <v>610067.25699925621</v>
      </c>
    </row>
    <row r="7" spans="2:31" ht="15.75" thickBot="1" x14ac:dyDescent="0.3">
      <c r="B7" s="130">
        <v>2016</v>
      </c>
      <c r="C7" s="139">
        <f>'2015-2020 Target'!C3</f>
        <v>929000</v>
      </c>
      <c r="D7" s="130">
        <v>1</v>
      </c>
      <c r="E7" s="138">
        <f t="shared" ref="E7:E8" si="0">D7*C7</f>
        <v>929000</v>
      </c>
      <c r="G7" s="130">
        <v>2016</v>
      </c>
      <c r="H7" s="139">
        <f>'2015-2020 Target'!C4</f>
        <v>776000</v>
      </c>
      <c r="I7" s="130">
        <v>1</v>
      </c>
      <c r="J7" s="138">
        <f t="shared" ref="J7:J8" si="1">I7*H7</f>
        <v>776000</v>
      </c>
      <c r="L7" s="130">
        <v>2016</v>
      </c>
      <c r="M7" s="139">
        <f>'2015-2020 Target'!C5</f>
        <v>4007000</v>
      </c>
      <c r="N7" s="130">
        <v>1</v>
      </c>
      <c r="O7" s="138">
        <f t="shared" ref="O7:O8" si="2">N7*M7</f>
        <v>4007000</v>
      </c>
      <c r="Q7" s="130">
        <v>2016</v>
      </c>
      <c r="R7" s="139">
        <f>'2015-2020 Target'!C6</f>
        <v>646000</v>
      </c>
      <c r="S7" s="130">
        <v>1</v>
      </c>
      <c r="T7" s="138">
        <f t="shared" ref="T7:T8" si="3">S7*R7</f>
        <v>646000</v>
      </c>
      <c r="W7" s="130" t="s">
        <v>206</v>
      </c>
      <c r="X7" s="136">
        <f ca="1">'Summary Tables'!G4</f>
        <v>70434323.467513755</v>
      </c>
      <c r="Y7" s="138">
        <f>J9</f>
        <v>1044000</v>
      </c>
      <c r="Z7" s="137">
        <f ca="1">X7-Y7</f>
        <v>69390323.467513755</v>
      </c>
      <c r="AB7" s="181" t="s">
        <v>179</v>
      </c>
      <c r="AC7" s="136">
        <f>'kW Forecast'!O16</f>
        <v>11489.813939809326</v>
      </c>
      <c r="AD7" s="138">
        <f ca="1">AC7/X9*Y9</f>
        <v>2250.0544111210647</v>
      </c>
      <c r="AE7" s="137">
        <f ca="1">AC7-AD7</f>
        <v>9239.7595286882606</v>
      </c>
    </row>
    <row r="8" spans="2:31" ht="15.75" thickBot="1" x14ac:dyDescent="0.3">
      <c r="B8" s="130">
        <v>2017</v>
      </c>
      <c r="C8" s="139">
        <f>'2015-2020 Target'!D3</f>
        <v>719000</v>
      </c>
      <c r="D8" s="130">
        <v>0.5</v>
      </c>
      <c r="E8" s="138">
        <f t="shared" si="0"/>
        <v>359500</v>
      </c>
      <c r="G8" s="130">
        <v>2017</v>
      </c>
      <c r="H8" s="139">
        <f>'2015-2020 Target'!D4</f>
        <v>536000</v>
      </c>
      <c r="I8" s="130">
        <v>0.5</v>
      </c>
      <c r="J8" s="138">
        <f t="shared" si="1"/>
        <v>268000</v>
      </c>
      <c r="L8" s="130">
        <v>2017</v>
      </c>
      <c r="M8" s="139">
        <f>'2015-2020 Target'!D5</f>
        <v>3974000</v>
      </c>
      <c r="N8" s="130">
        <v>0.5</v>
      </c>
      <c r="O8" s="138">
        <f t="shared" si="2"/>
        <v>1987000</v>
      </c>
      <c r="Q8" s="130">
        <v>2017</v>
      </c>
      <c r="R8" s="139">
        <f>'2015-2020 Target'!D6</f>
        <v>165000</v>
      </c>
      <c r="S8" s="130">
        <v>0.5</v>
      </c>
      <c r="T8" s="138">
        <f t="shared" si="3"/>
        <v>82500</v>
      </c>
      <c r="W8" s="130" t="s">
        <v>207</v>
      </c>
      <c r="X8" s="136">
        <f ca="1">'Summary Tables'!G5</f>
        <v>196138344.94363838</v>
      </c>
      <c r="Y8" s="138">
        <f>O9</f>
        <v>5994000</v>
      </c>
      <c r="Z8" s="137">
        <f ca="1">X8-Y8</f>
        <v>190144344.94363838</v>
      </c>
      <c r="AB8" s="130" t="s">
        <v>209</v>
      </c>
      <c r="AC8" s="141">
        <f ca="1">SUM(AC6:AC6)</f>
        <v>629298.66322139476</v>
      </c>
      <c r="AD8" s="141">
        <f ca="1">SUM(AD6:AD6)</f>
        <v>19231.406222138528</v>
      </c>
      <c r="AE8" s="141">
        <f ca="1">SUM(AE6:AE6)</f>
        <v>610067.25699925621</v>
      </c>
    </row>
    <row r="9" spans="2:31" ht="16.5" thickTop="1" thickBot="1" x14ac:dyDescent="0.3">
      <c r="C9" s="142">
        <f>SUM(C7:C8)</f>
        <v>1648000</v>
      </c>
      <c r="E9" s="141">
        <f>SUM(E7:E8)</f>
        <v>1288500</v>
      </c>
      <c r="H9" s="142">
        <f>SUM(H7:H8)</f>
        <v>1312000</v>
      </c>
      <c r="J9" s="141">
        <f>SUM(J7:J8)</f>
        <v>1044000</v>
      </c>
      <c r="M9" s="142">
        <f>SUM(M7:M8)</f>
        <v>7981000</v>
      </c>
      <c r="O9" s="141">
        <f>SUM(O7:O8)</f>
        <v>5994000</v>
      </c>
      <c r="R9" s="142">
        <f>SUM(R7:R8)</f>
        <v>811000</v>
      </c>
      <c r="T9" s="141">
        <f>SUM(T7:T8)</f>
        <v>728500</v>
      </c>
      <c r="W9" s="181" t="s">
        <v>179</v>
      </c>
      <c r="X9" s="136">
        <f ca="1">'Summary Tables'!G7</f>
        <v>3720056.4634259981</v>
      </c>
      <c r="Y9" s="138">
        <f>T9</f>
        <v>728500</v>
      </c>
      <c r="Z9" s="137">
        <f ca="1">X9-Y9</f>
        <v>2991556.4634259981</v>
      </c>
      <c r="AC9" s="134"/>
    </row>
    <row r="10" spans="2:31" ht="16.5" thickTop="1" thickBot="1" x14ac:dyDescent="0.3">
      <c r="W10" s="130" t="s">
        <v>208</v>
      </c>
      <c r="X10" s="141">
        <f t="shared" ref="X10:Y10" ca="1" si="4">SUM(X6:X9)</f>
        <v>472875513.8915804</v>
      </c>
      <c r="Y10" s="141">
        <f t="shared" si="4"/>
        <v>9055000</v>
      </c>
      <c r="Z10" s="141">
        <f ca="1">SUM(Z6:Z9)</f>
        <v>463820513.8915804</v>
      </c>
      <c r="AC10" s="134"/>
    </row>
    <row r="11" spans="2:31" ht="15.75" thickTop="1" x14ac:dyDescent="0.25">
      <c r="W11" s="181"/>
      <c r="X11" s="134"/>
      <c r="Y11" s="134"/>
    </row>
    <row r="12" spans="2:31" ht="75" x14ac:dyDescent="0.25">
      <c r="C12" s="180" t="s">
        <v>243</v>
      </c>
      <c r="D12" s="132" t="s">
        <v>198</v>
      </c>
      <c r="E12" s="133" t="s">
        <v>199</v>
      </c>
      <c r="H12" s="180" t="s">
        <v>243</v>
      </c>
      <c r="I12" s="132" t="s">
        <v>198</v>
      </c>
      <c r="J12" s="133" t="s">
        <v>199</v>
      </c>
      <c r="M12" s="180" t="s">
        <v>243</v>
      </c>
      <c r="N12" s="132" t="s">
        <v>198</v>
      </c>
      <c r="O12" s="133" t="s">
        <v>199</v>
      </c>
      <c r="R12" s="180" t="s">
        <v>243</v>
      </c>
      <c r="S12" s="132" t="s">
        <v>198</v>
      </c>
      <c r="T12" s="133" t="s">
        <v>199</v>
      </c>
    </row>
    <row r="13" spans="2:31" ht="75" x14ac:dyDescent="0.25">
      <c r="C13" s="131" t="s">
        <v>191</v>
      </c>
      <c r="D13" s="131" t="s">
        <v>193</v>
      </c>
      <c r="E13" s="131" t="s">
        <v>203</v>
      </c>
      <c r="H13" s="131" t="s">
        <v>191</v>
      </c>
      <c r="I13" s="131" t="s">
        <v>193</v>
      </c>
      <c r="J13" s="131" t="s">
        <v>203</v>
      </c>
      <c r="M13" s="131" t="s">
        <v>191</v>
      </c>
      <c r="N13" s="131" t="s">
        <v>193</v>
      </c>
      <c r="O13" s="131" t="s">
        <v>203</v>
      </c>
      <c r="R13" s="131" t="s">
        <v>191</v>
      </c>
      <c r="S13" s="131" t="s">
        <v>193</v>
      </c>
      <c r="T13" s="131" t="s">
        <v>203</v>
      </c>
      <c r="W13" s="143" t="s">
        <v>28</v>
      </c>
      <c r="X13" s="132" t="s">
        <v>228</v>
      </c>
      <c r="Y13" s="134" t="s">
        <v>210</v>
      </c>
      <c r="AB13" s="143" t="s">
        <v>78</v>
      </c>
      <c r="AC13" s="132" t="s">
        <v>228</v>
      </c>
      <c r="AD13" s="134" t="s">
        <v>211</v>
      </c>
    </row>
    <row r="14" spans="2:31" x14ac:dyDescent="0.25">
      <c r="B14" s="135" t="s">
        <v>204</v>
      </c>
      <c r="G14" s="135" t="s">
        <v>204</v>
      </c>
      <c r="L14" s="135" t="s">
        <v>204</v>
      </c>
      <c r="Q14" s="135" t="s">
        <v>204</v>
      </c>
      <c r="X14" s="134" t="s">
        <v>191</v>
      </c>
      <c r="Y14" s="182" t="s">
        <v>193</v>
      </c>
      <c r="AC14" s="183" t="s">
        <v>252</v>
      </c>
      <c r="AD14" s="183" t="s">
        <v>253</v>
      </c>
    </row>
    <row r="15" spans="2:31" x14ac:dyDescent="0.25">
      <c r="B15" s="130">
        <v>2016</v>
      </c>
      <c r="C15" s="138">
        <f t="shared" ref="C15:C16" si="5">C7</f>
        <v>929000</v>
      </c>
      <c r="D15" s="130">
        <v>1</v>
      </c>
      <c r="E15" s="138">
        <f t="shared" ref="E15:E16" si="6">D15*C15</f>
        <v>929000</v>
      </c>
      <c r="G15" s="130">
        <v>2016</v>
      </c>
      <c r="H15" s="138">
        <f t="shared" ref="H15:H16" si="7">H7</f>
        <v>776000</v>
      </c>
      <c r="I15" s="130">
        <v>1</v>
      </c>
      <c r="J15" s="138">
        <f t="shared" ref="J15:J16" si="8">I15*H15</f>
        <v>776000</v>
      </c>
      <c r="L15" s="130">
        <v>2016</v>
      </c>
      <c r="M15" s="138">
        <f t="shared" ref="M15:M16" si="9">M7</f>
        <v>4007000</v>
      </c>
      <c r="N15" s="130">
        <v>1</v>
      </c>
      <c r="O15" s="138">
        <f t="shared" ref="O15:O16" si="10">N15*M15</f>
        <v>4007000</v>
      </c>
      <c r="Q15" s="130">
        <v>2016</v>
      </c>
      <c r="R15" s="138">
        <f t="shared" ref="R15:R16" si="11">R7</f>
        <v>646000</v>
      </c>
      <c r="S15" s="130">
        <v>1</v>
      </c>
      <c r="T15" s="138">
        <f t="shared" ref="T15:T16" si="12">S15*R15</f>
        <v>646000</v>
      </c>
      <c r="W15" s="130" t="s">
        <v>205</v>
      </c>
      <c r="X15" s="136">
        <f ca="1">X6</f>
        <v>202582789.01700228</v>
      </c>
      <c r="Y15" s="138">
        <f>E17</f>
        <v>1648000</v>
      </c>
      <c r="AB15" s="130" t="s">
        <v>207</v>
      </c>
      <c r="AC15" s="136">
        <f ca="1">'kW Forecast'!E$16</f>
        <v>629298.66322139476</v>
      </c>
      <c r="AD15" s="138">
        <f ca="1">AC15/X17*Y17</f>
        <v>25606.582091906505</v>
      </c>
    </row>
    <row r="16" spans="2:31" ht="15.75" thickBot="1" x14ac:dyDescent="0.3">
      <c r="B16" s="130">
        <v>2017</v>
      </c>
      <c r="C16" s="138">
        <f t="shared" si="5"/>
        <v>719000</v>
      </c>
      <c r="D16" s="130">
        <v>1</v>
      </c>
      <c r="E16" s="138">
        <f t="shared" si="6"/>
        <v>719000</v>
      </c>
      <c r="G16" s="130">
        <v>2017</v>
      </c>
      <c r="H16" s="138">
        <f t="shared" si="7"/>
        <v>536000</v>
      </c>
      <c r="I16" s="130">
        <v>1</v>
      </c>
      <c r="J16" s="138">
        <f t="shared" si="8"/>
        <v>536000</v>
      </c>
      <c r="L16" s="130">
        <v>2017</v>
      </c>
      <c r="M16" s="138">
        <f t="shared" si="9"/>
        <v>3974000</v>
      </c>
      <c r="N16" s="130">
        <v>1</v>
      </c>
      <c r="O16" s="138">
        <f t="shared" si="10"/>
        <v>3974000</v>
      </c>
      <c r="Q16" s="130">
        <v>2017</v>
      </c>
      <c r="R16" s="138">
        <f t="shared" si="11"/>
        <v>165000</v>
      </c>
      <c r="S16" s="130">
        <v>1</v>
      </c>
      <c r="T16" s="138">
        <f t="shared" si="12"/>
        <v>165000</v>
      </c>
      <c r="W16" s="130" t="s">
        <v>206</v>
      </c>
      <c r="X16" s="136">
        <f ca="1">X7</f>
        <v>70434323.467513755</v>
      </c>
      <c r="Y16" s="138">
        <f>J17</f>
        <v>1312000</v>
      </c>
      <c r="AB16" s="181" t="s">
        <v>179</v>
      </c>
      <c r="AC16" s="136">
        <f>'kW Forecast'!O$16</f>
        <v>11489.813939809326</v>
      </c>
      <c r="AD16" s="138">
        <f ca="1">AC16/X18*Y18</f>
        <v>2504.8649655719742</v>
      </c>
    </row>
    <row r="17" spans="3:30" ht="15.75" thickBot="1" x14ac:dyDescent="0.3">
      <c r="C17" s="142">
        <f>SUM(C15:C16)</f>
        <v>1648000</v>
      </c>
      <c r="E17" s="141">
        <f>SUM(E15:E16)</f>
        <v>1648000</v>
      </c>
      <c r="H17" s="142">
        <f>SUM(H15:H16)</f>
        <v>1312000</v>
      </c>
      <c r="J17" s="141">
        <f>SUM(J15:J16)</f>
        <v>1312000</v>
      </c>
      <c r="M17" s="142">
        <f>SUM(M15:M16)</f>
        <v>7981000</v>
      </c>
      <c r="O17" s="141">
        <f>SUM(O15:O16)</f>
        <v>7981000</v>
      </c>
      <c r="R17" s="142">
        <f>SUM(R15:R16)</f>
        <v>811000</v>
      </c>
      <c r="T17" s="141">
        <f>SUM(T15:T16)</f>
        <v>811000</v>
      </c>
      <c r="W17" s="130" t="s">
        <v>207</v>
      </c>
      <c r="X17" s="136">
        <f ca="1">X8</f>
        <v>196138344.94363838</v>
      </c>
      <c r="Y17" s="138">
        <f>O17</f>
        <v>7981000</v>
      </c>
      <c r="AB17" s="130" t="s">
        <v>209</v>
      </c>
      <c r="AC17" s="141">
        <f ca="1">SUM(AC15:AC15)</f>
        <v>629298.66322139476</v>
      </c>
      <c r="AD17" s="141">
        <f ca="1">SUM(AD15:AD16)</f>
        <v>28111.447057478479</v>
      </c>
    </row>
    <row r="18" spans="3:30" ht="16.5" thickTop="1" thickBot="1" x14ac:dyDescent="0.3">
      <c r="W18" s="181" t="s">
        <v>179</v>
      </c>
      <c r="X18" s="136">
        <f ca="1">X9</f>
        <v>3720056.4634259981</v>
      </c>
      <c r="Y18" s="138">
        <f>T17</f>
        <v>811000</v>
      </c>
      <c r="AC18" s="134"/>
    </row>
    <row r="19" spans="3:30" ht="15.75" thickBot="1" x14ac:dyDescent="0.3">
      <c r="W19" s="130" t="s">
        <v>208</v>
      </c>
      <c r="X19" s="140">
        <f ca="1">SUM(X15:X17)</f>
        <v>469155457.42815441</v>
      </c>
      <c r="Y19" s="141">
        <f>SUM(Y15:Y18)</f>
        <v>11752000</v>
      </c>
    </row>
    <row r="20" spans="3:30" ht="15.75" thickTop="1" x14ac:dyDescent="0.25">
      <c r="X20" s="134"/>
      <c r="Y20" s="13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workbookViewId="0">
      <selection activeCell="E21" sqref="D17:E21"/>
    </sheetView>
  </sheetViews>
  <sheetFormatPr defaultColWidth="9.33203125" defaultRowHeight="12.75" x14ac:dyDescent="0.2"/>
  <cols>
    <col min="1" max="1" width="3.5" style="104" customWidth="1"/>
    <col min="2" max="2" width="31.83203125" style="104" bestFit="1" customWidth="1"/>
    <col min="3" max="3" width="17.6640625" style="104" customWidth="1"/>
    <col min="4" max="4" width="13.33203125" style="104" bestFit="1" customWidth="1"/>
    <col min="5" max="5" width="19" style="104" customWidth="1"/>
    <col min="6" max="7" width="15.6640625" style="104" bestFit="1" customWidth="1"/>
    <col min="8" max="16384" width="9.33203125" style="104"/>
  </cols>
  <sheetData>
    <row r="1" spans="2:7" ht="16.5" thickBot="1" x14ac:dyDescent="0.3">
      <c r="B1" s="144" t="s">
        <v>212</v>
      </c>
    </row>
    <row r="2" spans="2:7" x14ac:dyDescent="0.2">
      <c r="B2" s="145" t="s">
        <v>28</v>
      </c>
      <c r="C2" s="146" t="s">
        <v>213</v>
      </c>
      <c r="D2" s="146" t="s">
        <v>214</v>
      </c>
      <c r="E2" s="146" t="s">
        <v>215</v>
      </c>
      <c r="F2" s="146" t="s">
        <v>216</v>
      </c>
      <c r="G2" s="147" t="s">
        <v>217</v>
      </c>
    </row>
    <row r="3" spans="2:7" x14ac:dyDescent="0.2">
      <c r="B3" s="148" t="s">
        <v>180</v>
      </c>
      <c r="C3" s="149">
        <f ca="1">OFFSET('Normalized Annual Summary'!$I$9,COLUMN(C3)-COLUMN($C3),0)</f>
        <v>203019188</v>
      </c>
      <c r="D3" s="149">
        <f ca="1">OFFSET('Normalized Annual Summary'!$I$9,COLUMN(D3)-COLUMN($C3),0)</f>
        <v>199982619</v>
      </c>
      <c r="E3" s="149">
        <f ca="1">OFFSET('Normalized Annual Summary'!$K$10,COLUMN(E3)-COLUMN($E3),0)</f>
        <v>203191673.10055935</v>
      </c>
      <c r="F3" s="149">
        <f ca="1">OFFSET('Normalized Annual Summary'!$K$10,COLUMN(F3)-COLUMN($E3),0)</f>
        <v>201044425.66169167</v>
      </c>
      <c r="G3" s="150">
        <f ca="1">OFFSET('Normalized Annual Summary'!$K$10,COLUMN(G3)-COLUMN($E3),0)</f>
        <v>202582789.01700228</v>
      </c>
    </row>
    <row r="4" spans="2:7" x14ac:dyDescent="0.2">
      <c r="B4" s="151" t="s">
        <v>182</v>
      </c>
      <c r="C4" s="149">
        <f ca="1">OFFSET('Normalized Annual Summary'!$O$9,COLUMN(C4)-COLUMN($C4),0)</f>
        <v>69999358</v>
      </c>
      <c r="D4" s="149">
        <f ca="1">OFFSET('Normalized Annual Summary'!$O$9,COLUMN(D4)-COLUMN($C4),0)</f>
        <v>69530292</v>
      </c>
      <c r="E4" s="149">
        <f ca="1">OFFSET('Normalized Annual Summary'!$Q$10,COLUMN(E4)-COLUMN($E4),0)</f>
        <v>70646021.305733755</v>
      </c>
      <c r="F4" s="149">
        <f ca="1">OFFSET('Normalized Annual Summary'!$Q$10,COLUMN(F4)-COLUMN($E4),0)</f>
        <v>69899462.718956172</v>
      </c>
      <c r="G4" s="150">
        <f ca="1">OFFSET('Normalized Annual Summary'!$Q$10,COLUMN(G4)-COLUMN($E4),0)</f>
        <v>70434323.467513755</v>
      </c>
    </row>
    <row r="5" spans="2:7" x14ac:dyDescent="0.2">
      <c r="B5" s="151" t="s">
        <v>183</v>
      </c>
      <c r="C5" s="149">
        <f ca="1">OFFSET('Normalized Annual Summary'!$U$9,COLUMN(C5)-COLUMN($C5),0)</f>
        <v>226629153.79999992</v>
      </c>
      <c r="D5" s="149">
        <f ca="1">OFFSET('Normalized Annual Summary'!$U$9,COLUMN(D5)-COLUMN($C5),0)</f>
        <v>193620890</v>
      </c>
      <c r="E5" s="149">
        <f ca="1">OFFSET('Normalized Annual Summary'!$W$10,COLUMN(E5)-COLUMN($E5),0)</f>
        <v>196727859.56623241</v>
      </c>
      <c r="F5" s="149">
        <f ca="1">OFFSET('Normalized Annual Summary'!$W$10,COLUMN(F5)-COLUMN($E5),0)</f>
        <v>194648919.09509185</v>
      </c>
      <c r="G5" s="150">
        <f ca="1">OFFSET('Normalized Annual Summary'!$W$10,COLUMN(G5)-COLUMN($E5),0)</f>
        <v>196138344.94363838</v>
      </c>
    </row>
    <row r="6" spans="2:7" x14ac:dyDescent="0.2">
      <c r="B6" s="151" t="s">
        <v>245</v>
      </c>
      <c r="C6" s="149">
        <f ca="1">OFFSET('Normalized Annual Summary'!$AA$9,COLUMN(C6)-COLUMN($C6),0)</f>
        <v>4975331.1999999993</v>
      </c>
      <c r="D6" s="149">
        <f ca="1">OFFSET('Normalized Annual Summary'!$AA$9,COLUMN(D6)-COLUMN($C6),0)</f>
        <v>5138938.0000000009</v>
      </c>
      <c r="E6" s="149">
        <f ca="1">OFFSET('Normalized Annual Summary'!$AC$10,COLUMN(E6)-COLUMN($E6),0)</f>
        <v>5221400.8167381901</v>
      </c>
      <c r="F6" s="149">
        <f ca="1">OFFSET('Normalized Annual Summary'!$AC$10,COLUMN(F6)-COLUMN($E6),0)</f>
        <v>5166223.1642293008</v>
      </c>
      <c r="G6" s="150">
        <f ca="1">OFFSET('Normalized Annual Summary'!$AC$10,COLUMN(G6)-COLUMN($E6),0)</f>
        <v>5205754.3692107359</v>
      </c>
    </row>
    <row r="7" spans="2:7" x14ac:dyDescent="0.2">
      <c r="B7" s="151" t="s">
        <v>179</v>
      </c>
      <c r="C7" s="149">
        <f ca="1">OFFSET('Normalized Annual Summary'!$AG$9,COLUMN(C7)-COLUMN($C7),0)</f>
        <v>4324650</v>
      </c>
      <c r="D7" s="149">
        <f ca="1">OFFSET('Normalized Annual Summary'!$AG$9,COLUMN(D7)-COLUMN($C7),0)</f>
        <v>3719644</v>
      </c>
      <c r="E7" s="149">
        <f ca="1">OFFSET('Normalized Annual Summary'!$AH$10,COLUMN(E7)-COLUMN($E7),0)</f>
        <v>3719644</v>
      </c>
      <c r="F7" s="149">
        <f ca="1">OFFSET('Normalized Annual Summary'!$AH$10,COLUMN(F7)-COLUMN($E7),0)</f>
        <v>3719850.2259961669</v>
      </c>
      <c r="G7" s="150">
        <f ca="1">OFFSET('Normalized Annual Summary'!$AH$10,COLUMN(G7)-COLUMN($E7),0)</f>
        <v>3720056.4634259981</v>
      </c>
    </row>
    <row r="8" spans="2:7" x14ac:dyDescent="0.2">
      <c r="B8" s="151" t="s">
        <v>218</v>
      </c>
      <c r="C8" s="149">
        <f ca="1">OFFSET('Normalized Annual Summary'!$AL$9,COLUMN(C8)-COLUMN($C8),0)</f>
        <v>700647</v>
      </c>
      <c r="D8" s="149">
        <f ca="1">OFFSET('Normalized Annual Summary'!$AL$9,COLUMN(D8)-COLUMN($C8),0)</f>
        <v>691109</v>
      </c>
      <c r="E8" s="149">
        <f ca="1">OFFSET('Normalized Annual Summary'!$AM$10,COLUMN(E8)-COLUMN($E8),0)</f>
        <v>691109</v>
      </c>
      <c r="F8" s="149">
        <f ca="1">OFFSET('Normalized Annual Summary'!$AM$10,COLUMN(F8)-COLUMN($E8),0)</f>
        <v>659330.93192593928</v>
      </c>
      <c r="G8" s="150">
        <f ca="1">OFFSET('Normalized Annual Summary'!$AM$10,COLUMN(G8)-COLUMN($E8),0)</f>
        <v>629014.05971319659</v>
      </c>
    </row>
    <row r="9" spans="2:7" x14ac:dyDescent="0.2">
      <c r="B9" s="151" t="s">
        <v>42</v>
      </c>
      <c r="C9" s="149">
        <f ca="1">OFFSET('Normalized Annual Summary'!$AQ$9,COLUMN(C9)-COLUMN($C9),0)</f>
        <v>1506300</v>
      </c>
      <c r="D9" s="149">
        <f ca="1">OFFSET('Normalized Annual Summary'!$AQ$9,COLUMN(D9)-COLUMN($C9),0)</f>
        <v>1506177</v>
      </c>
      <c r="E9" s="149">
        <f ca="1">OFFSET('Normalized Annual Summary'!$AR$10,COLUMN(E9)-COLUMN($E9),0)</f>
        <v>1506177</v>
      </c>
      <c r="F9" s="149">
        <f ca="1">OFFSET('Normalized Annual Summary'!$AR$10,COLUMN(F9)-COLUMN($E9),0)</f>
        <v>1484310.2695179088</v>
      </c>
      <c r="G9" s="150">
        <f ca="1">OFFSET('Normalized Annual Summary'!$AR$10,COLUMN(G9)-COLUMN($E9),0)</f>
        <v>1462761.0009954521</v>
      </c>
    </row>
    <row r="10" spans="2:7" ht="13.5" thickBot="1" x14ac:dyDescent="0.25">
      <c r="B10" s="152" t="s">
        <v>43</v>
      </c>
      <c r="C10" s="153">
        <f ca="1">SUM(C3:C9)</f>
        <v>511154627.99999994</v>
      </c>
      <c r="D10" s="153">
        <f t="shared" ref="D10:G10" ca="1" si="0">SUM(D3:D9)</f>
        <v>474189669</v>
      </c>
      <c r="E10" s="153">
        <f t="shared" ca="1" si="0"/>
        <v>481703884.78926367</v>
      </c>
      <c r="F10" s="153">
        <f t="shared" ca="1" si="0"/>
        <v>476622522.06740904</v>
      </c>
      <c r="G10" s="154">
        <f t="shared" ca="1" si="0"/>
        <v>480173043.32149976</v>
      </c>
    </row>
    <row r="12" spans="2:7" ht="16.5" thickBot="1" x14ac:dyDescent="0.3">
      <c r="B12" s="144" t="s">
        <v>219</v>
      </c>
    </row>
    <row r="13" spans="2:7" ht="38.25" x14ac:dyDescent="0.2">
      <c r="B13" s="145" t="s">
        <v>28</v>
      </c>
      <c r="C13" s="155" t="s">
        <v>220</v>
      </c>
      <c r="D13" s="155" t="s">
        <v>221</v>
      </c>
      <c r="E13" s="156" t="s">
        <v>222</v>
      </c>
    </row>
    <row r="14" spans="2:7" x14ac:dyDescent="0.2">
      <c r="B14" s="148" t="s">
        <v>180</v>
      </c>
      <c r="C14" s="149">
        <f t="shared" ref="C14:C20" ca="1" si="1">G3</f>
        <v>202582789.01700228</v>
      </c>
      <c r="D14" s="149">
        <f>'Load Forecast Adj'!Y6</f>
        <v>1288500</v>
      </c>
      <c r="E14" s="150">
        <f ca="1">C14-D14</f>
        <v>201294289.01700228</v>
      </c>
    </row>
    <row r="15" spans="2:7" x14ac:dyDescent="0.2">
      <c r="B15" s="151" t="s">
        <v>182</v>
      </c>
      <c r="C15" s="149">
        <f t="shared" ca="1" si="1"/>
        <v>70434323.467513755</v>
      </c>
      <c r="D15" s="149">
        <f>'Load Forecast Adj'!Y7</f>
        <v>1044000</v>
      </c>
      <c r="E15" s="150">
        <f t="shared" ref="E15:E20" ca="1" si="2">C15-D15</f>
        <v>69390323.467513755</v>
      </c>
    </row>
    <row r="16" spans="2:7" x14ac:dyDescent="0.2">
      <c r="B16" s="151" t="s">
        <v>183</v>
      </c>
      <c r="C16" s="149">
        <f t="shared" ca="1" si="1"/>
        <v>196138344.94363838</v>
      </c>
      <c r="D16" s="149">
        <f>'Load Forecast Adj'!Y8</f>
        <v>5994000</v>
      </c>
      <c r="E16" s="150">
        <f t="shared" ca="1" si="2"/>
        <v>190144344.94363838</v>
      </c>
    </row>
    <row r="17" spans="2:6" x14ac:dyDescent="0.2">
      <c r="B17" s="151" t="s">
        <v>245</v>
      </c>
      <c r="C17" s="149">
        <f t="shared" ca="1" si="1"/>
        <v>5205754.3692107359</v>
      </c>
      <c r="D17" s="149">
        <v>0</v>
      </c>
      <c r="E17" s="150">
        <f t="shared" ca="1" si="2"/>
        <v>5205754.3692107359</v>
      </c>
    </row>
    <row r="18" spans="2:6" x14ac:dyDescent="0.2">
      <c r="B18" s="151" t="s">
        <v>179</v>
      </c>
      <c r="C18" s="149">
        <f t="shared" ca="1" si="1"/>
        <v>3720056.4634259981</v>
      </c>
      <c r="D18" s="149">
        <f>'Load Forecast Adj'!Y9</f>
        <v>728500</v>
      </c>
      <c r="E18" s="150">
        <f t="shared" ca="1" si="2"/>
        <v>2991556.4634259981</v>
      </c>
    </row>
    <row r="19" spans="2:6" x14ac:dyDescent="0.2">
      <c r="B19" s="151" t="s">
        <v>218</v>
      </c>
      <c r="C19" s="149">
        <f t="shared" ca="1" si="1"/>
        <v>629014.05971319659</v>
      </c>
      <c r="D19" s="149">
        <v>0</v>
      </c>
      <c r="E19" s="150">
        <f t="shared" ca="1" si="2"/>
        <v>629014.05971319659</v>
      </c>
    </row>
    <row r="20" spans="2:6" x14ac:dyDescent="0.2">
      <c r="B20" s="151" t="s">
        <v>42</v>
      </c>
      <c r="C20" s="149">
        <f t="shared" ca="1" si="1"/>
        <v>1462761.0009954521</v>
      </c>
      <c r="D20" s="149">
        <v>0</v>
      </c>
      <c r="E20" s="150">
        <f t="shared" ca="1" si="2"/>
        <v>1462761.0009954521</v>
      </c>
    </row>
    <row r="21" spans="2:6" ht="13.5" thickBot="1" x14ac:dyDescent="0.25">
      <c r="B21" s="152" t="s">
        <v>43</v>
      </c>
      <c r="C21" s="153">
        <f ca="1">SUM(C14:C20)</f>
        <v>480173043.32149976</v>
      </c>
      <c r="D21" s="153">
        <f t="shared" ref="D21:E21" si="3">SUM(D14:D20)</f>
        <v>9055000</v>
      </c>
      <c r="E21" s="154">
        <f t="shared" ca="1" si="3"/>
        <v>471118043.32149976</v>
      </c>
    </row>
    <row r="23" spans="2:6" ht="16.5" thickBot="1" x14ac:dyDescent="0.3">
      <c r="B23" s="144" t="s">
        <v>212</v>
      </c>
    </row>
    <row r="24" spans="2:6" x14ac:dyDescent="0.2">
      <c r="B24" s="145" t="s">
        <v>78</v>
      </c>
      <c r="C24" s="146" t="s">
        <v>213</v>
      </c>
      <c r="D24" s="146" t="s">
        <v>214</v>
      </c>
      <c r="E24" s="146" t="s">
        <v>216</v>
      </c>
      <c r="F24" s="147" t="s">
        <v>217</v>
      </c>
    </row>
    <row r="25" spans="2:6" x14ac:dyDescent="0.2">
      <c r="B25" s="151" t="s">
        <v>183</v>
      </c>
      <c r="C25" s="149">
        <f>'kW Forecast'!$E$10</f>
        <v>660625.18499999994</v>
      </c>
      <c r="D25" s="149">
        <f>'kW Forecast'!$E$11</f>
        <v>621221.55299999996</v>
      </c>
      <c r="E25" s="149">
        <f ca="1">'kW Forecast'!$E$15</f>
        <v>624519.92556187662</v>
      </c>
      <c r="F25" s="150">
        <f ca="1">'kW Forecast'!$E$16</f>
        <v>629298.66322139476</v>
      </c>
    </row>
    <row r="26" spans="2:6" x14ac:dyDescent="0.2">
      <c r="B26" s="151" t="s">
        <v>245</v>
      </c>
      <c r="C26" s="149">
        <f>'kW Forecast'!$J$10</f>
        <v>12958.4</v>
      </c>
      <c r="D26" s="149">
        <f>'kW Forecast'!$J$11</f>
        <v>13742.4</v>
      </c>
      <c r="E26" s="149">
        <f ca="1">'kW Forecast'!$J$15</f>
        <v>13815.365200378897</v>
      </c>
      <c r="F26" s="150">
        <f ca="1">'kW Forecast'!$J$16</f>
        <v>13921.078410255506</v>
      </c>
    </row>
    <row r="27" spans="2:6" x14ac:dyDescent="0.2">
      <c r="B27" s="151" t="s">
        <v>179</v>
      </c>
      <c r="C27" s="149">
        <f>'kW Forecast'!$O$10</f>
        <v>13289.154</v>
      </c>
      <c r="D27" s="149">
        <f>'kW Forecast'!$O$11</f>
        <v>11488.54</v>
      </c>
      <c r="E27" s="149">
        <f>'kW Forecast'!$O$15</f>
        <v>11489.176952247582</v>
      </c>
      <c r="F27" s="150">
        <f>'kW Forecast'!$O$16</f>
        <v>11489.813939809326</v>
      </c>
    </row>
    <row r="28" spans="2:6" x14ac:dyDescent="0.2">
      <c r="B28" s="151" t="s">
        <v>218</v>
      </c>
      <c r="C28" s="149">
        <f>'kW Forecast'!$T$10</f>
        <v>2137.5969999999998</v>
      </c>
      <c r="D28" s="149">
        <f>'kW Forecast'!$T$11</f>
        <v>2105.1350000000002</v>
      </c>
      <c r="E28" s="149">
        <f>'kW Forecast'!$T$15</f>
        <v>2008.3382236085947</v>
      </c>
      <c r="F28" s="150">
        <f>'kW Forecast'!$T$16</f>
        <v>1915.992285723873</v>
      </c>
    </row>
    <row r="29" spans="2:6" ht="13.5" thickBot="1" x14ac:dyDescent="0.25">
      <c r="B29" s="152" t="s">
        <v>43</v>
      </c>
      <c r="C29" s="153">
        <f>SUM(C25:C28)</f>
        <v>689010.33599999989</v>
      </c>
      <c r="D29" s="153">
        <f t="shared" ref="D29:F29" si="4">SUM(D25:D28)</f>
        <v>648557.62800000003</v>
      </c>
      <c r="E29" s="153">
        <f t="shared" ca="1" si="4"/>
        <v>651832.80593811173</v>
      </c>
      <c r="F29" s="154">
        <f t="shared" ca="1" si="4"/>
        <v>656625.5478571835</v>
      </c>
    </row>
    <row r="31" spans="2:6" ht="16.5" thickBot="1" x14ac:dyDescent="0.3">
      <c r="B31" s="144" t="s">
        <v>219</v>
      </c>
    </row>
    <row r="32" spans="2:6" ht="38.25" x14ac:dyDescent="0.2">
      <c r="B32" s="145" t="s">
        <v>78</v>
      </c>
      <c r="C32" s="155" t="s">
        <v>220</v>
      </c>
      <c r="D32" s="155" t="s">
        <v>221</v>
      </c>
      <c r="E32" s="156" t="s">
        <v>222</v>
      </c>
    </row>
    <row r="33" spans="2:6" x14ac:dyDescent="0.2">
      <c r="B33" s="151" t="s">
        <v>183</v>
      </c>
      <c r="C33" s="149">
        <f ca="1">F25</f>
        <v>629298.66322139476</v>
      </c>
      <c r="D33" s="149">
        <f ca="1">'Load Forecast Adj'!AD6</f>
        <v>19231.406222138528</v>
      </c>
      <c r="E33" s="150">
        <f ca="1">C33-D33</f>
        <v>610067.25699925621</v>
      </c>
    </row>
    <row r="34" spans="2:6" x14ac:dyDescent="0.2">
      <c r="B34" s="151" t="s">
        <v>245</v>
      </c>
      <c r="C34" s="149">
        <f ca="1">F26</f>
        <v>13921.078410255506</v>
      </c>
      <c r="D34" s="149">
        <v>0</v>
      </c>
      <c r="E34" s="150">
        <f ca="1">C34-D34</f>
        <v>13921.078410255506</v>
      </c>
    </row>
    <row r="35" spans="2:6" x14ac:dyDescent="0.2">
      <c r="B35" s="151" t="s">
        <v>179</v>
      </c>
      <c r="C35" s="149">
        <f>F27</f>
        <v>11489.813939809326</v>
      </c>
      <c r="D35" s="149">
        <f ca="1">'Load Forecast Adj'!AD7</f>
        <v>2250.0544111210647</v>
      </c>
      <c r="E35" s="150">
        <f t="shared" ref="E35:E36" ca="1" si="5">C35-D35</f>
        <v>9239.7595286882606</v>
      </c>
    </row>
    <row r="36" spans="2:6" x14ac:dyDescent="0.2">
      <c r="B36" s="151" t="s">
        <v>218</v>
      </c>
      <c r="C36" s="149">
        <f>F28</f>
        <v>1915.992285723873</v>
      </c>
      <c r="D36" s="149">
        <v>0</v>
      </c>
      <c r="E36" s="150">
        <f t="shared" si="5"/>
        <v>1915.992285723873</v>
      </c>
    </row>
    <row r="37" spans="2:6" ht="13.5" thickBot="1" x14ac:dyDescent="0.25">
      <c r="B37" s="152" t="s">
        <v>43</v>
      </c>
      <c r="C37" s="153">
        <f ca="1">SUM(C33:C36)</f>
        <v>656625.5478571835</v>
      </c>
      <c r="D37" s="153">
        <f t="shared" ref="D37:E37" ca="1" si="6">SUM(D33:D36)</f>
        <v>21481.460633259594</v>
      </c>
      <c r="E37" s="154">
        <f t="shared" ca="1" si="6"/>
        <v>635144.08722392388</v>
      </c>
    </row>
    <row r="39" spans="2:6" ht="16.5" thickBot="1" x14ac:dyDescent="0.3">
      <c r="B39" s="144" t="s">
        <v>36</v>
      </c>
    </row>
    <row r="40" spans="2:6" x14ac:dyDescent="0.2">
      <c r="B40" s="145"/>
      <c r="C40" s="146" t="s">
        <v>213</v>
      </c>
      <c r="D40" s="146" t="s">
        <v>214</v>
      </c>
      <c r="E40" s="146" t="s">
        <v>216</v>
      </c>
      <c r="F40" s="147" t="s">
        <v>217</v>
      </c>
    </row>
    <row r="41" spans="2:6" x14ac:dyDescent="0.2">
      <c r="B41" s="148" t="s">
        <v>180</v>
      </c>
      <c r="C41" s="157">
        <f>'Connection count '!$C9</f>
        <v>25861.166666666668</v>
      </c>
      <c r="D41" s="157">
        <f>'Connection count '!$C10</f>
        <v>25917.083333333332</v>
      </c>
      <c r="E41" s="157">
        <f>'Connection count '!$C11</f>
        <v>25995.405091217843</v>
      </c>
      <c r="F41" s="150">
        <f>'Connection count '!$C12</f>
        <v>26073.963538458145</v>
      </c>
    </row>
    <row r="42" spans="2:6" x14ac:dyDescent="0.2">
      <c r="B42" s="151" t="s">
        <v>182</v>
      </c>
      <c r="C42" s="157">
        <f>'Connection count '!$H9</f>
        <v>2512.5</v>
      </c>
      <c r="D42" s="157">
        <f>'Connection count '!$H10</f>
        <v>2492.25</v>
      </c>
      <c r="E42" s="157">
        <f>'Connection count '!$H11</f>
        <v>2490.503676963252</v>
      </c>
      <c r="F42" s="150">
        <f>'Connection count '!$H12</f>
        <v>2488.7585775774814</v>
      </c>
    </row>
    <row r="43" spans="2:6" x14ac:dyDescent="0.2">
      <c r="B43" s="151" t="s">
        <v>183</v>
      </c>
      <c r="C43" s="157">
        <f>'Connection count '!$M9</f>
        <v>225.16666666666666</v>
      </c>
      <c r="D43" s="157">
        <f>'Connection count '!$M10</f>
        <v>219.66666666666666</v>
      </c>
      <c r="E43" s="157">
        <f>'Connection count '!$M11</f>
        <v>218.23206557121696</v>
      </c>
      <c r="F43" s="150">
        <f>'Connection count '!$M12</f>
        <v>216.80683358185104</v>
      </c>
    </row>
    <row r="44" spans="2:6" x14ac:dyDescent="0.2">
      <c r="B44" s="151" t="s">
        <v>245</v>
      </c>
      <c r="C44" s="157">
        <f>'Connection count '!$R9</f>
        <v>1</v>
      </c>
      <c r="D44" s="157">
        <f>'Connection count '!$R10</f>
        <v>1</v>
      </c>
      <c r="E44" s="157">
        <f>'Connection count '!$R11</f>
        <v>1</v>
      </c>
      <c r="F44" s="150">
        <f>'Connection count '!$R12</f>
        <v>1</v>
      </c>
    </row>
    <row r="45" spans="2:6" x14ac:dyDescent="0.2">
      <c r="B45" s="151" t="s">
        <v>179</v>
      </c>
      <c r="C45" s="157">
        <f>'Connection count '!$U9</f>
        <v>5716.583333333333</v>
      </c>
      <c r="D45" s="157">
        <f>'Connection count '!$U10</f>
        <v>5712.583333333333</v>
      </c>
      <c r="E45" s="157">
        <f>'Connection count '!$U11</f>
        <v>5712.9000526722275</v>
      </c>
      <c r="F45" s="150">
        <f>'Connection count '!$U12</f>
        <v>5713.2167895708026</v>
      </c>
    </row>
    <row r="46" spans="2:6" x14ac:dyDescent="0.2">
      <c r="B46" s="151" t="s">
        <v>218</v>
      </c>
      <c r="C46" s="157">
        <f>'Connection count '!$Z9</f>
        <v>775.33333333333337</v>
      </c>
      <c r="D46" s="157">
        <f>'Connection count '!$Z10</f>
        <v>763.41666666666663</v>
      </c>
      <c r="E46" s="157">
        <f>'Connection count '!$Z11</f>
        <v>728.31380040070019</v>
      </c>
      <c r="F46" s="150">
        <f>'Connection count '!$Z12</f>
        <v>694.82500843241257</v>
      </c>
    </row>
    <row r="47" spans="2:6" x14ac:dyDescent="0.2">
      <c r="B47" s="151" t="s">
        <v>42</v>
      </c>
      <c r="C47" s="157">
        <f>'Connection count '!$AE9</f>
        <v>39.75</v>
      </c>
      <c r="D47" s="157">
        <f>'Connection count '!$AE10</f>
        <v>36.25</v>
      </c>
      <c r="E47" s="157">
        <f>'Connection count '!$AE11</f>
        <v>35.72372122932709</v>
      </c>
      <c r="F47" s="150">
        <f>'Connection count '!$AE12</f>
        <v>35.205082992294486</v>
      </c>
    </row>
    <row r="48" spans="2:6" ht="13.5" thickBot="1" x14ac:dyDescent="0.25">
      <c r="B48" s="152" t="s">
        <v>43</v>
      </c>
      <c r="C48" s="153">
        <f>SUM(C41:C47)</f>
        <v>35131.500000000007</v>
      </c>
      <c r="D48" s="153">
        <f t="shared" ref="D48:F48" si="7">SUM(D41:D47)</f>
        <v>35142.25</v>
      </c>
      <c r="E48" s="153">
        <f t="shared" si="7"/>
        <v>35182.078408054564</v>
      </c>
      <c r="F48" s="154">
        <f t="shared" si="7"/>
        <v>35223.775830612984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workbookViewId="0">
      <pane xSplit="1" ySplit="1" topLeftCell="B112" activePane="bottomRight" state="frozen"/>
      <selection activeCell="C121" sqref="C121"/>
      <selection pane="topRight" activeCell="C121" sqref="C121"/>
      <selection pane="bottomLeft" activeCell="C121" sqref="C121"/>
      <selection pane="bottomRight" activeCell="C121" sqref="C121"/>
    </sheetView>
  </sheetViews>
  <sheetFormatPr defaultRowHeight="12.75" x14ac:dyDescent="0.2"/>
  <cols>
    <col min="1" max="1" width="16.83203125" customWidth="1"/>
    <col min="2" max="2" width="15" style="9" customWidth="1"/>
    <col min="3" max="3" width="11.1640625" bestFit="1" customWidth="1"/>
    <col min="4" max="4" width="12.6640625" bestFit="1" customWidth="1"/>
    <col min="5" max="5" width="10.6640625" bestFit="1" customWidth="1"/>
    <col min="6" max="6" width="11" bestFit="1" customWidth="1"/>
    <col min="7" max="8" width="11.83203125" bestFit="1" customWidth="1"/>
    <col min="9" max="9" width="12.6640625" bestFit="1" customWidth="1"/>
    <col min="10" max="10" width="10.33203125" bestFit="1" customWidth="1"/>
    <col min="11" max="11" width="10.6640625" bestFit="1" customWidth="1"/>
    <col min="12" max="12" width="12.6640625" bestFit="1" customWidth="1"/>
    <col min="13" max="13" width="9.5" bestFit="1" customWidth="1"/>
    <col min="15" max="15" width="12.6640625" bestFit="1" customWidth="1"/>
    <col min="16" max="16" width="12" customWidth="1"/>
    <col min="17" max="17" width="12.6640625" bestFit="1" customWidth="1"/>
    <col min="20" max="20" width="11.6640625" bestFit="1" customWidth="1"/>
    <col min="21" max="21" width="9.6640625" bestFit="1" customWidth="1"/>
  </cols>
  <sheetData>
    <row r="1" spans="1: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">
      <c r="A2" s="3">
        <v>37987</v>
      </c>
      <c r="B2" s="4">
        <v>9093541.1799999997</v>
      </c>
      <c r="C2" s="5">
        <v>5349408.4148108801</v>
      </c>
      <c r="D2" s="6">
        <v>3072</v>
      </c>
      <c r="E2" s="7">
        <v>2037550.8989896472</v>
      </c>
      <c r="F2" s="6">
        <v>398</v>
      </c>
      <c r="G2" s="5">
        <v>1624033.4235706304</v>
      </c>
      <c r="H2" s="8">
        <v>8623.9681398249904</v>
      </c>
      <c r="I2" s="6">
        <f>28+6</f>
        <v>34</v>
      </c>
      <c r="J2" s="5">
        <v>0</v>
      </c>
      <c r="K2" s="9">
        <v>28.083333333333332</v>
      </c>
      <c r="L2" s="6">
        <v>566</v>
      </c>
      <c r="M2" s="5">
        <v>0</v>
      </c>
      <c r="N2" s="9">
        <v>9.0833333333333339</v>
      </c>
      <c r="O2" s="6">
        <v>58</v>
      </c>
      <c r="P2" s="5">
        <v>216.91902310266272</v>
      </c>
      <c r="Q2" s="5">
        <v>0</v>
      </c>
      <c r="R2">
        <v>849.1</v>
      </c>
      <c r="S2">
        <v>0</v>
      </c>
      <c r="T2">
        <v>31</v>
      </c>
      <c r="U2">
        <v>21</v>
      </c>
      <c r="V2">
        <v>6237.3</v>
      </c>
      <c r="W2">
        <v>5047.8999999999996</v>
      </c>
      <c r="X2">
        <v>72.5</v>
      </c>
      <c r="Y2">
        <v>55.5</v>
      </c>
    </row>
    <row r="3" spans="1:25" x14ac:dyDescent="0.2">
      <c r="A3" s="3">
        <v>38018</v>
      </c>
      <c r="B3" s="4">
        <v>8063725.6200000001</v>
      </c>
      <c r="C3" s="5">
        <v>829689.19604985183</v>
      </c>
      <c r="D3" s="6">
        <v>3072</v>
      </c>
      <c r="E3" s="7">
        <v>324433.43754598789</v>
      </c>
      <c r="F3" s="6">
        <v>398</v>
      </c>
      <c r="G3" s="5">
        <v>245036.55937424008</v>
      </c>
      <c r="H3" s="8">
        <v>8675.6248575110367</v>
      </c>
      <c r="I3" s="6">
        <f t="shared" ref="I3:I13" si="0">28+6</f>
        <v>34</v>
      </c>
      <c r="J3" s="5">
        <v>0</v>
      </c>
      <c r="K3" s="9">
        <v>28.083333333333332</v>
      </c>
      <c r="L3" s="6">
        <v>566</v>
      </c>
      <c r="M3" s="5">
        <v>0</v>
      </c>
      <c r="N3" s="9">
        <v>9.0833333333333339</v>
      </c>
      <c r="O3" s="6">
        <v>58</v>
      </c>
      <c r="P3" s="5">
        <v>0</v>
      </c>
      <c r="Q3" s="5">
        <v>0</v>
      </c>
      <c r="R3">
        <v>631.70000000000005</v>
      </c>
      <c r="S3">
        <v>0</v>
      </c>
      <c r="T3">
        <v>29</v>
      </c>
      <c r="U3">
        <v>20</v>
      </c>
      <c r="V3">
        <v>6219.9</v>
      </c>
      <c r="W3">
        <v>5032.3</v>
      </c>
      <c r="X3">
        <v>72.2</v>
      </c>
      <c r="Y3">
        <v>55.4</v>
      </c>
    </row>
    <row r="4" spans="1:25" x14ac:dyDescent="0.2">
      <c r="A4" s="3">
        <v>38047</v>
      </c>
      <c r="B4" s="4">
        <v>7851261.2000000002</v>
      </c>
      <c r="C4" s="5">
        <v>3817657.1251056092</v>
      </c>
      <c r="D4" s="6">
        <v>3072</v>
      </c>
      <c r="E4" s="7">
        <v>1905948.2169525619</v>
      </c>
      <c r="F4" s="6">
        <v>398</v>
      </c>
      <c r="G4" s="5">
        <v>1488477.0664263808</v>
      </c>
      <c r="H4" s="8">
        <v>9348.0320348346704</v>
      </c>
      <c r="I4" s="6">
        <f t="shared" si="0"/>
        <v>34</v>
      </c>
      <c r="J4" s="5">
        <v>0</v>
      </c>
      <c r="K4" s="9">
        <v>28.083333333333332</v>
      </c>
      <c r="L4" s="6">
        <v>566</v>
      </c>
      <c r="M4" s="5">
        <v>0</v>
      </c>
      <c r="N4" s="9">
        <v>9.0833333333333339</v>
      </c>
      <c r="O4" s="6">
        <v>58</v>
      </c>
      <c r="P4" s="5">
        <v>213.36261891034189</v>
      </c>
      <c r="Q4" s="5">
        <v>0</v>
      </c>
      <c r="R4">
        <v>487.3</v>
      </c>
      <c r="S4">
        <v>0</v>
      </c>
      <c r="T4">
        <v>31</v>
      </c>
      <c r="U4">
        <v>23</v>
      </c>
      <c r="V4">
        <v>6188.1</v>
      </c>
      <c r="W4">
        <v>5015.7</v>
      </c>
      <c r="X4">
        <v>71.400000000000006</v>
      </c>
      <c r="Y4">
        <v>54.1</v>
      </c>
    </row>
    <row r="5" spans="1:25" x14ac:dyDescent="0.2">
      <c r="A5" s="3">
        <v>38078</v>
      </c>
      <c r="B5" s="4">
        <v>6905894.2599999998</v>
      </c>
      <c r="C5" s="5">
        <v>2127123.4208539566</v>
      </c>
      <c r="D5" s="6">
        <v>3072</v>
      </c>
      <c r="E5" s="7">
        <v>442895.00599063054</v>
      </c>
      <c r="F5" s="6">
        <v>398</v>
      </c>
      <c r="G5" s="5">
        <v>23785.684923136894</v>
      </c>
      <c r="H5" s="8">
        <v>7297.6186282620329</v>
      </c>
      <c r="I5" s="6">
        <f t="shared" si="0"/>
        <v>34</v>
      </c>
      <c r="J5" s="5">
        <v>0</v>
      </c>
      <c r="K5" s="9">
        <v>28.083333333333332</v>
      </c>
      <c r="L5" s="6">
        <v>566</v>
      </c>
      <c r="M5" s="5">
        <v>0</v>
      </c>
      <c r="N5" s="9">
        <v>9.0833333333333339</v>
      </c>
      <c r="O5" s="6">
        <v>58</v>
      </c>
      <c r="P5" s="5">
        <v>0</v>
      </c>
      <c r="Q5" s="5">
        <v>0</v>
      </c>
      <c r="R5">
        <v>331.5</v>
      </c>
      <c r="S5">
        <v>0</v>
      </c>
      <c r="T5">
        <v>30</v>
      </c>
      <c r="U5">
        <v>20</v>
      </c>
      <c r="V5">
        <v>6202.5</v>
      </c>
      <c r="W5">
        <v>5043.8999999999996</v>
      </c>
      <c r="X5">
        <v>71.400000000000006</v>
      </c>
      <c r="Y5">
        <v>54.3</v>
      </c>
    </row>
    <row r="6" spans="1:25" x14ac:dyDescent="0.2">
      <c r="A6" s="3">
        <v>38108</v>
      </c>
      <c r="B6" s="4">
        <v>6554371.0599999996</v>
      </c>
      <c r="C6" s="5">
        <v>2940966.7162293862</v>
      </c>
      <c r="D6" s="6">
        <v>3072</v>
      </c>
      <c r="E6" s="7">
        <v>1730904.4633180695</v>
      </c>
      <c r="F6" s="6">
        <v>398</v>
      </c>
      <c r="G6" s="5">
        <v>-1.5975369824935976E-3</v>
      </c>
      <c r="H6" s="8">
        <v>12069.83435409192</v>
      </c>
      <c r="I6" s="6">
        <f t="shared" si="0"/>
        <v>34</v>
      </c>
      <c r="J6" s="5">
        <v>0</v>
      </c>
      <c r="K6" s="9">
        <v>28.083333333333332</v>
      </c>
      <c r="L6" s="6">
        <v>566</v>
      </c>
      <c r="M6" s="5">
        <v>0</v>
      </c>
      <c r="N6" s="9">
        <v>9.0833333333333339</v>
      </c>
      <c r="O6" s="6">
        <v>58</v>
      </c>
      <c r="P6" s="5">
        <v>216.91902310266272</v>
      </c>
      <c r="Q6" s="5">
        <v>0</v>
      </c>
      <c r="R6">
        <v>158.9</v>
      </c>
      <c r="S6">
        <v>8.6</v>
      </c>
      <c r="T6">
        <v>31</v>
      </c>
      <c r="U6">
        <v>20</v>
      </c>
      <c r="V6">
        <v>6249.6</v>
      </c>
      <c r="W6">
        <v>5103.7</v>
      </c>
      <c r="X6">
        <v>72.400000000000006</v>
      </c>
      <c r="Y6">
        <v>55.6</v>
      </c>
    </row>
    <row r="7" spans="1:25" x14ac:dyDescent="0.2">
      <c r="A7" s="3">
        <v>38139</v>
      </c>
      <c r="B7" s="4">
        <v>6653040.4800000004</v>
      </c>
      <c r="C7" s="5">
        <v>2105263.6493433714</v>
      </c>
      <c r="D7" s="6">
        <v>3072</v>
      </c>
      <c r="E7" s="7">
        <v>1095852.6371680866</v>
      </c>
      <c r="F7" s="6">
        <v>398</v>
      </c>
      <c r="G7" s="5">
        <v>15935882.675992493</v>
      </c>
      <c r="H7" s="8">
        <v>7661.4443134290732</v>
      </c>
      <c r="I7" s="6">
        <f t="shared" si="0"/>
        <v>34</v>
      </c>
      <c r="J7" s="5">
        <v>0</v>
      </c>
      <c r="K7" s="9">
        <v>28.083333333333332</v>
      </c>
      <c r="L7" s="6">
        <v>566</v>
      </c>
      <c r="M7" s="5">
        <v>16121.834986947802</v>
      </c>
      <c r="N7" s="9">
        <v>9.0833333333333339</v>
      </c>
      <c r="O7" s="6">
        <v>58</v>
      </c>
      <c r="P7" s="5">
        <v>106.68130945517095</v>
      </c>
      <c r="Q7" s="5">
        <v>0</v>
      </c>
      <c r="R7">
        <v>44.2</v>
      </c>
      <c r="S7">
        <v>31.6</v>
      </c>
      <c r="T7">
        <v>30</v>
      </c>
      <c r="U7">
        <v>22</v>
      </c>
      <c r="V7">
        <v>6331.5</v>
      </c>
      <c r="W7">
        <v>5208.5</v>
      </c>
      <c r="X7">
        <v>73.5</v>
      </c>
      <c r="Y7">
        <v>56.3</v>
      </c>
    </row>
    <row r="8" spans="1:25" x14ac:dyDescent="0.2">
      <c r="A8" s="3">
        <v>38169</v>
      </c>
      <c r="B8" s="4">
        <v>7142154.5999999996</v>
      </c>
      <c r="C8" s="5">
        <v>2370146.5372587694</v>
      </c>
      <c r="D8" s="6">
        <v>3072</v>
      </c>
      <c r="E8" s="7">
        <v>1189061.1799521458</v>
      </c>
      <c r="F8" s="6">
        <v>398</v>
      </c>
      <c r="G8" s="5">
        <v>2572951.3516310202</v>
      </c>
      <c r="H8" s="8">
        <v>9589.3739387307487</v>
      </c>
      <c r="I8" s="6">
        <f t="shared" si="0"/>
        <v>34</v>
      </c>
      <c r="J8" s="5">
        <v>0</v>
      </c>
      <c r="K8" s="9">
        <v>28.083333333333332</v>
      </c>
      <c r="L8" s="6">
        <v>566</v>
      </c>
      <c r="M8" s="5">
        <v>2371.7147228859449</v>
      </c>
      <c r="N8" s="9">
        <v>9.0833333333333339</v>
      </c>
      <c r="O8" s="6">
        <v>58</v>
      </c>
      <c r="P8" s="5">
        <v>110.23771364749177</v>
      </c>
      <c r="Q8" s="5">
        <v>0</v>
      </c>
      <c r="R8">
        <v>3.6</v>
      </c>
      <c r="S8">
        <v>86.4</v>
      </c>
      <c r="T8">
        <v>31</v>
      </c>
      <c r="U8">
        <v>21</v>
      </c>
      <c r="V8">
        <v>6395.3</v>
      </c>
      <c r="W8">
        <v>5296.2</v>
      </c>
      <c r="X8">
        <v>74.7</v>
      </c>
      <c r="Y8">
        <v>57.5</v>
      </c>
    </row>
    <row r="9" spans="1:25" x14ac:dyDescent="0.2">
      <c r="A9" s="3">
        <v>38200</v>
      </c>
      <c r="B9" s="4">
        <v>6723632.9400000004</v>
      </c>
      <c r="C9" s="5">
        <v>2230306.7342148558</v>
      </c>
      <c r="D9" s="6">
        <v>3072</v>
      </c>
      <c r="E9" s="7">
        <v>1170653.2816077408</v>
      </c>
      <c r="F9" s="6">
        <v>398</v>
      </c>
      <c r="G9" s="5">
        <v>3670488.5118774171</v>
      </c>
      <c r="H9" s="8">
        <v>8516.8585603287047</v>
      </c>
      <c r="I9" s="6">
        <f t="shared" si="0"/>
        <v>34</v>
      </c>
      <c r="J9" s="5">
        <v>12904.902590880825</v>
      </c>
      <c r="K9" s="9">
        <v>28.083333333333332</v>
      </c>
      <c r="L9" s="6">
        <v>566</v>
      </c>
      <c r="M9" s="5">
        <v>2346.116898616875</v>
      </c>
      <c r="N9" s="9">
        <v>9.0833333333333339</v>
      </c>
      <c r="O9" s="6">
        <v>58</v>
      </c>
      <c r="P9" s="5">
        <v>110.23771364749177</v>
      </c>
      <c r="Q9" s="5">
        <v>0</v>
      </c>
      <c r="R9">
        <v>12.8</v>
      </c>
      <c r="S9">
        <v>59.6</v>
      </c>
      <c r="T9">
        <v>31</v>
      </c>
      <c r="U9">
        <v>21</v>
      </c>
      <c r="V9">
        <v>6414.6</v>
      </c>
      <c r="W9">
        <v>5353.6</v>
      </c>
      <c r="X9">
        <v>75</v>
      </c>
      <c r="Y9">
        <v>57.4</v>
      </c>
    </row>
    <row r="10" spans="1:25" x14ac:dyDescent="0.2">
      <c r="A10" s="3">
        <v>38231</v>
      </c>
      <c r="B10" s="4">
        <v>6345639.1600000001</v>
      </c>
      <c r="C10" s="5">
        <v>1897990.6154703673</v>
      </c>
      <c r="D10" s="6">
        <v>3072</v>
      </c>
      <c r="E10" s="7">
        <v>1324479.3872187587</v>
      </c>
      <c r="F10" s="6">
        <v>398</v>
      </c>
      <c r="G10" s="5">
        <v>3784350.0369889038</v>
      </c>
      <c r="H10" s="8">
        <v>9842.6106553815025</v>
      </c>
      <c r="I10" s="6">
        <f t="shared" si="0"/>
        <v>34</v>
      </c>
      <c r="J10" s="5">
        <v>293.59046810651239</v>
      </c>
      <c r="K10" s="9">
        <v>28.083333333333332</v>
      </c>
      <c r="L10" s="6">
        <v>566</v>
      </c>
      <c r="M10" s="5">
        <v>2995.8265940060869</v>
      </c>
      <c r="N10" s="9">
        <v>9.0833333333333339</v>
      </c>
      <c r="O10" s="6">
        <v>58</v>
      </c>
      <c r="P10" s="5">
        <v>103.12490526285012</v>
      </c>
      <c r="Q10" s="5">
        <v>0</v>
      </c>
      <c r="R10">
        <v>30</v>
      </c>
      <c r="S10">
        <v>41.2</v>
      </c>
      <c r="T10">
        <v>30</v>
      </c>
      <c r="U10">
        <v>21</v>
      </c>
      <c r="V10">
        <v>6372.4</v>
      </c>
      <c r="W10">
        <v>5304.4</v>
      </c>
      <c r="X10">
        <v>75</v>
      </c>
      <c r="Y10">
        <v>57.7</v>
      </c>
    </row>
    <row r="11" spans="1:25" x14ac:dyDescent="0.2">
      <c r="A11" s="3">
        <v>38261</v>
      </c>
      <c r="B11" s="4">
        <v>7099736.4000000004</v>
      </c>
      <c r="C11" s="5">
        <v>2236137.809336754</v>
      </c>
      <c r="D11" s="6">
        <v>3072</v>
      </c>
      <c r="E11" s="7">
        <v>1574196.1992925045</v>
      </c>
      <c r="F11" s="6">
        <v>398</v>
      </c>
      <c r="G11" s="5">
        <v>2712582.9406217025</v>
      </c>
      <c r="H11" s="8">
        <v>9662.4647103727202</v>
      </c>
      <c r="I11" s="6">
        <f t="shared" si="0"/>
        <v>34</v>
      </c>
      <c r="J11" s="5">
        <v>25099.919647861996</v>
      </c>
      <c r="K11" s="9">
        <v>28.083333333333332</v>
      </c>
      <c r="L11" s="6">
        <v>566</v>
      </c>
      <c r="M11" s="5">
        <v>2613.8588973684582</v>
      </c>
      <c r="N11" s="9">
        <v>9.0833333333333339</v>
      </c>
      <c r="O11" s="6">
        <v>58</v>
      </c>
      <c r="P11" s="5">
        <v>6183.9087075296629</v>
      </c>
      <c r="Q11" s="5">
        <v>0</v>
      </c>
      <c r="R11">
        <v>226.3</v>
      </c>
      <c r="S11">
        <v>1.5</v>
      </c>
      <c r="T11">
        <v>31</v>
      </c>
      <c r="U11">
        <v>20</v>
      </c>
      <c r="V11">
        <v>6349.1</v>
      </c>
      <c r="W11">
        <v>5229.2</v>
      </c>
      <c r="X11">
        <v>74.400000000000006</v>
      </c>
      <c r="Y11">
        <v>56.7</v>
      </c>
    </row>
    <row r="12" spans="1:25" x14ac:dyDescent="0.2">
      <c r="A12" s="3">
        <v>38292</v>
      </c>
      <c r="B12" s="4">
        <v>7222954.4199999999</v>
      </c>
      <c r="C12" s="5">
        <v>2192110.0013536583</v>
      </c>
      <c r="D12" s="6">
        <v>3072</v>
      </c>
      <c r="E12" s="7">
        <v>1441158.3621435729</v>
      </c>
      <c r="F12" s="6">
        <v>398</v>
      </c>
      <c r="G12" s="5">
        <v>5102641.3684555888</v>
      </c>
      <c r="H12" s="8">
        <v>8414.108834561097</v>
      </c>
      <c r="I12" s="6">
        <f t="shared" si="0"/>
        <v>34</v>
      </c>
      <c r="J12" s="5">
        <v>313.83969039497021</v>
      </c>
      <c r="K12" s="9">
        <v>28.083333333333332</v>
      </c>
      <c r="L12" s="6">
        <v>566</v>
      </c>
      <c r="M12" s="5">
        <v>2912.7258874066506</v>
      </c>
      <c r="N12" s="9">
        <v>9.0833333333333339</v>
      </c>
      <c r="O12" s="6">
        <v>58</v>
      </c>
      <c r="P12" s="5">
        <v>110.23771364749238</v>
      </c>
      <c r="Q12" s="5">
        <v>0</v>
      </c>
      <c r="R12">
        <v>379.1</v>
      </c>
      <c r="S12">
        <v>0</v>
      </c>
      <c r="T12">
        <v>30</v>
      </c>
      <c r="U12">
        <v>22</v>
      </c>
      <c r="V12">
        <v>6328.9</v>
      </c>
      <c r="W12">
        <v>5143.7</v>
      </c>
      <c r="X12">
        <v>72.8</v>
      </c>
      <c r="Y12">
        <v>55.5</v>
      </c>
    </row>
    <row r="13" spans="1:25" x14ac:dyDescent="0.2">
      <c r="A13" s="3">
        <v>38322</v>
      </c>
      <c r="B13" s="4">
        <v>7960984.0800000001</v>
      </c>
      <c r="C13" s="5">
        <v>2038836.3357584595</v>
      </c>
      <c r="D13" s="6">
        <v>3072</v>
      </c>
      <c r="E13" s="7">
        <v>498982.4637736911</v>
      </c>
      <c r="F13" s="6">
        <v>398</v>
      </c>
      <c r="G13" s="5">
        <v>3251709.1411981215</v>
      </c>
      <c r="H13" s="8">
        <v>8266.0609726715029</v>
      </c>
      <c r="I13" s="6">
        <f t="shared" si="0"/>
        <v>34</v>
      </c>
      <c r="J13" s="5">
        <v>0</v>
      </c>
      <c r="K13" s="9">
        <v>28.083333333333332</v>
      </c>
      <c r="L13" s="6">
        <v>566</v>
      </c>
      <c r="M13" s="5">
        <v>11720.441685801332</v>
      </c>
      <c r="N13" s="9">
        <v>9.0833333333333339</v>
      </c>
      <c r="O13" s="6">
        <v>58</v>
      </c>
      <c r="P13" s="5">
        <v>0</v>
      </c>
      <c r="Q13" s="5">
        <v>0</v>
      </c>
      <c r="R13">
        <v>643.4</v>
      </c>
      <c r="S13">
        <v>0</v>
      </c>
      <c r="T13">
        <v>31</v>
      </c>
      <c r="U13">
        <v>21</v>
      </c>
      <c r="V13">
        <v>6338.8</v>
      </c>
      <c r="W13">
        <v>5114.1000000000004</v>
      </c>
      <c r="X13">
        <v>73.2</v>
      </c>
      <c r="Y13">
        <v>55.7</v>
      </c>
    </row>
    <row r="14" spans="1:25" x14ac:dyDescent="0.2">
      <c r="A14" s="3">
        <v>38353</v>
      </c>
      <c r="B14" s="4">
        <v>8916358</v>
      </c>
      <c r="C14" s="5">
        <v>3656210.5856755073</v>
      </c>
      <c r="D14" s="6">
        <v>3097</v>
      </c>
      <c r="E14" s="7">
        <v>1738009.5972304852</v>
      </c>
      <c r="F14" s="6">
        <v>405</v>
      </c>
      <c r="G14" s="5">
        <v>3758509.678840701</v>
      </c>
      <c r="H14" s="8">
        <v>10154.835181405753</v>
      </c>
      <c r="I14" s="6">
        <f>29+6</f>
        <v>35</v>
      </c>
      <c r="J14" s="5">
        <v>53741.637342393486</v>
      </c>
      <c r="K14" s="9">
        <v>135.83333333333334</v>
      </c>
      <c r="L14" s="6">
        <v>579</v>
      </c>
      <c r="M14" s="5">
        <v>1470.8133609728295</v>
      </c>
      <c r="N14" s="9">
        <v>17.25</v>
      </c>
      <c r="O14" s="6">
        <v>81</v>
      </c>
      <c r="P14" s="5">
        <v>0</v>
      </c>
      <c r="Q14" s="5">
        <v>0</v>
      </c>
      <c r="R14">
        <v>770</v>
      </c>
      <c r="S14">
        <v>0</v>
      </c>
      <c r="T14">
        <v>31</v>
      </c>
      <c r="U14">
        <v>20</v>
      </c>
      <c r="V14">
        <v>6289.1</v>
      </c>
      <c r="W14">
        <v>5057.8</v>
      </c>
      <c r="X14">
        <v>72.400000000000006</v>
      </c>
      <c r="Y14">
        <v>54.3</v>
      </c>
    </row>
    <row r="15" spans="1:25" x14ac:dyDescent="0.2">
      <c r="A15" s="3">
        <v>38384</v>
      </c>
      <c r="B15" s="4">
        <v>7432224.2199999997</v>
      </c>
      <c r="C15" s="5">
        <v>2974149.8670414654</v>
      </c>
      <c r="D15" s="6">
        <v>3097</v>
      </c>
      <c r="E15" s="7">
        <v>579242.54650748812</v>
      </c>
      <c r="F15" s="6">
        <v>405</v>
      </c>
      <c r="G15" s="5">
        <v>3570058.1896396587</v>
      </c>
      <c r="H15" s="8">
        <v>7510.3097133006167</v>
      </c>
      <c r="I15" s="6">
        <f t="shared" ref="I15:I25" si="1">29+6</f>
        <v>35</v>
      </c>
      <c r="J15" s="5">
        <v>122658.20132210132</v>
      </c>
      <c r="K15" s="9">
        <v>135.83333333333334</v>
      </c>
      <c r="L15" s="6">
        <v>579</v>
      </c>
      <c r="M15" s="5">
        <v>6893.6964151751727</v>
      </c>
      <c r="N15" s="9">
        <v>17.25</v>
      </c>
      <c r="O15" s="6">
        <v>81</v>
      </c>
      <c r="P15" s="5">
        <v>0</v>
      </c>
      <c r="Q15" s="5">
        <v>0</v>
      </c>
      <c r="R15">
        <v>616.4</v>
      </c>
      <c r="S15">
        <v>0</v>
      </c>
      <c r="T15">
        <v>28</v>
      </c>
      <c r="U15">
        <v>20</v>
      </c>
      <c r="V15">
        <v>6256</v>
      </c>
      <c r="W15">
        <v>5025.8999999999996</v>
      </c>
      <c r="X15">
        <v>72.8</v>
      </c>
      <c r="Y15">
        <v>52.9</v>
      </c>
    </row>
    <row r="16" spans="1:25" x14ac:dyDescent="0.2">
      <c r="A16" s="3">
        <v>38412</v>
      </c>
      <c r="B16" s="4">
        <v>7802007.0999999996</v>
      </c>
      <c r="C16" s="5">
        <v>3233697.6444421369</v>
      </c>
      <c r="D16" s="6">
        <v>3097</v>
      </c>
      <c r="E16" s="7">
        <v>1372208.1279357073</v>
      </c>
      <c r="F16" s="6">
        <v>405</v>
      </c>
      <c r="G16" s="5">
        <v>3625603.036256318</v>
      </c>
      <c r="H16" s="8">
        <v>11095.172217544412</v>
      </c>
      <c r="I16" s="6">
        <f t="shared" si="1"/>
        <v>35</v>
      </c>
      <c r="J16" s="5">
        <v>1330.12049980508</v>
      </c>
      <c r="K16" s="9">
        <v>135.83333333333334</v>
      </c>
      <c r="L16" s="6">
        <v>579</v>
      </c>
      <c r="M16" s="5">
        <v>5889.0513875248453</v>
      </c>
      <c r="N16" s="9">
        <v>17.25</v>
      </c>
      <c r="O16" s="6">
        <v>81</v>
      </c>
      <c r="P16" s="5">
        <v>0</v>
      </c>
      <c r="Q16" s="5">
        <v>0</v>
      </c>
      <c r="R16">
        <v>608.6</v>
      </c>
      <c r="S16">
        <v>0</v>
      </c>
      <c r="T16">
        <v>31</v>
      </c>
      <c r="U16">
        <v>21</v>
      </c>
      <c r="V16">
        <v>6226.8</v>
      </c>
      <c r="W16">
        <v>4993.7</v>
      </c>
      <c r="X16">
        <v>71.5</v>
      </c>
      <c r="Y16">
        <v>50.9</v>
      </c>
    </row>
    <row r="17" spans="1:25" x14ac:dyDescent="0.2">
      <c r="A17" s="3">
        <v>38443</v>
      </c>
      <c r="B17" s="4">
        <v>6464290.0800000001</v>
      </c>
      <c r="C17" s="5">
        <v>2964240.6542859846</v>
      </c>
      <c r="D17" s="6">
        <v>3097</v>
      </c>
      <c r="E17" s="7">
        <v>1632266.2297932864</v>
      </c>
      <c r="F17" s="6">
        <v>405</v>
      </c>
      <c r="G17" s="5">
        <v>3607989.3129749727</v>
      </c>
      <c r="H17" s="8">
        <v>6436.2549577516811</v>
      </c>
      <c r="I17" s="6">
        <f t="shared" si="1"/>
        <v>35</v>
      </c>
      <c r="J17" s="5">
        <v>42581.288868054609</v>
      </c>
      <c r="K17" s="9">
        <v>135.83333333333334</v>
      </c>
      <c r="L17" s="6">
        <v>579</v>
      </c>
      <c r="M17" s="5">
        <v>6568.3380731948337</v>
      </c>
      <c r="N17" s="9">
        <v>17.25</v>
      </c>
      <c r="O17" s="6">
        <v>81</v>
      </c>
      <c r="P17" s="5">
        <v>0</v>
      </c>
      <c r="Q17" s="5">
        <v>0</v>
      </c>
      <c r="R17">
        <v>306.8</v>
      </c>
      <c r="S17">
        <v>0</v>
      </c>
      <c r="T17">
        <v>30</v>
      </c>
      <c r="U17">
        <v>21</v>
      </c>
      <c r="V17">
        <v>6256.2</v>
      </c>
      <c r="W17">
        <v>5043</v>
      </c>
      <c r="X17">
        <v>72.3</v>
      </c>
      <c r="Y17">
        <v>52</v>
      </c>
    </row>
    <row r="18" spans="1:25" x14ac:dyDescent="0.2">
      <c r="A18" s="3">
        <v>38473</v>
      </c>
      <c r="B18" s="4">
        <v>6386804.6600000001</v>
      </c>
      <c r="C18" s="5">
        <v>1859187.7367882589</v>
      </c>
      <c r="D18" s="6">
        <v>3097</v>
      </c>
      <c r="E18" s="7">
        <v>492921.04963883752</v>
      </c>
      <c r="F18" s="6">
        <v>405</v>
      </c>
      <c r="G18" s="5">
        <v>3060545.4643627899</v>
      </c>
      <c r="H18" s="8">
        <v>12688.668680016666</v>
      </c>
      <c r="I18" s="6">
        <f t="shared" si="1"/>
        <v>35</v>
      </c>
      <c r="J18" s="5">
        <v>45624.037973911596</v>
      </c>
      <c r="K18" s="9">
        <v>135.83333333333334</v>
      </c>
      <c r="L18" s="6">
        <v>579</v>
      </c>
      <c r="M18" s="5">
        <v>5894.3320062213734</v>
      </c>
      <c r="N18" s="9">
        <v>17.25</v>
      </c>
      <c r="O18" s="6">
        <v>81</v>
      </c>
      <c r="P18" s="5">
        <v>0</v>
      </c>
      <c r="Q18" s="5">
        <v>0</v>
      </c>
      <c r="R18">
        <v>189.4</v>
      </c>
      <c r="S18">
        <v>0.8</v>
      </c>
      <c r="T18">
        <v>31</v>
      </c>
      <c r="U18">
        <v>21</v>
      </c>
      <c r="V18">
        <v>6320.6</v>
      </c>
      <c r="W18">
        <v>5122.1000000000004</v>
      </c>
      <c r="X18">
        <v>74.3</v>
      </c>
      <c r="Y18">
        <v>55.3</v>
      </c>
    </row>
    <row r="19" spans="1:25" x14ac:dyDescent="0.2">
      <c r="A19" s="3">
        <v>38504</v>
      </c>
      <c r="B19" s="4">
        <v>7182357.6600000001</v>
      </c>
      <c r="C19" s="5">
        <v>2066310.9763752865</v>
      </c>
      <c r="D19" s="6">
        <v>3097</v>
      </c>
      <c r="E19" s="7">
        <v>1110265.1077702756</v>
      </c>
      <c r="F19" s="6">
        <v>405</v>
      </c>
      <c r="G19" s="5">
        <v>3293916.1314306599</v>
      </c>
      <c r="H19" s="8">
        <v>9088.4815391035609</v>
      </c>
      <c r="I19" s="6">
        <f t="shared" si="1"/>
        <v>35</v>
      </c>
      <c r="J19" s="5">
        <v>85449.439294098614</v>
      </c>
      <c r="K19" s="9">
        <v>135.83333333333334</v>
      </c>
      <c r="L19" s="6">
        <v>579</v>
      </c>
      <c r="M19" s="5">
        <v>6523.4088904589398</v>
      </c>
      <c r="N19" s="9">
        <v>17.25</v>
      </c>
      <c r="O19" s="6">
        <v>81</v>
      </c>
      <c r="P19" s="5">
        <v>0</v>
      </c>
      <c r="Q19" s="5">
        <v>0</v>
      </c>
      <c r="R19">
        <v>8.9</v>
      </c>
      <c r="S19">
        <v>146.30000000000001</v>
      </c>
      <c r="T19">
        <v>30</v>
      </c>
      <c r="U19">
        <v>22</v>
      </c>
      <c r="V19">
        <v>6402.7</v>
      </c>
      <c r="W19">
        <v>5236.3</v>
      </c>
      <c r="X19">
        <v>76.599999999999994</v>
      </c>
      <c r="Y19">
        <v>59.4</v>
      </c>
    </row>
    <row r="20" spans="1:25" x14ac:dyDescent="0.2">
      <c r="A20" s="3">
        <v>38534</v>
      </c>
      <c r="B20" s="4">
        <v>7481198.9199999999</v>
      </c>
      <c r="C20" s="5">
        <v>1979213.9547653275</v>
      </c>
      <c r="D20" s="6">
        <v>3097</v>
      </c>
      <c r="E20" s="7">
        <v>935466.41906833369</v>
      </c>
      <c r="F20" s="6">
        <v>405</v>
      </c>
      <c r="G20" s="5">
        <v>3361554.5807080022</v>
      </c>
      <c r="H20" s="8">
        <v>10019.926535469138</v>
      </c>
      <c r="I20" s="6">
        <f t="shared" si="1"/>
        <v>35</v>
      </c>
      <c r="J20" s="5">
        <v>1285.7867287891288</v>
      </c>
      <c r="K20" s="9">
        <v>135.83333333333334</v>
      </c>
      <c r="L20" s="6">
        <v>579</v>
      </c>
      <c r="M20" s="5">
        <v>6430.3392060386213</v>
      </c>
      <c r="N20" s="9">
        <v>17.25</v>
      </c>
      <c r="O20" s="6">
        <v>81</v>
      </c>
      <c r="P20" s="5">
        <v>0</v>
      </c>
      <c r="Q20" s="5">
        <v>0</v>
      </c>
      <c r="R20">
        <v>0</v>
      </c>
      <c r="S20">
        <v>188.7</v>
      </c>
      <c r="T20">
        <v>31</v>
      </c>
      <c r="U20">
        <v>20</v>
      </c>
      <c r="V20">
        <v>6460</v>
      </c>
      <c r="W20">
        <v>5342</v>
      </c>
      <c r="X20">
        <v>77.7</v>
      </c>
      <c r="Y20">
        <v>62.3</v>
      </c>
    </row>
    <row r="21" spans="1:25" x14ac:dyDescent="0.2">
      <c r="A21" s="3">
        <v>38565</v>
      </c>
      <c r="B21" s="4">
        <v>8089073.4400000004</v>
      </c>
      <c r="C21" s="5">
        <v>2845261.7752851401</v>
      </c>
      <c r="D21" s="6">
        <v>3097</v>
      </c>
      <c r="E21" s="7">
        <v>1899531.0809071139</v>
      </c>
      <c r="F21" s="6">
        <v>405</v>
      </c>
      <c r="G21" s="5">
        <v>3690704.9632807765</v>
      </c>
      <c r="H21" s="8">
        <v>7759.6125475093522</v>
      </c>
      <c r="I21" s="6">
        <f t="shared" si="1"/>
        <v>35</v>
      </c>
      <c r="J21" s="5">
        <v>92744.989815994762</v>
      </c>
      <c r="K21" s="9">
        <v>135.83333333333334</v>
      </c>
      <c r="L21" s="6">
        <v>579</v>
      </c>
      <c r="M21" s="5">
        <v>6419.3582521872468</v>
      </c>
      <c r="N21" s="9">
        <v>17.25</v>
      </c>
      <c r="O21" s="6">
        <v>81</v>
      </c>
      <c r="P21" s="5">
        <v>0</v>
      </c>
      <c r="Q21" s="5">
        <v>0</v>
      </c>
      <c r="R21">
        <v>0.2</v>
      </c>
      <c r="S21">
        <v>140.69999999999999</v>
      </c>
      <c r="T21">
        <v>31</v>
      </c>
      <c r="U21">
        <v>22</v>
      </c>
      <c r="V21">
        <v>6475</v>
      </c>
      <c r="W21">
        <v>5416.4</v>
      </c>
      <c r="X21">
        <v>77.7</v>
      </c>
      <c r="Y21">
        <v>63.3</v>
      </c>
    </row>
    <row r="22" spans="1:25" x14ac:dyDescent="0.2">
      <c r="A22" s="3">
        <v>38596</v>
      </c>
      <c r="B22" s="4">
        <v>7086611.54</v>
      </c>
      <c r="C22" s="5">
        <v>1911093.973580118</v>
      </c>
      <c r="D22" s="6">
        <v>3097</v>
      </c>
      <c r="E22" s="7">
        <v>698914.21339877334</v>
      </c>
      <c r="F22" s="6">
        <v>405</v>
      </c>
      <c r="G22" s="5">
        <v>3293978.9522475372</v>
      </c>
      <c r="H22" s="8">
        <v>11004.817281032576</v>
      </c>
      <c r="I22" s="6">
        <f t="shared" si="1"/>
        <v>35</v>
      </c>
      <c r="J22" s="5">
        <v>0</v>
      </c>
      <c r="K22" s="9">
        <v>135.83333333333334</v>
      </c>
      <c r="L22" s="6">
        <v>579</v>
      </c>
      <c r="M22" s="5">
        <v>6840.3729032728952</v>
      </c>
      <c r="N22" s="9">
        <v>17.25</v>
      </c>
      <c r="O22" s="6">
        <v>81</v>
      </c>
      <c r="P22" s="5">
        <v>0</v>
      </c>
      <c r="Q22" s="5">
        <v>0</v>
      </c>
      <c r="R22">
        <v>22.6</v>
      </c>
      <c r="S22">
        <v>52.1</v>
      </c>
      <c r="T22">
        <v>30</v>
      </c>
      <c r="U22">
        <v>21</v>
      </c>
      <c r="V22">
        <v>6443.2</v>
      </c>
      <c r="W22">
        <v>5396</v>
      </c>
      <c r="X22">
        <v>77</v>
      </c>
      <c r="Y22">
        <v>61.8</v>
      </c>
    </row>
    <row r="23" spans="1:25" x14ac:dyDescent="0.2">
      <c r="A23" s="3">
        <v>38626</v>
      </c>
      <c r="B23" s="4">
        <v>6539704.5899999999</v>
      </c>
      <c r="C23" s="5">
        <v>1755432.8522069608</v>
      </c>
      <c r="D23" s="6">
        <v>3097</v>
      </c>
      <c r="E23" s="7">
        <v>1132004.5501327598</v>
      </c>
      <c r="F23" s="6">
        <v>405</v>
      </c>
      <c r="G23" s="5">
        <v>3754412.3189269579</v>
      </c>
      <c r="H23" s="8">
        <v>12766.371514199423</v>
      </c>
      <c r="I23" s="6">
        <f t="shared" si="1"/>
        <v>35</v>
      </c>
      <c r="J23" s="5">
        <v>45702.154039398316</v>
      </c>
      <c r="K23" s="9">
        <v>135.83333333333334</v>
      </c>
      <c r="L23" s="6">
        <v>579</v>
      </c>
      <c r="M23" s="5">
        <v>5739.8665887120314</v>
      </c>
      <c r="N23" s="9">
        <v>17.25</v>
      </c>
      <c r="O23" s="6">
        <v>81</v>
      </c>
      <c r="P23" s="5">
        <v>0</v>
      </c>
      <c r="Q23" s="5">
        <v>0</v>
      </c>
      <c r="R23">
        <v>220.2</v>
      </c>
      <c r="S23">
        <v>7.6</v>
      </c>
      <c r="T23">
        <v>31</v>
      </c>
      <c r="U23">
        <v>20</v>
      </c>
      <c r="V23">
        <v>6433.9</v>
      </c>
      <c r="W23">
        <v>5335.3</v>
      </c>
      <c r="X23">
        <v>76.5</v>
      </c>
      <c r="Y23">
        <v>59.7</v>
      </c>
    </row>
    <row r="24" spans="1:25" x14ac:dyDescent="0.2">
      <c r="A24" s="3">
        <v>38657</v>
      </c>
      <c r="B24" s="4">
        <v>6525368.6500000004</v>
      </c>
      <c r="C24" s="5">
        <v>1469282.8600271447</v>
      </c>
      <c r="D24" s="6">
        <v>3097</v>
      </c>
      <c r="E24" s="7">
        <v>872090.31145973597</v>
      </c>
      <c r="F24" s="6">
        <v>405</v>
      </c>
      <c r="G24" s="5">
        <v>3494170.1450481163</v>
      </c>
      <c r="H24" s="8">
        <v>8803.7093012283985</v>
      </c>
      <c r="I24" s="6">
        <f t="shared" si="1"/>
        <v>35</v>
      </c>
      <c r="J24" s="5">
        <v>44227.885338280248</v>
      </c>
      <c r="K24" s="9">
        <v>135.83333333333334</v>
      </c>
      <c r="L24" s="6">
        <v>579</v>
      </c>
      <c r="M24" s="5">
        <v>6422.7940706367426</v>
      </c>
      <c r="N24" s="9">
        <v>17.25</v>
      </c>
      <c r="O24" s="6">
        <v>81</v>
      </c>
      <c r="P24" s="5">
        <v>0</v>
      </c>
      <c r="Q24" s="5">
        <v>0</v>
      </c>
      <c r="R24">
        <v>388.4</v>
      </c>
      <c r="S24">
        <v>0</v>
      </c>
      <c r="T24">
        <v>30</v>
      </c>
      <c r="U24">
        <v>22</v>
      </c>
      <c r="V24">
        <v>6413</v>
      </c>
      <c r="W24">
        <v>5247.1</v>
      </c>
      <c r="X24">
        <v>75.900000000000006</v>
      </c>
      <c r="Y24">
        <v>57.8</v>
      </c>
    </row>
    <row r="25" spans="1:25" x14ac:dyDescent="0.2">
      <c r="A25" s="3">
        <v>38687</v>
      </c>
      <c r="B25" s="4">
        <v>7418441.4400000004</v>
      </c>
      <c r="C25" s="5">
        <v>2678106.2794627571</v>
      </c>
      <c r="D25" s="6">
        <v>3097</v>
      </c>
      <c r="E25" s="7">
        <v>1521110.7240432184</v>
      </c>
      <c r="F25" s="6">
        <v>405</v>
      </c>
      <c r="G25" s="5">
        <v>3979373.0199501589</v>
      </c>
      <c r="H25" s="8">
        <v>8531.8405314384236</v>
      </c>
      <c r="I25" s="6">
        <f t="shared" si="1"/>
        <v>35</v>
      </c>
      <c r="J25" s="5">
        <v>44227.895099128116</v>
      </c>
      <c r="K25" s="9">
        <v>135.83333333333334</v>
      </c>
      <c r="L25" s="6">
        <v>579</v>
      </c>
      <c r="M25" s="5">
        <v>3935.2810348967428</v>
      </c>
      <c r="N25" s="9">
        <v>17.25</v>
      </c>
      <c r="O25" s="6">
        <v>81</v>
      </c>
      <c r="P25" s="5">
        <v>0</v>
      </c>
      <c r="Q25" s="5">
        <v>0</v>
      </c>
      <c r="R25">
        <v>665.3</v>
      </c>
      <c r="S25">
        <v>0</v>
      </c>
      <c r="T25">
        <v>31</v>
      </c>
      <c r="U25">
        <v>20</v>
      </c>
      <c r="V25">
        <v>6411.6</v>
      </c>
      <c r="W25">
        <v>5224.1000000000004</v>
      </c>
      <c r="X25">
        <v>75.3</v>
      </c>
      <c r="Y25">
        <v>56.8</v>
      </c>
    </row>
    <row r="26" spans="1:25" x14ac:dyDescent="0.2">
      <c r="A26" s="3">
        <v>38718</v>
      </c>
      <c r="B26" s="4">
        <v>7172618.3399999999</v>
      </c>
      <c r="C26" s="5">
        <v>3699088.6170470039</v>
      </c>
      <c r="D26" s="6">
        <v>3099</v>
      </c>
      <c r="E26" s="7">
        <v>1696321.5861344084</v>
      </c>
      <c r="F26" s="10">
        <v>412</v>
      </c>
      <c r="G26" s="5">
        <v>2965277.457839686</v>
      </c>
      <c r="H26" s="8">
        <v>3819.8503388932027</v>
      </c>
      <c r="I26" s="10">
        <f>29+5</f>
        <v>34</v>
      </c>
      <c r="J26" s="5">
        <v>48950.334696590973</v>
      </c>
      <c r="K26" s="9">
        <v>136.25</v>
      </c>
      <c r="L26" s="10">
        <v>589</v>
      </c>
      <c r="M26" s="5">
        <v>5376.4726557059994</v>
      </c>
      <c r="N26" s="9">
        <v>18.333333333333332</v>
      </c>
      <c r="O26" s="10">
        <v>83</v>
      </c>
      <c r="P26" s="5">
        <v>0</v>
      </c>
      <c r="Q26" s="6">
        <v>8</v>
      </c>
      <c r="R26">
        <v>551.79999999999995</v>
      </c>
      <c r="S26">
        <v>0</v>
      </c>
      <c r="T26">
        <v>31</v>
      </c>
      <c r="U26">
        <v>21</v>
      </c>
      <c r="V26">
        <v>6366.5</v>
      </c>
      <c r="W26">
        <v>5175.3</v>
      </c>
      <c r="X26">
        <v>74.7</v>
      </c>
      <c r="Y26">
        <v>56.8</v>
      </c>
    </row>
    <row r="27" spans="1:25" x14ac:dyDescent="0.2">
      <c r="A27" s="3">
        <v>38749</v>
      </c>
      <c r="B27" s="4">
        <v>7099845.4000000004</v>
      </c>
      <c r="C27" s="5">
        <v>3072934.0010337606</v>
      </c>
      <c r="D27" s="6">
        <v>3099</v>
      </c>
      <c r="E27" s="7">
        <v>703518.61548048048</v>
      </c>
      <c r="F27" s="10">
        <v>412</v>
      </c>
      <c r="G27" s="5">
        <v>2094952.4110993503</v>
      </c>
      <c r="H27" s="8">
        <v>4987.9896528433201</v>
      </c>
      <c r="I27" s="10">
        <f t="shared" ref="I27:I37" si="2">29+5</f>
        <v>34</v>
      </c>
      <c r="J27" s="5">
        <v>46091.985221467847</v>
      </c>
      <c r="K27" s="9">
        <v>136.25</v>
      </c>
      <c r="L27" s="10">
        <v>589</v>
      </c>
      <c r="M27" s="5">
        <v>6660.3341669660267</v>
      </c>
      <c r="N27" s="9">
        <v>18.333333333333332</v>
      </c>
      <c r="O27" s="10">
        <v>83</v>
      </c>
      <c r="P27" s="5">
        <v>0</v>
      </c>
      <c r="Q27" s="6">
        <v>8</v>
      </c>
      <c r="R27">
        <v>604.29999999999995</v>
      </c>
      <c r="S27">
        <v>0</v>
      </c>
      <c r="T27">
        <v>28</v>
      </c>
      <c r="U27">
        <v>20</v>
      </c>
      <c r="V27">
        <v>6324.8</v>
      </c>
      <c r="W27">
        <v>5136.2</v>
      </c>
      <c r="X27">
        <v>74.3</v>
      </c>
      <c r="Y27">
        <v>56.6</v>
      </c>
    </row>
    <row r="28" spans="1:25" x14ac:dyDescent="0.2">
      <c r="A28" s="3">
        <v>38777</v>
      </c>
      <c r="B28" s="4">
        <v>7308794.46</v>
      </c>
      <c r="C28" s="5">
        <v>3225054.3920554253</v>
      </c>
      <c r="D28" s="6">
        <v>3099</v>
      </c>
      <c r="E28" s="7">
        <v>1761671.3610683761</v>
      </c>
      <c r="F28" s="10">
        <v>412</v>
      </c>
      <c r="G28" s="5">
        <v>3490900.8975980161</v>
      </c>
      <c r="H28" s="8">
        <v>7333.9616525453584</v>
      </c>
      <c r="I28" s="10">
        <f t="shared" si="2"/>
        <v>34</v>
      </c>
      <c r="J28" s="5">
        <v>87807.908431777701</v>
      </c>
      <c r="K28" s="9">
        <v>136.25</v>
      </c>
      <c r="L28" s="10">
        <v>589</v>
      </c>
      <c r="M28" s="5">
        <v>8264.9758305212417</v>
      </c>
      <c r="N28" s="9">
        <v>18.333333333333332</v>
      </c>
      <c r="O28" s="10">
        <v>83</v>
      </c>
      <c r="P28" s="5">
        <v>0</v>
      </c>
      <c r="Q28" s="6">
        <v>8</v>
      </c>
      <c r="R28">
        <v>516.6</v>
      </c>
      <c r="S28">
        <v>0</v>
      </c>
      <c r="T28">
        <v>31</v>
      </c>
      <c r="U28">
        <v>23</v>
      </c>
      <c r="V28">
        <v>6302.7</v>
      </c>
      <c r="W28">
        <v>5107.1000000000004</v>
      </c>
      <c r="X28">
        <v>74.7</v>
      </c>
      <c r="Y28">
        <v>56.6</v>
      </c>
    </row>
    <row r="29" spans="1:25" x14ac:dyDescent="0.2">
      <c r="A29" s="3">
        <v>38808</v>
      </c>
      <c r="B29" s="4">
        <v>5933242.54</v>
      </c>
      <c r="C29" s="5">
        <v>2098869.0224772664</v>
      </c>
      <c r="D29" s="6">
        <v>3099</v>
      </c>
      <c r="E29" s="7">
        <v>538801.42354594101</v>
      </c>
      <c r="F29" s="10">
        <v>412</v>
      </c>
      <c r="G29" s="5">
        <v>2476595.2333644838</v>
      </c>
      <c r="H29" s="8">
        <v>5343.6510013454545</v>
      </c>
      <c r="I29" s="10">
        <f t="shared" si="2"/>
        <v>34</v>
      </c>
      <c r="J29" s="5">
        <v>0</v>
      </c>
      <c r="K29" s="9">
        <v>136.25</v>
      </c>
      <c r="L29" s="10">
        <v>589</v>
      </c>
      <c r="M29" s="5">
        <v>6239.7047728091648</v>
      </c>
      <c r="N29" s="9">
        <v>18.333333333333332</v>
      </c>
      <c r="O29" s="10">
        <v>83</v>
      </c>
      <c r="P29" s="5">
        <v>0</v>
      </c>
      <c r="Q29" s="6">
        <v>8</v>
      </c>
      <c r="R29">
        <v>293.3</v>
      </c>
      <c r="S29">
        <v>0</v>
      </c>
      <c r="T29">
        <v>30</v>
      </c>
      <c r="U29">
        <v>18</v>
      </c>
      <c r="V29">
        <v>6327.5</v>
      </c>
      <c r="W29">
        <v>5137.7</v>
      </c>
      <c r="X29">
        <v>75.400000000000006</v>
      </c>
      <c r="Y29">
        <v>56.9</v>
      </c>
    </row>
    <row r="30" spans="1:25" x14ac:dyDescent="0.2">
      <c r="A30" s="3">
        <v>38838</v>
      </c>
      <c r="B30" s="4">
        <v>5975511.8200000003</v>
      </c>
      <c r="C30" s="5">
        <v>2677539.934683858</v>
      </c>
      <c r="D30" s="6">
        <v>3099</v>
      </c>
      <c r="E30" s="7">
        <v>1213833.3893113607</v>
      </c>
      <c r="F30" s="10">
        <v>412</v>
      </c>
      <c r="G30" s="5">
        <v>2737892.0013290597</v>
      </c>
      <c r="H30" s="8">
        <v>7707.549251151444</v>
      </c>
      <c r="I30" s="10">
        <f t="shared" si="2"/>
        <v>34</v>
      </c>
      <c r="J30" s="5">
        <v>52499.022221413965</v>
      </c>
      <c r="K30" s="9">
        <v>136.25</v>
      </c>
      <c r="L30" s="10">
        <v>589</v>
      </c>
      <c r="M30" s="5">
        <v>8171.2770908519014</v>
      </c>
      <c r="N30" s="9">
        <v>18.333333333333332</v>
      </c>
      <c r="O30" s="10">
        <v>83</v>
      </c>
      <c r="P30" s="5">
        <v>0</v>
      </c>
      <c r="Q30" s="6">
        <v>8</v>
      </c>
      <c r="R30">
        <v>136.9</v>
      </c>
      <c r="S30">
        <v>26</v>
      </c>
      <c r="T30">
        <v>31</v>
      </c>
      <c r="U30">
        <v>22</v>
      </c>
      <c r="V30">
        <v>6407.8</v>
      </c>
      <c r="W30">
        <v>5243.8</v>
      </c>
      <c r="X30">
        <v>77.2</v>
      </c>
      <c r="Y30">
        <v>58.6</v>
      </c>
    </row>
    <row r="31" spans="1:25" x14ac:dyDescent="0.2">
      <c r="A31" s="3">
        <v>38869</v>
      </c>
      <c r="B31" s="4">
        <v>6099160.04</v>
      </c>
      <c r="C31" s="5">
        <v>1977625.9793429535</v>
      </c>
      <c r="D31" s="6">
        <v>3099</v>
      </c>
      <c r="E31" s="7">
        <v>825394.29155679559</v>
      </c>
      <c r="F31" s="10">
        <v>412</v>
      </c>
      <c r="G31" s="5">
        <v>2675424.3894059504</v>
      </c>
      <c r="H31" s="8">
        <v>7829.6794995871551</v>
      </c>
      <c r="I31" s="10">
        <f t="shared" si="2"/>
        <v>34</v>
      </c>
      <c r="J31" s="5">
        <v>47756.719118324014</v>
      </c>
      <c r="K31" s="9">
        <v>136.25</v>
      </c>
      <c r="L31" s="10">
        <v>589</v>
      </c>
      <c r="M31" s="5">
        <v>-4214.5621944135564</v>
      </c>
      <c r="N31" s="9">
        <v>18.333333333333332</v>
      </c>
      <c r="O31" s="10">
        <v>83</v>
      </c>
      <c r="P31" s="5">
        <v>0</v>
      </c>
      <c r="Q31" s="6">
        <v>8</v>
      </c>
      <c r="R31">
        <v>19.5</v>
      </c>
      <c r="S31">
        <v>73.599999999999994</v>
      </c>
      <c r="T31">
        <v>30</v>
      </c>
      <c r="U31">
        <v>22</v>
      </c>
      <c r="V31">
        <v>6494.8</v>
      </c>
      <c r="W31">
        <v>5352.8</v>
      </c>
      <c r="X31">
        <v>79.099999999999994</v>
      </c>
      <c r="Y31">
        <v>61.4</v>
      </c>
    </row>
    <row r="32" spans="1:25" x14ac:dyDescent="0.2">
      <c r="A32" s="3">
        <v>38899</v>
      </c>
      <c r="B32" s="4">
        <v>6588699.2199999997</v>
      </c>
      <c r="C32" s="5">
        <v>1774476.7188120263</v>
      </c>
      <c r="D32" s="6">
        <v>3099</v>
      </c>
      <c r="E32" s="7">
        <v>1202633.8820180821</v>
      </c>
      <c r="F32" s="10">
        <v>412</v>
      </c>
      <c r="G32" s="5">
        <v>2314439.0679155891</v>
      </c>
      <c r="H32" s="8">
        <v>6686.8352893074507</v>
      </c>
      <c r="I32" s="10">
        <f t="shared" si="2"/>
        <v>34</v>
      </c>
      <c r="J32" s="5">
        <v>49395.630040381548</v>
      </c>
      <c r="K32" s="9">
        <v>136.25</v>
      </c>
      <c r="L32" s="10">
        <v>589</v>
      </c>
      <c r="M32" s="5">
        <v>7750.9574200636844</v>
      </c>
      <c r="N32" s="9">
        <v>18.333333333333332</v>
      </c>
      <c r="O32" s="10">
        <v>83</v>
      </c>
      <c r="P32" s="5">
        <v>0</v>
      </c>
      <c r="Q32" s="6">
        <v>8</v>
      </c>
      <c r="R32">
        <v>0</v>
      </c>
      <c r="S32">
        <v>167.3</v>
      </c>
      <c r="T32">
        <v>31</v>
      </c>
      <c r="U32">
        <v>20</v>
      </c>
      <c r="V32">
        <v>6559.9</v>
      </c>
      <c r="W32">
        <v>5464.8</v>
      </c>
      <c r="X32">
        <v>80.3</v>
      </c>
      <c r="Y32">
        <v>64</v>
      </c>
    </row>
    <row r="33" spans="1:25" x14ac:dyDescent="0.2">
      <c r="A33" s="3">
        <v>38930</v>
      </c>
      <c r="B33" s="4">
        <v>6666396.7999999998</v>
      </c>
      <c r="C33" s="5">
        <v>2514729.2400991819</v>
      </c>
      <c r="D33" s="6">
        <v>3099</v>
      </c>
      <c r="E33" s="7">
        <v>1538759.5484474215</v>
      </c>
      <c r="F33" s="10">
        <v>412</v>
      </c>
      <c r="G33" s="5">
        <v>2537550.311077598</v>
      </c>
      <c r="H33" s="8">
        <v>6386.0691840817681</v>
      </c>
      <c r="I33" s="10">
        <f t="shared" si="2"/>
        <v>34</v>
      </c>
      <c r="J33" s="5">
        <v>47802.223700138042</v>
      </c>
      <c r="K33" s="9">
        <v>136.25</v>
      </c>
      <c r="L33" s="10">
        <v>589</v>
      </c>
      <c r="M33" s="5">
        <v>6584.8774486673037</v>
      </c>
      <c r="N33" s="9">
        <v>18.333333333333332</v>
      </c>
      <c r="O33" s="10">
        <v>83</v>
      </c>
      <c r="P33" s="5">
        <v>0</v>
      </c>
      <c r="Q33" s="6">
        <v>8</v>
      </c>
      <c r="R33">
        <v>4.2</v>
      </c>
      <c r="S33">
        <v>101.6</v>
      </c>
      <c r="T33">
        <v>31</v>
      </c>
      <c r="U33">
        <v>22</v>
      </c>
      <c r="V33">
        <v>6566.4</v>
      </c>
      <c r="W33">
        <v>5505.8</v>
      </c>
      <c r="X33">
        <v>80.099999999999994</v>
      </c>
      <c r="Y33">
        <v>64.8</v>
      </c>
    </row>
    <row r="34" spans="1:25" x14ac:dyDescent="0.2">
      <c r="A34" s="3">
        <v>38961</v>
      </c>
      <c r="B34" s="4">
        <v>5700064.3200000003</v>
      </c>
      <c r="C34" s="5">
        <v>2213330.2742503299</v>
      </c>
      <c r="D34" s="6">
        <v>3099</v>
      </c>
      <c r="E34" s="7">
        <v>1265803.6317486642</v>
      </c>
      <c r="F34" s="10">
        <v>412</v>
      </c>
      <c r="G34" s="5">
        <v>2679101.3310094737</v>
      </c>
      <c r="H34" s="8">
        <v>6412.3439851823987</v>
      </c>
      <c r="I34" s="10">
        <f t="shared" si="2"/>
        <v>34</v>
      </c>
      <c r="J34" s="5">
        <v>48020.764440165149</v>
      </c>
      <c r="K34" s="9">
        <v>136.25</v>
      </c>
      <c r="L34" s="10">
        <v>589</v>
      </c>
      <c r="M34" s="5">
        <v>6485.9959765642925</v>
      </c>
      <c r="N34" s="9">
        <v>18.333333333333332</v>
      </c>
      <c r="O34" s="10">
        <v>83</v>
      </c>
      <c r="P34" s="5">
        <v>0</v>
      </c>
      <c r="Q34" s="6">
        <v>8</v>
      </c>
      <c r="R34">
        <v>80.900000000000006</v>
      </c>
      <c r="S34">
        <v>12.9</v>
      </c>
      <c r="T34">
        <v>30</v>
      </c>
      <c r="U34">
        <v>20</v>
      </c>
      <c r="V34">
        <v>6517.3</v>
      </c>
      <c r="W34">
        <v>5456.2</v>
      </c>
      <c r="X34">
        <v>78</v>
      </c>
      <c r="Y34">
        <v>63.5</v>
      </c>
    </row>
    <row r="35" spans="1:25" x14ac:dyDescent="0.2">
      <c r="A35" s="3">
        <v>38991</v>
      </c>
      <c r="B35" s="4">
        <v>6290340.8799999999</v>
      </c>
      <c r="C35" s="5">
        <v>1858472.6860459368</v>
      </c>
      <c r="D35" s="6">
        <v>3099</v>
      </c>
      <c r="E35" s="7">
        <v>1158429.9974463573</v>
      </c>
      <c r="F35" s="10">
        <v>412</v>
      </c>
      <c r="G35" s="5">
        <v>2470790.9643720114</v>
      </c>
      <c r="H35" s="8">
        <v>6776.6687155802383</v>
      </c>
      <c r="I35" s="10">
        <f t="shared" si="2"/>
        <v>34</v>
      </c>
      <c r="J35" s="5">
        <v>47804.151687530859</v>
      </c>
      <c r="K35" s="9">
        <v>136.25</v>
      </c>
      <c r="L35" s="10">
        <v>589</v>
      </c>
      <c r="M35" s="5">
        <v>6449.0671791941868</v>
      </c>
      <c r="N35" s="9">
        <v>18.333333333333332</v>
      </c>
      <c r="O35" s="10">
        <v>83</v>
      </c>
      <c r="P35" s="5">
        <v>0</v>
      </c>
      <c r="Q35" s="6">
        <v>8</v>
      </c>
      <c r="R35">
        <v>288.3</v>
      </c>
      <c r="S35">
        <v>1.1000000000000001</v>
      </c>
      <c r="T35">
        <v>31</v>
      </c>
      <c r="U35">
        <v>21</v>
      </c>
      <c r="V35">
        <v>6481.4</v>
      </c>
      <c r="W35">
        <v>5374.9</v>
      </c>
      <c r="X35">
        <v>76.599999999999994</v>
      </c>
      <c r="Y35">
        <v>61.3</v>
      </c>
    </row>
    <row r="36" spans="1:25" x14ac:dyDescent="0.2">
      <c r="A36" s="3">
        <v>39022</v>
      </c>
      <c r="B36" s="4">
        <v>6349542.7699999996</v>
      </c>
      <c r="C36" s="5">
        <v>2530894.0995739824</v>
      </c>
      <c r="D36" s="6">
        <v>3099</v>
      </c>
      <c r="E36" s="7">
        <v>1709894.7305534675</v>
      </c>
      <c r="F36" s="10">
        <v>412</v>
      </c>
      <c r="G36" s="5">
        <v>3069194.0200314471</v>
      </c>
      <c r="H36" s="8">
        <v>7587.0454613858019</v>
      </c>
      <c r="I36" s="10">
        <f t="shared" si="2"/>
        <v>34</v>
      </c>
      <c r="J36" s="5">
        <v>88138.903697075788</v>
      </c>
      <c r="K36" s="9">
        <v>136.25</v>
      </c>
      <c r="L36" s="10">
        <v>589</v>
      </c>
      <c r="M36" s="5">
        <v>7345.5881059531812</v>
      </c>
      <c r="N36" s="9">
        <v>18.333333333333332</v>
      </c>
      <c r="O36" s="10">
        <v>83</v>
      </c>
      <c r="P36" s="5">
        <v>0</v>
      </c>
      <c r="Q36" s="6">
        <v>8</v>
      </c>
      <c r="R36">
        <v>382.2</v>
      </c>
      <c r="S36">
        <v>0</v>
      </c>
      <c r="T36">
        <v>30</v>
      </c>
      <c r="U36">
        <v>22</v>
      </c>
      <c r="V36">
        <v>6454.3</v>
      </c>
      <c r="W36">
        <v>5278.7</v>
      </c>
      <c r="X36">
        <v>75.099999999999994</v>
      </c>
      <c r="Y36">
        <v>59</v>
      </c>
    </row>
    <row r="37" spans="1:25" x14ac:dyDescent="0.2">
      <c r="A37" s="3">
        <v>39052</v>
      </c>
      <c r="B37" s="4">
        <v>6849573.6799999997</v>
      </c>
      <c r="C37" s="5">
        <v>1616844.2193074303</v>
      </c>
      <c r="D37" s="6">
        <v>3099</v>
      </c>
      <c r="E37" s="7">
        <v>538272.81833053986</v>
      </c>
      <c r="F37" s="10">
        <v>412</v>
      </c>
      <c r="G37" s="5">
        <v>1837070.1074618646</v>
      </c>
      <c r="H37" s="8">
        <v>5258.3559680964008</v>
      </c>
      <c r="I37" s="10">
        <f t="shared" si="2"/>
        <v>34</v>
      </c>
      <c r="J37" s="5">
        <v>0</v>
      </c>
      <c r="K37" s="9">
        <v>136.25</v>
      </c>
      <c r="L37" s="10">
        <v>589</v>
      </c>
      <c r="M37" s="5">
        <v>6309.8123129695041</v>
      </c>
      <c r="N37" s="9">
        <v>18.333333333333332</v>
      </c>
      <c r="O37" s="10">
        <v>83</v>
      </c>
      <c r="P37" s="5">
        <v>0</v>
      </c>
      <c r="Q37" s="6">
        <v>8</v>
      </c>
      <c r="R37">
        <v>500.5</v>
      </c>
      <c r="S37">
        <v>0</v>
      </c>
      <c r="T37">
        <v>31</v>
      </c>
      <c r="U37">
        <v>19</v>
      </c>
      <c r="V37">
        <v>6480.1</v>
      </c>
      <c r="W37">
        <v>5263.7</v>
      </c>
      <c r="X37">
        <v>76.099999999999994</v>
      </c>
      <c r="Y37">
        <v>58.9</v>
      </c>
    </row>
    <row r="38" spans="1:25" x14ac:dyDescent="0.2">
      <c r="A38" s="3">
        <v>39083</v>
      </c>
      <c r="B38" s="4">
        <v>7465175.0099999998</v>
      </c>
      <c r="C38" s="5">
        <v>3099099.9405753817</v>
      </c>
      <c r="D38" s="6">
        <v>3100</v>
      </c>
      <c r="E38" s="7">
        <v>1070924.5568679506</v>
      </c>
      <c r="F38" s="10">
        <v>409</v>
      </c>
      <c r="G38" s="5">
        <v>1972496.1058982171</v>
      </c>
      <c r="H38" s="8">
        <v>4515.9071625883917</v>
      </c>
      <c r="I38" s="10">
        <f>31+4</f>
        <v>35</v>
      </c>
      <c r="J38" s="5">
        <v>46818.575432739388</v>
      </c>
      <c r="K38" s="9">
        <v>136.25</v>
      </c>
      <c r="L38" s="10">
        <v>589</v>
      </c>
      <c r="M38" s="5">
        <v>6226.4513555498979</v>
      </c>
      <c r="N38" s="9">
        <v>19</v>
      </c>
      <c r="O38" s="10">
        <v>86</v>
      </c>
      <c r="P38" s="5">
        <v>0</v>
      </c>
      <c r="Q38" s="6">
        <v>8</v>
      </c>
      <c r="R38">
        <v>647.1</v>
      </c>
      <c r="S38">
        <v>0</v>
      </c>
      <c r="T38">
        <v>31</v>
      </c>
      <c r="U38">
        <v>22</v>
      </c>
      <c r="V38">
        <v>6460.5</v>
      </c>
      <c r="W38">
        <v>5216.5</v>
      </c>
      <c r="X38">
        <v>76.7</v>
      </c>
      <c r="Y38">
        <v>58.8</v>
      </c>
    </row>
    <row r="39" spans="1:25" x14ac:dyDescent="0.2">
      <c r="A39" s="3">
        <v>39114</v>
      </c>
      <c r="B39" s="4">
        <v>6755545.1600000001</v>
      </c>
      <c r="C39" s="5">
        <v>3154374.8205605494</v>
      </c>
      <c r="D39" s="6">
        <v>3100</v>
      </c>
      <c r="E39" s="7">
        <v>1139246.0480462338</v>
      </c>
      <c r="F39" s="10">
        <v>409</v>
      </c>
      <c r="G39" s="5">
        <v>2241338.3749896665</v>
      </c>
      <c r="H39" s="8">
        <v>4784.5859244995727</v>
      </c>
      <c r="I39" s="10">
        <f t="shared" ref="I39:I49" si="3">31+4</f>
        <v>35</v>
      </c>
      <c r="J39" s="5">
        <v>45389.001460149193</v>
      </c>
      <c r="K39" s="9">
        <v>136.25</v>
      </c>
      <c r="L39" s="10">
        <v>589</v>
      </c>
      <c r="M39" s="5">
        <v>6968.8090018399207</v>
      </c>
      <c r="N39" s="9">
        <v>19</v>
      </c>
      <c r="O39" s="10">
        <v>86</v>
      </c>
      <c r="P39" s="5">
        <v>0</v>
      </c>
      <c r="Q39" s="6">
        <v>8</v>
      </c>
      <c r="R39">
        <v>740.1</v>
      </c>
      <c r="S39">
        <v>0</v>
      </c>
      <c r="T39">
        <v>28</v>
      </c>
      <c r="U39">
        <v>20</v>
      </c>
      <c r="V39">
        <v>6446</v>
      </c>
      <c r="W39">
        <v>5184.8999999999996</v>
      </c>
      <c r="X39">
        <v>77.599999999999994</v>
      </c>
      <c r="Y39">
        <v>59.5</v>
      </c>
    </row>
    <row r="40" spans="1:25" x14ac:dyDescent="0.2">
      <c r="A40" s="3">
        <v>39142</v>
      </c>
      <c r="B40" s="4">
        <v>6513592.5</v>
      </c>
      <c r="C40" s="5">
        <v>3314937.1742507401</v>
      </c>
      <c r="D40" s="6">
        <v>3100</v>
      </c>
      <c r="E40" s="7">
        <v>1359816.7897260184</v>
      </c>
      <c r="F40" s="10">
        <v>409</v>
      </c>
      <c r="G40" s="5">
        <v>1962756.0188339266</v>
      </c>
      <c r="H40" s="8">
        <v>5733.1583001106137</v>
      </c>
      <c r="I40" s="10">
        <f t="shared" si="3"/>
        <v>35</v>
      </c>
      <c r="J40" s="5">
        <v>45442.053643991392</v>
      </c>
      <c r="K40" s="9">
        <v>136.25</v>
      </c>
      <c r="L40" s="10">
        <v>589</v>
      </c>
      <c r="M40" s="5">
        <v>6150.9938359002554</v>
      </c>
      <c r="N40" s="9">
        <v>19</v>
      </c>
      <c r="O40" s="10">
        <v>86</v>
      </c>
      <c r="P40" s="5">
        <v>0</v>
      </c>
      <c r="Q40" s="6">
        <v>8</v>
      </c>
      <c r="R40">
        <v>546.70000000000005</v>
      </c>
      <c r="S40">
        <v>0</v>
      </c>
      <c r="T40">
        <v>31</v>
      </c>
      <c r="U40">
        <v>22</v>
      </c>
      <c r="V40">
        <v>6421.7</v>
      </c>
      <c r="W40">
        <v>5167.7</v>
      </c>
      <c r="X40">
        <v>79</v>
      </c>
      <c r="Y40">
        <v>60</v>
      </c>
    </row>
    <row r="41" spans="1:25" x14ac:dyDescent="0.2">
      <c r="A41" s="3">
        <v>39173</v>
      </c>
      <c r="B41" s="4">
        <v>5714418.2000000002</v>
      </c>
      <c r="C41" s="5">
        <v>3035620.5062203831</v>
      </c>
      <c r="D41" s="6">
        <v>3100</v>
      </c>
      <c r="E41" s="7">
        <v>1258709.0762460281</v>
      </c>
      <c r="F41" s="10">
        <v>409</v>
      </c>
      <c r="G41" s="5">
        <v>1884493.1019662532</v>
      </c>
      <c r="H41" s="8">
        <v>5471.3061427433031</v>
      </c>
      <c r="I41" s="10">
        <f t="shared" si="3"/>
        <v>35</v>
      </c>
      <c r="J41" s="5">
        <v>40994.818984856967</v>
      </c>
      <c r="K41" s="9">
        <v>136.25</v>
      </c>
      <c r="L41" s="10">
        <v>589</v>
      </c>
      <c r="M41" s="5">
        <v>6492.5035860991802</v>
      </c>
      <c r="N41" s="9">
        <v>19</v>
      </c>
      <c r="O41" s="10">
        <v>86</v>
      </c>
      <c r="P41" s="5">
        <v>0</v>
      </c>
      <c r="Q41" s="6">
        <v>8</v>
      </c>
      <c r="R41">
        <v>356.4</v>
      </c>
      <c r="S41">
        <v>0</v>
      </c>
      <c r="T41">
        <v>30</v>
      </c>
      <c r="U41">
        <v>19</v>
      </c>
      <c r="V41">
        <v>6441.8</v>
      </c>
      <c r="W41">
        <v>5197.5</v>
      </c>
      <c r="X41">
        <v>79.400000000000006</v>
      </c>
      <c r="Y41">
        <v>59.9</v>
      </c>
    </row>
    <row r="42" spans="1:25" x14ac:dyDescent="0.2">
      <c r="A42" s="3">
        <v>39203</v>
      </c>
      <c r="B42" s="4">
        <v>5150296.5999999996</v>
      </c>
      <c r="C42" s="5">
        <v>2614638.5990049071</v>
      </c>
      <c r="D42" s="6">
        <v>3100</v>
      </c>
      <c r="E42" s="7">
        <v>1625758.0431325331</v>
      </c>
      <c r="F42" s="10">
        <v>409</v>
      </c>
      <c r="G42" s="5">
        <v>2150846.1811083271</v>
      </c>
      <c r="H42" s="8">
        <v>5341.0727516211055</v>
      </c>
      <c r="I42" s="10">
        <f t="shared" si="3"/>
        <v>35</v>
      </c>
      <c r="J42" s="5">
        <v>87846.041344465179</v>
      </c>
      <c r="K42" s="9">
        <v>136.25</v>
      </c>
      <c r="L42" s="10">
        <v>589</v>
      </c>
      <c r="M42" s="5">
        <v>6889.2205215927879</v>
      </c>
      <c r="N42" s="9">
        <v>19</v>
      </c>
      <c r="O42" s="10">
        <v>86</v>
      </c>
      <c r="P42" s="5">
        <v>0</v>
      </c>
      <c r="Q42" s="6">
        <v>8</v>
      </c>
      <c r="R42">
        <v>136.4</v>
      </c>
      <c r="S42">
        <v>22.4</v>
      </c>
      <c r="T42">
        <v>31</v>
      </c>
      <c r="U42">
        <v>22</v>
      </c>
      <c r="V42">
        <v>6500.1</v>
      </c>
      <c r="W42">
        <v>5280.6</v>
      </c>
      <c r="X42">
        <v>80.3</v>
      </c>
      <c r="Y42">
        <v>61.2</v>
      </c>
    </row>
    <row r="43" spans="1:25" x14ac:dyDescent="0.2">
      <c r="A43" s="3">
        <v>39234</v>
      </c>
      <c r="B43" s="4">
        <v>5346923.2</v>
      </c>
      <c r="C43" s="5">
        <v>1748124.7380721269</v>
      </c>
      <c r="D43" s="6">
        <v>3100</v>
      </c>
      <c r="E43" s="7">
        <v>499609.32362586627</v>
      </c>
      <c r="F43" s="10">
        <v>409</v>
      </c>
      <c r="G43" s="5">
        <v>1309844.5938433614</v>
      </c>
      <c r="H43" s="8">
        <v>7429.598720734175</v>
      </c>
      <c r="I43" s="10">
        <f t="shared" si="3"/>
        <v>35</v>
      </c>
      <c r="J43" s="5">
        <v>0</v>
      </c>
      <c r="K43" s="9">
        <v>136.25</v>
      </c>
      <c r="L43" s="10">
        <v>589</v>
      </c>
      <c r="M43" s="5">
        <v>5891.8992079741911</v>
      </c>
      <c r="N43" s="9">
        <v>19</v>
      </c>
      <c r="O43" s="10">
        <v>86</v>
      </c>
      <c r="P43" s="5">
        <v>0</v>
      </c>
      <c r="Q43" s="6">
        <v>8</v>
      </c>
      <c r="R43">
        <v>16.5</v>
      </c>
      <c r="S43">
        <v>99.2</v>
      </c>
      <c r="T43">
        <v>30</v>
      </c>
      <c r="U43">
        <v>21</v>
      </c>
      <c r="V43">
        <v>6573.9</v>
      </c>
      <c r="W43">
        <v>5391.3</v>
      </c>
      <c r="X43">
        <v>79.900000000000006</v>
      </c>
      <c r="Y43">
        <v>62.2</v>
      </c>
    </row>
    <row r="44" spans="1:25" x14ac:dyDescent="0.2">
      <c r="A44" s="3">
        <v>39264</v>
      </c>
      <c r="B44" s="4">
        <v>5618855.5999999996</v>
      </c>
      <c r="C44" s="5">
        <v>2028787.2949584024</v>
      </c>
      <c r="D44" s="6">
        <v>3100</v>
      </c>
      <c r="E44" s="7">
        <v>1109259.1592597349</v>
      </c>
      <c r="F44" s="10">
        <v>409</v>
      </c>
      <c r="G44" s="5">
        <v>1726864.4770829619</v>
      </c>
      <c r="H44" s="8">
        <v>7763.6436671899437</v>
      </c>
      <c r="I44" s="10">
        <f t="shared" si="3"/>
        <v>35</v>
      </c>
      <c r="J44" s="5">
        <v>46851.223287288558</v>
      </c>
      <c r="K44" s="9">
        <v>136.25</v>
      </c>
      <c r="L44" s="10">
        <v>589</v>
      </c>
      <c r="M44" s="5">
        <v>6152.910423502869</v>
      </c>
      <c r="N44" s="9">
        <v>19</v>
      </c>
      <c r="O44" s="10">
        <v>86</v>
      </c>
      <c r="P44" s="5">
        <v>0</v>
      </c>
      <c r="Q44" s="6">
        <v>8</v>
      </c>
      <c r="R44">
        <v>3.2</v>
      </c>
      <c r="S44">
        <v>106.1</v>
      </c>
      <c r="T44">
        <v>31</v>
      </c>
      <c r="U44">
        <v>22</v>
      </c>
      <c r="V44">
        <v>6640.2</v>
      </c>
      <c r="W44">
        <v>5513.8</v>
      </c>
      <c r="X44">
        <v>80.900000000000006</v>
      </c>
      <c r="Y44">
        <v>64.900000000000006</v>
      </c>
    </row>
    <row r="45" spans="1:25" x14ac:dyDescent="0.2">
      <c r="A45" s="3">
        <v>39295</v>
      </c>
      <c r="B45" s="4">
        <v>6124609.2000000002</v>
      </c>
      <c r="C45" s="5">
        <v>2225644.9113406232</v>
      </c>
      <c r="D45" s="6">
        <v>3100</v>
      </c>
      <c r="E45" s="7">
        <v>1261303.1845729286</v>
      </c>
      <c r="F45" s="10">
        <v>409</v>
      </c>
      <c r="G45" s="5">
        <v>1640227.3999024702</v>
      </c>
      <c r="H45" s="8">
        <v>4542.1088379013063</v>
      </c>
      <c r="I45" s="10">
        <f t="shared" si="3"/>
        <v>35</v>
      </c>
      <c r="J45" s="5">
        <v>43957.924645392413</v>
      </c>
      <c r="K45" s="9">
        <v>136.25</v>
      </c>
      <c r="L45" s="10">
        <v>589</v>
      </c>
      <c r="M45" s="5">
        <v>6161.8207932623282</v>
      </c>
      <c r="N45" s="9">
        <v>19</v>
      </c>
      <c r="O45" s="10">
        <v>86</v>
      </c>
      <c r="P45" s="5">
        <v>0</v>
      </c>
      <c r="Q45" s="6">
        <v>8</v>
      </c>
      <c r="R45">
        <v>5.2</v>
      </c>
      <c r="S45">
        <v>141</v>
      </c>
      <c r="T45">
        <v>31</v>
      </c>
      <c r="U45">
        <v>22</v>
      </c>
      <c r="V45">
        <v>6663.5</v>
      </c>
      <c r="W45">
        <v>5582.2</v>
      </c>
      <c r="X45">
        <v>80.7</v>
      </c>
      <c r="Y45">
        <v>65.599999999999994</v>
      </c>
    </row>
    <row r="46" spans="1:25" x14ac:dyDescent="0.2">
      <c r="A46" s="3">
        <v>39326</v>
      </c>
      <c r="B46" s="4">
        <v>5231012</v>
      </c>
      <c r="C46" s="5">
        <v>2297255.3433628399</v>
      </c>
      <c r="D46" s="6">
        <v>3100</v>
      </c>
      <c r="E46" s="7">
        <v>1376046.3912850297</v>
      </c>
      <c r="F46" s="10">
        <v>409</v>
      </c>
      <c r="G46" s="5">
        <v>1973764.2133952104</v>
      </c>
      <c r="H46" s="8">
        <v>5130.8251112909466</v>
      </c>
      <c r="I46" s="10">
        <f t="shared" si="3"/>
        <v>35</v>
      </c>
      <c r="J46" s="5">
        <v>88181.894099891244</v>
      </c>
      <c r="K46" s="9">
        <v>136.25</v>
      </c>
      <c r="L46" s="10">
        <v>589</v>
      </c>
      <c r="M46" s="5">
        <v>6351.6807813249616</v>
      </c>
      <c r="N46" s="9">
        <v>19</v>
      </c>
      <c r="O46" s="10">
        <v>86</v>
      </c>
      <c r="P46" s="5">
        <v>188.6272177655255</v>
      </c>
      <c r="Q46" s="6">
        <v>8</v>
      </c>
      <c r="R46">
        <v>36.9</v>
      </c>
      <c r="S46">
        <v>47.5</v>
      </c>
      <c r="T46">
        <v>30</v>
      </c>
      <c r="U46">
        <v>19</v>
      </c>
      <c r="V46">
        <v>6635.5</v>
      </c>
      <c r="W46">
        <v>5544.2</v>
      </c>
      <c r="X46">
        <v>78.900000000000006</v>
      </c>
      <c r="Y46">
        <v>63.9</v>
      </c>
    </row>
    <row r="47" spans="1:25" x14ac:dyDescent="0.2">
      <c r="A47" s="3">
        <v>39356</v>
      </c>
      <c r="B47" s="4">
        <v>5337143.9000000004</v>
      </c>
      <c r="C47" s="5">
        <v>1810731.4320907176</v>
      </c>
      <c r="D47" s="6">
        <v>3100</v>
      </c>
      <c r="E47" s="7">
        <v>1080358.6045638921</v>
      </c>
      <c r="F47" s="10">
        <v>409</v>
      </c>
      <c r="G47" s="5">
        <v>1675184.5653258392</v>
      </c>
      <c r="H47" s="8">
        <v>5530.8958685797561</v>
      </c>
      <c r="I47" s="10">
        <f t="shared" si="3"/>
        <v>35</v>
      </c>
      <c r="J47" s="5">
        <v>2678.9080023448132</v>
      </c>
      <c r="K47" s="9">
        <v>136.25</v>
      </c>
      <c r="L47" s="10">
        <v>589</v>
      </c>
      <c r="M47" s="5">
        <v>5905.7800890476774</v>
      </c>
      <c r="N47" s="9">
        <v>19</v>
      </c>
      <c r="O47" s="10">
        <v>86</v>
      </c>
      <c r="P47" s="5">
        <v>4595.9052820468423</v>
      </c>
      <c r="Q47" s="6">
        <v>8</v>
      </c>
      <c r="R47">
        <v>137.69999999999999</v>
      </c>
      <c r="S47">
        <v>19.8</v>
      </c>
      <c r="T47">
        <v>31</v>
      </c>
      <c r="U47">
        <v>22</v>
      </c>
      <c r="V47">
        <v>6631.9</v>
      </c>
      <c r="W47">
        <v>5479.1</v>
      </c>
      <c r="X47">
        <v>77.099999999999994</v>
      </c>
      <c r="Y47">
        <v>61.6</v>
      </c>
    </row>
    <row r="48" spans="1:25" x14ac:dyDescent="0.2">
      <c r="A48" s="3">
        <v>39387</v>
      </c>
      <c r="B48" s="4">
        <v>5745793.2000000002</v>
      </c>
      <c r="C48" s="5">
        <v>2339589.2137355977</v>
      </c>
      <c r="D48" s="6">
        <v>3100</v>
      </c>
      <c r="E48" s="7">
        <v>1560826.5110011089</v>
      </c>
      <c r="F48" s="10">
        <v>409</v>
      </c>
      <c r="G48" s="5">
        <v>2247121.8997961408</v>
      </c>
      <c r="H48" s="8">
        <v>5604.1296487541513</v>
      </c>
      <c r="I48" s="10">
        <f t="shared" si="3"/>
        <v>35</v>
      </c>
      <c r="J48" s="5">
        <v>89565.63324176037</v>
      </c>
      <c r="K48" s="9">
        <v>136.25</v>
      </c>
      <c r="L48" s="10">
        <v>589</v>
      </c>
      <c r="M48" s="5">
        <v>7001.8177240451487</v>
      </c>
      <c r="N48" s="9">
        <v>19</v>
      </c>
      <c r="O48" s="10">
        <v>86</v>
      </c>
      <c r="P48" s="5">
        <v>22909.233040792566</v>
      </c>
      <c r="Q48" s="6">
        <v>8</v>
      </c>
      <c r="R48">
        <v>462.5</v>
      </c>
      <c r="S48">
        <v>0</v>
      </c>
      <c r="T48">
        <v>30</v>
      </c>
      <c r="U48">
        <v>22</v>
      </c>
      <c r="V48">
        <v>6616.9</v>
      </c>
      <c r="W48">
        <v>5395.6</v>
      </c>
      <c r="X48">
        <v>75.900000000000006</v>
      </c>
      <c r="Y48">
        <v>59.3</v>
      </c>
    </row>
    <row r="49" spans="1:25" x14ac:dyDescent="0.2">
      <c r="A49" s="3">
        <v>39417</v>
      </c>
      <c r="B49" s="4">
        <v>6829674.2999999998</v>
      </c>
      <c r="C49" s="5">
        <v>2004832.6601439412</v>
      </c>
      <c r="D49" s="6">
        <v>3100</v>
      </c>
      <c r="E49" s="7">
        <v>500787.35111637437</v>
      </c>
      <c r="F49" s="10">
        <v>409</v>
      </c>
      <c r="G49" s="5">
        <v>1143053.7627437364</v>
      </c>
      <c r="H49" s="8">
        <v>4691.767863986729</v>
      </c>
      <c r="I49" s="10">
        <f t="shared" si="3"/>
        <v>35</v>
      </c>
      <c r="J49" s="5">
        <v>0</v>
      </c>
      <c r="K49" s="9">
        <v>136.25</v>
      </c>
      <c r="L49" s="10">
        <v>589</v>
      </c>
      <c r="M49" s="5">
        <v>5546.5089708722062</v>
      </c>
      <c r="N49" s="9">
        <v>19</v>
      </c>
      <c r="O49" s="10">
        <v>86</v>
      </c>
      <c r="P49" s="5">
        <v>616.26700057697042</v>
      </c>
      <c r="Q49" s="6">
        <v>8</v>
      </c>
      <c r="R49">
        <v>630.70000000000005</v>
      </c>
      <c r="S49">
        <v>0</v>
      </c>
      <c r="T49">
        <v>31</v>
      </c>
      <c r="U49">
        <v>19</v>
      </c>
      <c r="V49">
        <v>6626.1</v>
      </c>
      <c r="W49">
        <v>5374.1</v>
      </c>
      <c r="X49">
        <v>76.400000000000006</v>
      </c>
      <c r="Y49">
        <v>59.5</v>
      </c>
    </row>
    <row r="50" spans="1:25" x14ac:dyDescent="0.2">
      <c r="A50" s="3">
        <v>39448</v>
      </c>
      <c r="B50" s="4">
        <v>6821928.0999999996</v>
      </c>
      <c r="C50" s="5">
        <v>3080465</v>
      </c>
      <c r="D50" s="11">
        <v>3100</v>
      </c>
      <c r="E50" s="7">
        <v>1160579.2</v>
      </c>
      <c r="F50" s="11">
        <v>402</v>
      </c>
      <c r="G50" s="5">
        <v>1788902.1343910405</v>
      </c>
      <c r="H50" s="8">
        <v>5635.3561175315044</v>
      </c>
      <c r="I50" s="6">
        <v>35</v>
      </c>
      <c r="J50" s="5">
        <v>44314.136257582832</v>
      </c>
      <c r="K50" s="9">
        <v>170.08333333333334</v>
      </c>
      <c r="L50" s="6">
        <v>594</v>
      </c>
      <c r="M50" s="5">
        <v>5629.7209519365379</v>
      </c>
      <c r="N50" s="9">
        <v>21.5</v>
      </c>
      <c r="O50" s="6">
        <v>89</v>
      </c>
      <c r="P50" s="5">
        <v>11840.875</v>
      </c>
      <c r="Q50" s="11">
        <v>6</v>
      </c>
      <c r="R50">
        <v>623.5</v>
      </c>
      <c r="S50">
        <v>0</v>
      </c>
      <c r="T50">
        <v>31</v>
      </c>
      <c r="U50">
        <v>22</v>
      </c>
      <c r="V50">
        <v>6579.6</v>
      </c>
      <c r="W50">
        <v>5323.9</v>
      </c>
      <c r="X50">
        <v>76.400000000000006</v>
      </c>
      <c r="Y50">
        <v>59.1</v>
      </c>
    </row>
    <row r="51" spans="1:25" x14ac:dyDescent="0.2">
      <c r="A51" s="3">
        <v>39479</v>
      </c>
      <c r="B51" s="4">
        <v>6574488.9000000004</v>
      </c>
      <c r="C51" s="5">
        <v>3359831</v>
      </c>
      <c r="D51" s="11">
        <v>3100</v>
      </c>
      <c r="E51" s="7">
        <v>1305758</v>
      </c>
      <c r="F51" s="11">
        <v>402</v>
      </c>
      <c r="G51" s="5">
        <v>1918404.969668689</v>
      </c>
      <c r="H51" s="8">
        <v>5156.6519957306791</v>
      </c>
      <c r="I51" s="6">
        <v>35</v>
      </c>
      <c r="J51" s="5">
        <v>44314.136257582839</v>
      </c>
      <c r="K51" s="9">
        <v>170.08333333333334</v>
      </c>
      <c r="L51" s="6">
        <v>594</v>
      </c>
      <c r="M51" s="5">
        <v>6761.3840410639314</v>
      </c>
      <c r="N51" s="9">
        <v>21.5</v>
      </c>
      <c r="O51" s="6">
        <v>89</v>
      </c>
      <c r="P51" s="5">
        <v>11805.653999999999</v>
      </c>
      <c r="Q51" s="11">
        <v>6</v>
      </c>
      <c r="R51">
        <v>674.7</v>
      </c>
      <c r="S51">
        <v>0</v>
      </c>
      <c r="T51">
        <v>29</v>
      </c>
      <c r="U51">
        <v>20</v>
      </c>
      <c r="V51">
        <v>6560.8</v>
      </c>
      <c r="W51">
        <v>5303.7</v>
      </c>
      <c r="X51">
        <v>77.2</v>
      </c>
      <c r="Y51">
        <v>60.2</v>
      </c>
    </row>
    <row r="52" spans="1:25" x14ac:dyDescent="0.2">
      <c r="A52" s="3">
        <v>39508</v>
      </c>
      <c r="B52" s="4">
        <v>6432698.2000000002</v>
      </c>
      <c r="C52" s="5">
        <v>3251025</v>
      </c>
      <c r="D52" s="11">
        <v>3100</v>
      </c>
      <c r="E52" s="7">
        <v>1217685.6000000001</v>
      </c>
      <c r="F52" s="11">
        <v>402</v>
      </c>
      <c r="G52" s="5">
        <v>1790858.4927671491</v>
      </c>
      <c r="H52" s="8">
        <v>5004.9319079447414</v>
      </c>
      <c r="I52" s="6">
        <v>35</v>
      </c>
      <c r="J52" s="5">
        <v>47268.412505832966</v>
      </c>
      <c r="K52" s="9">
        <v>170.08333333333334</v>
      </c>
      <c r="L52" s="6">
        <v>594</v>
      </c>
      <c r="M52" s="5">
        <v>6620.7736817545519</v>
      </c>
      <c r="N52" s="9">
        <v>21.5</v>
      </c>
      <c r="O52" s="6">
        <v>89</v>
      </c>
      <c r="P52" s="5">
        <v>12588.886999999999</v>
      </c>
      <c r="Q52" s="11">
        <v>6</v>
      </c>
      <c r="R52">
        <v>610.20000000000005</v>
      </c>
      <c r="S52">
        <v>0</v>
      </c>
      <c r="T52">
        <v>31</v>
      </c>
      <c r="U52">
        <v>21</v>
      </c>
      <c r="V52">
        <v>6547.6</v>
      </c>
      <c r="W52">
        <v>5278.9</v>
      </c>
      <c r="X52">
        <v>78.099999999999994</v>
      </c>
      <c r="Y52">
        <v>60.9</v>
      </c>
    </row>
    <row r="53" spans="1:25" x14ac:dyDescent="0.2">
      <c r="A53" s="3">
        <v>39539</v>
      </c>
      <c r="B53" s="4">
        <v>5167115.8</v>
      </c>
      <c r="C53" s="5">
        <v>3051249</v>
      </c>
      <c r="D53" s="11">
        <v>3100</v>
      </c>
      <c r="E53" s="7">
        <v>1646664.6</v>
      </c>
      <c r="F53" s="11">
        <v>402</v>
      </c>
      <c r="G53" s="5">
        <v>2189803.0751283243</v>
      </c>
      <c r="H53" s="8">
        <v>6208.4426718597988</v>
      </c>
      <c r="I53" s="6">
        <v>35</v>
      </c>
      <c r="J53" s="5">
        <v>87042.984601026605</v>
      </c>
      <c r="K53" s="9">
        <v>170.08333333333334</v>
      </c>
      <c r="L53" s="6">
        <v>594</v>
      </c>
      <c r="M53" s="5">
        <v>6271.2263182454517</v>
      </c>
      <c r="N53" s="9">
        <v>21.5</v>
      </c>
      <c r="O53" s="6">
        <v>89</v>
      </c>
      <c r="P53" s="5">
        <v>22636.075000000004</v>
      </c>
      <c r="Q53" s="11">
        <v>6</v>
      </c>
      <c r="R53">
        <v>253.9</v>
      </c>
      <c r="S53">
        <v>0</v>
      </c>
      <c r="T53">
        <v>30</v>
      </c>
      <c r="U53">
        <v>20</v>
      </c>
      <c r="V53">
        <v>6580.2</v>
      </c>
      <c r="W53">
        <v>5310.6</v>
      </c>
      <c r="X53">
        <v>79.8</v>
      </c>
      <c r="Y53">
        <v>62.5</v>
      </c>
    </row>
    <row r="54" spans="1:25" x14ac:dyDescent="0.2">
      <c r="A54" s="3">
        <v>39569</v>
      </c>
      <c r="B54" s="4">
        <v>4829271.5999999996</v>
      </c>
      <c r="C54" s="5">
        <v>1958467</v>
      </c>
      <c r="D54" s="11">
        <v>3100</v>
      </c>
      <c r="E54" s="7">
        <v>480737.39999999944</v>
      </c>
      <c r="F54" s="11">
        <v>402</v>
      </c>
      <c r="G54" s="5">
        <v>1001228.2538497439</v>
      </c>
      <c r="H54" s="8">
        <v>3905.5225181222081</v>
      </c>
      <c r="I54" s="6">
        <v>35</v>
      </c>
      <c r="J54" s="5">
        <v>0</v>
      </c>
      <c r="K54" s="9">
        <v>170.08333333333334</v>
      </c>
      <c r="L54" s="6">
        <v>594</v>
      </c>
      <c r="M54" s="5">
        <v>5379.1432571161931</v>
      </c>
      <c r="N54" s="9">
        <v>21.5</v>
      </c>
      <c r="O54" s="6">
        <v>89</v>
      </c>
      <c r="P54" s="5">
        <v>601.22699999999895</v>
      </c>
      <c r="Q54" s="11">
        <v>6</v>
      </c>
      <c r="R54">
        <v>193.5</v>
      </c>
      <c r="S54">
        <v>2.5</v>
      </c>
      <c r="T54">
        <v>31</v>
      </c>
      <c r="U54">
        <v>21</v>
      </c>
      <c r="V54">
        <v>6640.6</v>
      </c>
      <c r="W54">
        <v>5370.3</v>
      </c>
      <c r="X54">
        <v>80.5</v>
      </c>
      <c r="Y54">
        <v>63.4</v>
      </c>
    </row>
    <row r="55" spans="1:25" x14ac:dyDescent="0.2">
      <c r="A55" s="3">
        <v>39600</v>
      </c>
      <c r="B55" s="4">
        <v>5082308.4000000004</v>
      </c>
      <c r="C55" s="5">
        <v>1902318</v>
      </c>
      <c r="D55" s="11">
        <v>3100</v>
      </c>
      <c r="E55" s="7">
        <v>1100351.6000000001</v>
      </c>
      <c r="F55" s="11">
        <v>402</v>
      </c>
      <c r="G55" s="5">
        <v>1649952.0009332709</v>
      </c>
      <c r="H55" s="8">
        <v>7934.4782941043595</v>
      </c>
      <c r="I55" s="6">
        <v>35</v>
      </c>
      <c r="J55" s="5">
        <v>45704.19225384976</v>
      </c>
      <c r="K55" s="9">
        <v>170.08333333333334</v>
      </c>
      <c r="L55" s="6">
        <v>594</v>
      </c>
      <c r="M55" s="5">
        <v>6301.3513765748939</v>
      </c>
      <c r="N55" s="9">
        <v>21.5</v>
      </c>
      <c r="O55" s="6">
        <v>89</v>
      </c>
      <c r="P55" s="5">
        <v>12912.465999999993</v>
      </c>
      <c r="Q55" s="11">
        <v>6</v>
      </c>
      <c r="R55">
        <v>22.7</v>
      </c>
      <c r="S55">
        <v>71.5</v>
      </c>
      <c r="T55">
        <v>30</v>
      </c>
      <c r="U55">
        <v>21</v>
      </c>
      <c r="V55">
        <v>6712.3</v>
      </c>
      <c r="W55">
        <v>5458.4</v>
      </c>
      <c r="X55">
        <v>81.3</v>
      </c>
      <c r="Y55">
        <v>64.900000000000006</v>
      </c>
    </row>
    <row r="56" spans="1:25" x14ac:dyDescent="0.2">
      <c r="A56" s="3">
        <v>39630</v>
      </c>
      <c r="B56" s="4">
        <v>5575918.7000000002</v>
      </c>
      <c r="C56" s="5">
        <v>1308172</v>
      </c>
      <c r="D56" s="11">
        <v>3100</v>
      </c>
      <c r="E56" s="7">
        <v>862364.6</v>
      </c>
      <c r="F56" s="11">
        <v>402</v>
      </c>
      <c r="G56" s="5">
        <v>821804.52869808779</v>
      </c>
      <c r="H56" s="8">
        <v>9584.4993733848787</v>
      </c>
      <c r="I56" s="6">
        <v>35</v>
      </c>
      <c r="J56" s="5">
        <v>30142.726551563246</v>
      </c>
      <c r="K56" s="9">
        <v>170.08333333333334</v>
      </c>
      <c r="L56" s="6">
        <v>594</v>
      </c>
      <c r="M56" s="5">
        <v>5766.5277648156771</v>
      </c>
      <c r="N56" s="9">
        <v>21.5</v>
      </c>
      <c r="O56" s="6">
        <v>89</v>
      </c>
      <c r="P56" s="5">
        <v>17834.85500000001</v>
      </c>
      <c r="Q56" s="11">
        <v>6</v>
      </c>
      <c r="R56">
        <v>1</v>
      </c>
      <c r="S56">
        <v>111</v>
      </c>
      <c r="T56">
        <v>31</v>
      </c>
      <c r="U56">
        <v>22</v>
      </c>
      <c r="V56">
        <v>6755.7</v>
      </c>
      <c r="W56">
        <v>5533.6</v>
      </c>
      <c r="X56">
        <v>82.3</v>
      </c>
      <c r="Y56">
        <v>66.599999999999994</v>
      </c>
    </row>
    <row r="57" spans="1:25" x14ac:dyDescent="0.2">
      <c r="A57" s="3">
        <v>39661</v>
      </c>
      <c r="B57" s="4">
        <v>5392716.9000000004</v>
      </c>
      <c r="C57" s="5">
        <v>2143209</v>
      </c>
      <c r="D57" s="11">
        <v>3100</v>
      </c>
      <c r="E57" s="7">
        <v>1103021</v>
      </c>
      <c r="F57" s="11">
        <v>402</v>
      </c>
      <c r="G57" s="5">
        <v>1413727.9398040134</v>
      </c>
      <c r="H57" s="8">
        <v>3467.0921541761963</v>
      </c>
      <c r="I57" s="6">
        <v>35</v>
      </c>
      <c r="J57" s="5">
        <v>44298</v>
      </c>
      <c r="K57" s="9">
        <v>170.08333333333334</v>
      </c>
      <c r="L57" s="6">
        <v>594</v>
      </c>
      <c r="M57" s="5">
        <v>4692.5520298646734</v>
      </c>
      <c r="N57" s="9">
        <v>21.5</v>
      </c>
      <c r="O57" s="6">
        <v>89</v>
      </c>
      <c r="P57" s="5">
        <v>7803.1229999999923</v>
      </c>
      <c r="Q57" s="11">
        <v>6</v>
      </c>
      <c r="R57">
        <v>12.7</v>
      </c>
      <c r="S57">
        <v>64</v>
      </c>
      <c r="T57">
        <v>31</v>
      </c>
      <c r="U57">
        <v>20</v>
      </c>
      <c r="V57">
        <v>6761.2</v>
      </c>
      <c r="W57">
        <v>5592.4</v>
      </c>
      <c r="X57">
        <v>83</v>
      </c>
      <c r="Y57">
        <v>68.5</v>
      </c>
    </row>
    <row r="58" spans="1:25" x14ac:dyDescent="0.2">
      <c r="A58" s="3">
        <v>39692</v>
      </c>
      <c r="B58" s="4">
        <v>4902008</v>
      </c>
      <c r="C58" s="5">
        <v>1982066</v>
      </c>
      <c r="D58" s="11">
        <v>3100</v>
      </c>
      <c r="E58" s="7">
        <v>1153071.6000000001</v>
      </c>
      <c r="F58" s="11">
        <v>402</v>
      </c>
      <c r="G58" s="5">
        <v>1456798.1185254315</v>
      </c>
      <c r="H58" s="8">
        <v>4609.8312834795261</v>
      </c>
      <c r="I58" s="6">
        <v>35</v>
      </c>
      <c r="J58" s="5">
        <v>39499.521698553464</v>
      </c>
      <c r="K58" s="9">
        <v>170.08333333333334</v>
      </c>
      <c r="L58" s="6">
        <v>594</v>
      </c>
      <c r="M58" s="5">
        <v>6056.8642090527283</v>
      </c>
      <c r="N58" s="9">
        <v>21.5</v>
      </c>
      <c r="O58" s="6">
        <v>89</v>
      </c>
      <c r="P58" s="5">
        <v>12633.741999999998</v>
      </c>
      <c r="Q58" s="11">
        <v>6</v>
      </c>
      <c r="R58">
        <v>59</v>
      </c>
      <c r="S58">
        <v>26.7</v>
      </c>
      <c r="T58">
        <v>30</v>
      </c>
      <c r="U58">
        <v>21</v>
      </c>
      <c r="V58">
        <v>6735.2</v>
      </c>
      <c r="W58">
        <v>5556.1</v>
      </c>
      <c r="X58">
        <v>82</v>
      </c>
      <c r="Y58">
        <v>67.400000000000006</v>
      </c>
    </row>
    <row r="59" spans="1:25" x14ac:dyDescent="0.2">
      <c r="A59" s="3">
        <v>39722</v>
      </c>
      <c r="B59" s="4">
        <v>5166127.7</v>
      </c>
      <c r="C59" s="5">
        <v>2191233</v>
      </c>
      <c r="D59" s="11">
        <v>3100</v>
      </c>
      <c r="E59" s="7">
        <v>1168259.3999999999</v>
      </c>
      <c r="F59" s="11">
        <v>402</v>
      </c>
      <c r="G59" s="5">
        <v>1965695.4988334114</v>
      </c>
      <c r="H59" s="8">
        <v>5086.6524166017771</v>
      </c>
      <c r="I59" s="6">
        <v>35</v>
      </c>
      <c r="J59" s="5">
        <v>57247.19225384976</v>
      </c>
      <c r="K59" s="9">
        <v>170.08333333333334</v>
      </c>
      <c r="L59" s="6">
        <v>594</v>
      </c>
      <c r="M59" s="5">
        <v>6634.1661222585171</v>
      </c>
      <c r="N59" s="9">
        <v>21.5</v>
      </c>
      <c r="O59" s="6">
        <v>89</v>
      </c>
      <c r="P59" s="5">
        <v>15422.686000000002</v>
      </c>
      <c r="Q59" s="11">
        <v>6</v>
      </c>
      <c r="R59">
        <v>278.60000000000002</v>
      </c>
      <c r="S59">
        <v>0</v>
      </c>
      <c r="T59">
        <v>31</v>
      </c>
      <c r="U59">
        <v>22</v>
      </c>
      <c r="V59">
        <v>6734.5</v>
      </c>
      <c r="W59">
        <v>5512.3</v>
      </c>
      <c r="X59">
        <v>81</v>
      </c>
      <c r="Y59">
        <v>66</v>
      </c>
    </row>
    <row r="60" spans="1:25" x14ac:dyDescent="0.2">
      <c r="A60" s="3">
        <v>39753</v>
      </c>
      <c r="B60" s="4">
        <v>5473304.5</v>
      </c>
      <c r="C60" s="5">
        <v>2005967</v>
      </c>
      <c r="D60" s="11">
        <v>3100</v>
      </c>
      <c r="E60" s="7">
        <v>774342.19999999925</v>
      </c>
      <c r="F60" s="11">
        <v>402</v>
      </c>
      <c r="G60" s="5">
        <v>1374082.8198786753</v>
      </c>
      <c r="H60" s="8">
        <v>4530.5437601942103</v>
      </c>
      <c r="I60" s="6">
        <v>35</v>
      </c>
      <c r="J60" s="5">
        <v>45128.456836210913</v>
      </c>
      <c r="K60" s="9">
        <v>170.08333333333334</v>
      </c>
      <c r="L60" s="6">
        <v>594</v>
      </c>
      <c r="M60" s="5">
        <v>5477.6332244517107</v>
      </c>
      <c r="N60" s="9">
        <v>21.5</v>
      </c>
      <c r="O60" s="6">
        <v>89</v>
      </c>
      <c r="P60" s="5">
        <v>12833.118000000017</v>
      </c>
      <c r="Q60" s="11">
        <v>6</v>
      </c>
      <c r="R60">
        <v>451.6</v>
      </c>
      <c r="S60">
        <v>0</v>
      </c>
      <c r="T60">
        <v>30</v>
      </c>
      <c r="U60">
        <v>20</v>
      </c>
      <c r="V60">
        <v>6693.5</v>
      </c>
      <c r="W60">
        <v>5407.2</v>
      </c>
      <c r="X60">
        <v>80.3</v>
      </c>
      <c r="Y60">
        <v>63.8</v>
      </c>
    </row>
    <row r="61" spans="1:25" x14ac:dyDescent="0.2">
      <c r="A61" s="3">
        <v>39783</v>
      </c>
      <c r="B61" s="4">
        <v>6773184.7000000002</v>
      </c>
      <c r="C61" s="5">
        <v>3465159</v>
      </c>
      <c r="D61" s="11">
        <v>3100</v>
      </c>
      <c r="E61" s="7">
        <v>1266699</v>
      </c>
      <c r="F61" s="11">
        <v>402</v>
      </c>
      <c r="G61" s="5">
        <v>1902293.5440970594</v>
      </c>
      <c r="H61" s="8">
        <v>4738.9975068701197</v>
      </c>
      <c r="I61" s="6">
        <v>34</v>
      </c>
      <c r="J61" s="5">
        <v>58707.503966402262</v>
      </c>
      <c r="K61" s="9">
        <v>170.08333333333334</v>
      </c>
      <c r="L61" s="6">
        <v>594</v>
      </c>
      <c r="M61" s="5">
        <v>7151.1969202053151</v>
      </c>
      <c r="N61" s="9">
        <v>21.5</v>
      </c>
      <c r="O61" s="6">
        <v>89</v>
      </c>
      <c r="P61" s="5">
        <v>16059.658999999985</v>
      </c>
      <c r="Q61" s="11">
        <v>6</v>
      </c>
      <c r="R61">
        <v>654.6</v>
      </c>
      <c r="S61">
        <v>0</v>
      </c>
      <c r="T61">
        <v>31</v>
      </c>
      <c r="U61">
        <v>21</v>
      </c>
      <c r="V61">
        <v>6670.1</v>
      </c>
      <c r="W61">
        <v>5368</v>
      </c>
      <c r="X61">
        <v>80.7</v>
      </c>
      <c r="Y61">
        <v>64</v>
      </c>
    </row>
    <row r="62" spans="1:25" x14ac:dyDescent="0.2">
      <c r="A62" s="3">
        <v>39814</v>
      </c>
      <c r="B62" s="4">
        <v>7128341.7000000002</v>
      </c>
      <c r="C62" s="5">
        <v>3905580</v>
      </c>
      <c r="D62" s="11">
        <v>3104</v>
      </c>
      <c r="E62" s="7">
        <v>1136361</v>
      </c>
      <c r="F62" s="11">
        <v>398</v>
      </c>
      <c r="G62" s="5">
        <v>1207059.2879141392</v>
      </c>
      <c r="H62" s="8">
        <v>4360.548205851047</v>
      </c>
      <c r="I62" s="6">
        <v>34</v>
      </c>
      <c r="J62" s="5">
        <v>25765.036397573494</v>
      </c>
      <c r="K62" s="9">
        <v>140</v>
      </c>
      <c r="L62" s="6">
        <v>621</v>
      </c>
      <c r="M62" s="5">
        <v>5217.1591227251529</v>
      </c>
      <c r="N62" s="9">
        <v>19.333333333333332</v>
      </c>
      <c r="O62" s="6">
        <v>89</v>
      </c>
      <c r="P62" s="5">
        <v>15200.972000000002</v>
      </c>
      <c r="Q62" s="11">
        <v>6</v>
      </c>
      <c r="R62">
        <v>830.2</v>
      </c>
      <c r="S62">
        <v>0</v>
      </c>
      <c r="T62">
        <v>31</v>
      </c>
      <c r="U62">
        <v>21</v>
      </c>
      <c r="V62">
        <v>6572.3</v>
      </c>
      <c r="W62">
        <v>5275.1</v>
      </c>
      <c r="X62">
        <v>79.900000000000006</v>
      </c>
      <c r="Y62">
        <v>62.8</v>
      </c>
    </row>
    <row r="63" spans="1:25" x14ac:dyDescent="0.2">
      <c r="A63" s="3">
        <v>39845</v>
      </c>
      <c r="B63" s="4">
        <v>5948052.9000000004</v>
      </c>
      <c r="C63" s="5">
        <v>2672345</v>
      </c>
      <c r="D63" s="11">
        <v>3104</v>
      </c>
      <c r="E63" s="7">
        <v>845269.4</v>
      </c>
      <c r="F63" s="11">
        <v>398</v>
      </c>
      <c r="G63" s="5">
        <v>1040833.1987867478</v>
      </c>
      <c r="H63" s="8">
        <v>4386.6674590734528</v>
      </c>
      <c r="I63" s="6">
        <v>34</v>
      </c>
      <c r="J63" s="5">
        <v>27445</v>
      </c>
      <c r="K63" s="9">
        <v>140</v>
      </c>
      <c r="L63" s="6">
        <v>621</v>
      </c>
      <c r="M63" s="5">
        <v>4560.3957069528697</v>
      </c>
      <c r="N63" s="9">
        <v>19.333333333333332</v>
      </c>
      <c r="O63" s="6">
        <v>89</v>
      </c>
      <c r="P63" s="5">
        <v>5498.0969999999998</v>
      </c>
      <c r="Q63" s="11">
        <v>6</v>
      </c>
      <c r="R63">
        <v>606.4</v>
      </c>
      <c r="S63">
        <v>0</v>
      </c>
      <c r="T63">
        <v>28</v>
      </c>
      <c r="U63">
        <v>19</v>
      </c>
      <c r="V63">
        <v>6499.2</v>
      </c>
      <c r="W63">
        <v>5201</v>
      </c>
      <c r="X63">
        <v>79.3</v>
      </c>
      <c r="Y63">
        <v>62.1</v>
      </c>
    </row>
    <row r="64" spans="1:25" x14ac:dyDescent="0.2">
      <c r="A64" s="3">
        <v>39873</v>
      </c>
      <c r="B64" s="4">
        <v>5963608.9000000004</v>
      </c>
      <c r="C64" s="5">
        <v>3812850</v>
      </c>
      <c r="D64" s="11">
        <v>3104</v>
      </c>
      <c r="E64" s="7">
        <v>1573167.8</v>
      </c>
      <c r="F64" s="11">
        <v>398</v>
      </c>
      <c r="G64" s="5">
        <v>1881061.4395706952</v>
      </c>
      <c r="H64" s="8">
        <v>4726.6575730373288</v>
      </c>
      <c r="I64" s="6">
        <v>34</v>
      </c>
      <c r="J64" s="5">
        <v>56980.499300046671</v>
      </c>
      <c r="K64" s="9">
        <v>140</v>
      </c>
      <c r="L64" s="6">
        <v>621</v>
      </c>
      <c r="M64" s="5">
        <v>6958.5412972468512</v>
      </c>
      <c r="N64" s="9">
        <v>19.333333333333332</v>
      </c>
      <c r="O64" s="6">
        <v>89</v>
      </c>
      <c r="P64" s="5">
        <v>19885.058999999997</v>
      </c>
      <c r="Q64" s="11">
        <v>6</v>
      </c>
      <c r="R64">
        <v>533.79999999999995</v>
      </c>
      <c r="S64">
        <v>0</v>
      </c>
      <c r="T64">
        <v>31</v>
      </c>
      <c r="U64">
        <v>22</v>
      </c>
      <c r="V64">
        <v>6425.4</v>
      </c>
      <c r="W64">
        <v>5125</v>
      </c>
      <c r="X64">
        <v>78.3</v>
      </c>
      <c r="Y64">
        <v>61.1</v>
      </c>
    </row>
    <row r="65" spans="1:25" x14ac:dyDescent="0.2">
      <c r="A65" s="3">
        <v>39904</v>
      </c>
      <c r="B65" s="4">
        <v>5072760.8</v>
      </c>
      <c r="C65" s="5">
        <v>1856872</v>
      </c>
      <c r="D65" s="11">
        <v>3104</v>
      </c>
      <c r="E65" s="7">
        <v>771595.2</v>
      </c>
      <c r="F65" s="11">
        <v>398</v>
      </c>
      <c r="G65" s="5">
        <v>1252617.0256649556</v>
      </c>
      <c r="H65" s="8">
        <v>3689.9043805023794</v>
      </c>
      <c r="I65" s="6">
        <v>34</v>
      </c>
      <c r="J65" s="5">
        <v>36230</v>
      </c>
      <c r="K65" s="9">
        <v>140</v>
      </c>
      <c r="L65" s="6">
        <v>621</v>
      </c>
      <c r="M65" s="5">
        <v>4485.2351843210454</v>
      </c>
      <c r="N65" s="9">
        <v>19.333333333333332</v>
      </c>
      <c r="O65" s="6">
        <v>89</v>
      </c>
      <c r="P65" s="5">
        <v>6401.1610000000001</v>
      </c>
      <c r="Q65" s="11">
        <v>6</v>
      </c>
      <c r="R65">
        <v>305.8</v>
      </c>
      <c r="S65">
        <v>1.2</v>
      </c>
      <c r="T65">
        <v>30</v>
      </c>
      <c r="U65">
        <v>20</v>
      </c>
      <c r="V65">
        <v>6423.1</v>
      </c>
      <c r="W65">
        <v>5119.3999999999996</v>
      </c>
      <c r="X65">
        <v>77.7</v>
      </c>
      <c r="Y65">
        <v>60.9</v>
      </c>
    </row>
    <row r="66" spans="1:25" x14ac:dyDescent="0.2">
      <c r="A66" s="3">
        <v>39934</v>
      </c>
      <c r="B66" s="4">
        <v>4637306.2</v>
      </c>
      <c r="C66" s="5">
        <v>2036769</v>
      </c>
      <c r="D66" s="11">
        <v>3104</v>
      </c>
      <c r="E66" s="7">
        <v>938576.39999999944</v>
      </c>
      <c r="F66" s="11">
        <v>398</v>
      </c>
      <c r="G66" s="5">
        <v>1397862.4395706952</v>
      </c>
      <c r="H66" s="8">
        <v>6102.8860130648527</v>
      </c>
      <c r="I66" s="6">
        <v>34</v>
      </c>
      <c r="J66" s="5">
        <v>51542.541763882415</v>
      </c>
      <c r="K66" s="9">
        <v>140</v>
      </c>
      <c r="L66" s="6">
        <v>621</v>
      </c>
      <c r="M66" s="5">
        <v>6838.6117592160517</v>
      </c>
      <c r="N66" s="9">
        <v>19.333333333333332</v>
      </c>
      <c r="O66" s="6">
        <v>89</v>
      </c>
      <c r="P66" s="5">
        <v>13958.037000000004</v>
      </c>
      <c r="Q66" s="11">
        <v>6</v>
      </c>
      <c r="R66">
        <v>158.80000000000001</v>
      </c>
      <c r="S66">
        <v>6.9</v>
      </c>
      <c r="T66">
        <v>31</v>
      </c>
      <c r="U66">
        <v>20</v>
      </c>
      <c r="V66">
        <v>6447.5</v>
      </c>
      <c r="W66">
        <v>5157.3</v>
      </c>
      <c r="X66">
        <v>77.599999999999994</v>
      </c>
      <c r="Y66">
        <v>62</v>
      </c>
    </row>
    <row r="67" spans="1:25" x14ac:dyDescent="0.2">
      <c r="A67" s="3">
        <v>39965</v>
      </c>
      <c r="B67" s="4">
        <v>4684779</v>
      </c>
      <c r="C67" s="5">
        <v>1563853</v>
      </c>
      <c r="D67" s="11">
        <v>3104</v>
      </c>
      <c r="E67" s="7">
        <v>946517</v>
      </c>
      <c r="F67" s="11">
        <v>398</v>
      </c>
      <c r="G67" s="5">
        <v>1478614.0643957071</v>
      </c>
      <c r="H67" s="8">
        <v>3873.8660339982216</v>
      </c>
      <c r="I67" s="6">
        <v>34</v>
      </c>
      <c r="J67" s="5">
        <v>49338.744750349986</v>
      </c>
      <c r="K67" s="9">
        <v>140</v>
      </c>
      <c r="L67" s="6">
        <v>621</v>
      </c>
      <c r="M67" s="5">
        <v>6481.2585160989256</v>
      </c>
      <c r="N67" s="9">
        <v>19.333333333333332</v>
      </c>
      <c r="O67" s="6">
        <v>89</v>
      </c>
      <c r="P67" s="5">
        <v>19460.27</v>
      </c>
      <c r="Q67" s="11">
        <v>6</v>
      </c>
      <c r="R67">
        <v>49.3</v>
      </c>
      <c r="S67">
        <v>34.200000000000003</v>
      </c>
      <c r="T67">
        <v>30</v>
      </c>
      <c r="U67">
        <v>22</v>
      </c>
      <c r="V67">
        <v>6497.3</v>
      </c>
      <c r="W67">
        <v>5215.6000000000004</v>
      </c>
      <c r="X67">
        <v>78.099999999999994</v>
      </c>
      <c r="Y67">
        <v>63.2</v>
      </c>
    </row>
    <row r="68" spans="1:25" x14ac:dyDescent="0.2">
      <c r="A68" s="3">
        <v>39995</v>
      </c>
      <c r="B68" s="4">
        <v>5080504</v>
      </c>
      <c r="C68" s="5">
        <v>2035804</v>
      </c>
      <c r="D68" s="11">
        <v>3104</v>
      </c>
      <c r="E68" s="7">
        <v>1179853</v>
      </c>
      <c r="F68" s="11">
        <v>398</v>
      </c>
      <c r="G68" s="5">
        <v>1550467.3219785346</v>
      </c>
      <c r="H68" s="8">
        <v>4848.6875932052926</v>
      </c>
      <c r="I68" s="6">
        <v>34</v>
      </c>
      <c r="J68" s="5">
        <v>50071.932804479729</v>
      </c>
      <c r="K68" s="9">
        <v>140</v>
      </c>
      <c r="L68" s="6">
        <v>621</v>
      </c>
      <c r="M68" s="5">
        <v>5977.2440503966427</v>
      </c>
      <c r="N68" s="9">
        <v>19.333333333333332</v>
      </c>
      <c r="O68" s="6">
        <v>89</v>
      </c>
      <c r="P68" s="5">
        <v>13423.756999999998</v>
      </c>
      <c r="Q68" s="11">
        <v>6</v>
      </c>
      <c r="R68">
        <v>6.2</v>
      </c>
      <c r="S68">
        <v>43.7</v>
      </c>
      <c r="T68">
        <v>31</v>
      </c>
      <c r="U68">
        <v>22</v>
      </c>
      <c r="V68">
        <v>6534.5</v>
      </c>
      <c r="W68">
        <v>5294</v>
      </c>
      <c r="X68">
        <v>79</v>
      </c>
      <c r="Y68">
        <v>64.5</v>
      </c>
    </row>
    <row r="69" spans="1:25" x14ac:dyDescent="0.2">
      <c r="A69" s="3">
        <v>40026</v>
      </c>
      <c r="B69" s="4">
        <v>5524918.2000000002</v>
      </c>
      <c r="C69" s="5">
        <v>2253266</v>
      </c>
      <c r="D69" s="11">
        <v>3104</v>
      </c>
      <c r="E69" s="7">
        <v>1203217</v>
      </c>
      <c r="F69" s="11">
        <v>398</v>
      </c>
      <c r="G69" s="5">
        <v>1490095.314045731</v>
      </c>
      <c r="H69" s="8">
        <v>4306.3902501247103</v>
      </c>
      <c r="I69" s="6">
        <v>34</v>
      </c>
      <c r="J69" s="5">
        <v>56943</v>
      </c>
      <c r="K69" s="9">
        <v>140</v>
      </c>
      <c r="L69" s="6">
        <v>621</v>
      </c>
      <c r="M69" s="5">
        <v>6066.9155389640728</v>
      </c>
      <c r="N69" s="9">
        <v>19.333333333333332</v>
      </c>
      <c r="O69" s="6">
        <v>89</v>
      </c>
      <c r="P69" s="5">
        <v>9623.4360000000015</v>
      </c>
      <c r="Q69" s="11">
        <v>6</v>
      </c>
      <c r="R69">
        <v>9.8000000000000007</v>
      </c>
      <c r="S69">
        <v>91</v>
      </c>
      <c r="T69">
        <v>31</v>
      </c>
      <c r="U69">
        <v>20</v>
      </c>
      <c r="V69">
        <v>6559.1</v>
      </c>
      <c r="W69">
        <v>5345.8</v>
      </c>
      <c r="X69">
        <v>79.8</v>
      </c>
      <c r="Y69">
        <v>65.2</v>
      </c>
    </row>
    <row r="70" spans="1:25" x14ac:dyDescent="0.2">
      <c r="A70" s="3">
        <v>40057</v>
      </c>
      <c r="B70" s="4">
        <v>4625220</v>
      </c>
      <c r="C70" s="5">
        <v>1794938</v>
      </c>
      <c r="D70" s="11">
        <v>3104</v>
      </c>
      <c r="E70" s="7">
        <v>874179</v>
      </c>
      <c r="F70" s="11">
        <v>398</v>
      </c>
      <c r="G70" s="5">
        <v>1079018.6220251974</v>
      </c>
      <c r="H70" s="8">
        <v>4976.7320029878019</v>
      </c>
      <c r="I70" s="6">
        <v>34</v>
      </c>
      <c r="J70" s="5">
        <v>24147.842743817077</v>
      </c>
      <c r="K70" s="9">
        <v>140</v>
      </c>
      <c r="L70" s="6">
        <v>621</v>
      </c>
      <c r="M70" s="5">
        <v>4362.209986000933</v>
      </c>
      <c r="N70" s="9">
        <v>19.333333333333332</v>
      </c>
      <c r="O70" s="6">
        <v>89</v>
      </c>
      <c r="P70" s="5">
        <v>9960.676999999996</v>
      </c>
      <c r="Q70" s="11">
        <v>6</v>
      </c>
      <c r="R70">
        <v>55.2</v>
      </c>
      <c r="S70">
        <v>20.9</v>
      </c>
      <c r="T70">
        <v>30</v>
      </c>
      <c r="U70">
        <v>21</v>
      </c>
      <c r="V70">
        <v>6543.1</v>
      </c>
      <c r="W70">
        <v>5347.8</v>
      </c>
      <c r="X70">
        <v>80.5</v>
      </c>
      <c r="Y70">
        <v>64.7</v>
      </c>
    </row>
    <row r="71" spans="1:25" x14ac:dyDescent="0.2">
      <c r="A71" s="3">
        <v>40087</v>
      </c>
      <c r="B71" s="4">
        <v>5182195.4000000004</v>
      </c>
      <c r="C71" s="5">
        <v>2367590</v>
      </c>
      <c r="D71" s="11">
        <v>3104</v>
      </c>
      <c r="E71" s="7">
        <v>1379210</v>
      </c>
      <c r="F71" s="11">
        <v>398</v>
      </c>
      <c r="G71" s="5">
        <v>2100361.5244983672</v>
      </c>
      <c r="H71" s="8">
        <v>4885.6445749543154</v>
      </c>
      <c r="I71" s="6">
        <v>34</v>
      </c>
      <c r="J71" s="5">
        <v>70373.773215119028</v>
      </c>
      <c r="K71" s="9">
        <v>140</v>
      </c>
      <c r="L71" s="6">
        <v>621</v>
      </c>
      <c r="M71" s="5">
        <v>7355.1455902939779</v>
      </c>
      <c r="N71" s="9">
        <v>19.333333333333332</v>
      </c>
      <c r="O71" s="6">
        <v>89</v>
      </c>
      <c r="P71" s="5">
        <v>17113.014999999999</v>
      </c>
      <c r="Q71" s="11">
        <v>6</v>
      </c>
      <c r="R71">
        <v>287.8</v>
      </c>
      <c r="S71">
        <v>0</v>
      </c>
      <c r="T71">
        <v>31</v>
      </c>
      <c r="U71">
        <v>21</v>
      </c>
      <c r="V71">
        <v>6545.5</v>
      </c>
      <c r="W71">
        <v>5314.9</v>
      </c>
      <c r="X71">
        <v>81.5</v>
      </c>
      <c r="Y71">
        <v>64.099999999999994</v>
      </c>
    </row>
    <row r="72" spans="1:25" x14ac:dyDescent="0.2">
      <c r="A72" s="3">
        <v>40118</v>
      </c>
      <c r="B72" s="4">
        <v>5086081.9000000004</v>
      </c>
      <c r="C72" s="5">
        <v>1965117</v>
      </c>
      <c r="D72" s="11">
        <v>3104</v>
      </c>
      <c r="E72" s="7">
        <v>589585</v>
      </c>
      <c r="F72" s="11">
        <v>398</v>
      </c>
      <c r="G72" s="5">
        <v>1246383.1894540358</v>
      </c>
      <c r="H72" s="8">
        <v>4254.4367728990019</v>
      </c>
      <c r="I72" s="6">
        <v>34</v>
      </c>
      <c r="J72" s="5">
        <v>35735.24311712553</v>
      </c>
      <c r="K72" s="9">
        <v>140</v>
      </c>
      <c r="L72" s="6">
        <v>621</v>
      </c>
      <c r="M72" s="5">
        <v>5094.6686887540855</v>
      </c>
      <c r="N72" s="9">
        <v>19.333333333333332</v>
      </c>
      <c r="O72" s="6">
        <v>89</v>
      </c>
      <c r="P72" s="5">
        <v>11015.122000000003</v>
      </c>
      <c r="Q72" s="11">
        <v>6</v>
      </c>
      <c r="R72">
        <v>361.2</v>
      </c>
      <c r="S72">
        <v>0</v>
      </c>
      <c r="T72">
        <v>30</v>
      </c>
      <c r="U72">
        <v>21</v>
      </c>
      <c r="V72">
        <v>6539.6</v>
      </c>
      <c r="W72">
        <v>5267.8</v>
      </c>
      <c r="X72">
        <v>81.7</v>
      </c>
      <c r="Y72">
        <v>62.3</v>
      </c>
    </row>
    <row r="73" spans="1:25" x14ac:dyDescent="0.2">
      <c r="A73" s="3">
        <v>40148</v>
      </c>
      <c r="B73" s="4">
        <v>6499536.4000000004</v>
      </c>
      <c r="C73" s="5">
        <v>3321452</v>
      </c>
      <c r="D73" s="11">
        <v>3104</v>
      </c>
      <c r="E73" s="7">
        <v>1187012</v>
      </c>
      <c r="F73" s="11">
        <v>398</v>
      </c>
      <c r="G73" s="5">
        <v>2045716.5842277189</v>
      </c>
      <c r="H73" s="8">
        <v>4179.5791403015965</v>
      </c>
      <c r="I73" s="6">
        <v>34</v>
      </c>
      <c r="J73" s="5">
        <v>70159.367242183886</v>
      </c>
      <c r="K73" s="9">
        <v>140</v>
      </c>
      <c r="L73" s="6">
        <v>621</v>
      </c>
      <c r="M73" s="5">
        <v>7226.6360242650553</v>
      </c>
      <c r="N73" s="9">
        <v>19.333333333333332</v>
      </c>
      <c r="O73" s="6">
        <v>89</v>
      </c>
      <c r="P73" s="5">
        <v>17778.32699999999</v>
      </c>
      <c r="Q73" s="11">
        <v>6</v>
      </c>
      <c r="R73">
        <v>631.29999999999995</v>
      </c>
      <c r="S73">
        <v>0</v>
      </c>
      <c r="T73">
        <v>31</v>
      </c>
      <c r="U73">
        <v>21</v>
      </c>
      <c r="V73">
        <v>6542.2</v>
      </c>
      <c r="W73">
        <v>5254.5</v>
      </c>
      <c r="X73">
        <v>81.900000000000006</v>
      </c>
      <c r="Y73">
        <v>61.3</v>
      </c>
    </row>
    <row r="74" spans="1:25" x14ac:dyDescent="0.2">
      <c r="A74" s="3">
        <v>40179</v>
      </c>
      <c r="B74" s="4">
        <v>6720931.7000000002</v>
      </c>
      <c r="C74" s="5">
        <v>3235264</v>
      </c>
      <c r="D74" s="9">
        <v>3100</v>
      </c>
      <c r="E74" s="7">
        <v>831472</v>
      </c>
      <c r="F74" s="9">
        <v>394</v>
      </c>
      <c r="G74" s="5">
        <v>1126050.0541297249</v>
      </c>
      <c r="H74" s="8">
        <v>4265.5942235770026</v>
      </c>
      <c r="I74" s="12">
        <v>28</v>
      </c>
      <c r="J74" s="5">
        <v>41607.632757816144</v>
      </c>
      <c r="K74" s="9">
        <v>145.75</v>
      </c>
      <c r="L74" s="9">
        <v>622</v>
      </c>
      <c r="M74" s="5">
        <v>4875.5632291180591</v>
      </c>
      <c r="N74" s="9">
        <v>20</v>
      </c>
      <c r="O74" s="12">
        <v>58</v>
      </c>
      <c r="P74" s="5">
        <v>546.16199999999981</v>
      </c>
      <c r="Q74" s="9">
        <v>6</v>
      </c>
      <c r="R74">
        <v>720</v>
      </c>
      <c r="S74">
        <v>0</v>
      </c>
      <c r="T74">
        <v>31</v>
      </c>
      <c r="U74">
        <v>20</v>
      </c>
      <c r="V74">
        <v>6502.5</v>
      </c>
      <c r="W74">
        <v>5212.8</v>
      </c>
      <c r="X74">
        <v>80.5</v>
      </c>
      <c r="Y74">
        <v>59.9</v>
      </c>
    </row>
    <row r="75" spans="1:25" x14ac:dyDescent="0.2">
      <c r="A75" s="3">
        <v>40210</v>
      </c>
      <c r="B75" s="4">
        <v>5851061</v>
      </c>
      <c r="C75" s="5">
        <v>2878406</v>
      </c>
      <c r="D75" s="9">
        <v>3100</v>
      </c>
      <c r="E75" s="7">
        <v>1025814</v>
      </c>
      <c r="F75" s="9">
        <v>394</v>
      </c>
      <c r="G75" s="5">
        <v>1444389.6915538965</v>
      </c>
      <c r="H75" s="8">
        <v>4406.6403381879509</v>
      </c>
      <c r="I75" s="12">
        <v>28</v>
      </c>
      <c r="J75" s="5">
        <v>9512</v>
      </c>
      <c r="K75" s="9">
        <v>145.75</v>
      </c>
      <c r="L75" s="9">
        <v>622</v>
      </c>
      <c r="M75" s="5">
        <v>4589.0433971068596</v>
      </c>
      <c r="N75" s="9">
        <v>20</v>
      </c>
      <c r="O75" s="12">
        <v>58</v>
      </c>
      <c r="P75" s="5">
        <v>5791.1260000000002</v>
      </c>
      <c r="Q75" s="9">
        <v>6</v>
      </c>
      <c r="R75">
        <v>598.29999999999995</v>
      </c>
      <c r="S75">
        <v>0</v>
      </c>
      <c r="T75">
        <v>28</v>
      </c>
      <c r="U75">
        <v>19</v>
      </c>
      <c r="V75">
        <v>6470.2</v>
      </c>
      <c r="W75">
        <v>5186</v>
      </c>
      <c r="X75">
        <v>78.2</v>
      </c>
      <c r="Y75">
        <v>58.3</v>
      </c>
    </row>
    <row r="76" spans="1:25" x14ac:dyDescent="0.2">
      <c r="A76" s="3">
        <v>40238</v>
      </c>
      <c r="B76" s="4">
        <v>5596342.0999999996</v>
      </c>
      <c r="C76" s="5">
        <v>2995656</v>
      </c>
      <c r="D76" s="9">
        <v>3100</v>
      </c>
      <c r="E76" s="7">
        <v>1151028</v>
      </c>
      <c r="F76" s="9">
        <v>394</v>
      </c>
      <c r="G76" s="5">
        <v>1643112.816612226</v>
      </c>
      <c r="H76" s="8">
        <v>5308.8516747349558</v>
      </c>
      <c r="I76" s="12">
        <v>28</v>
      </c>
      <c r="J76" s="5">
        <v>-158986.97853476435</v>
      </c>
      <c r="K76" s="9">
        <v>145.75</v>
      </c>
      <c r="L76" s="9">
        <v>622</v>
      </c>
      <c r="M76" s="5">
        <v>5869.414839010733</v>
      </c>
      <c r="N76" s="9">
        <v>20</v>
      </c>
      <c r="O76" s="12">
        <v>58</v>
      </c>
      <c r="P76" s="5">
        <v>33003.773000000001</v>
      </c>
      <c r="Q76" s="9">
        <v>6</v>
      </c>
      <c r="R76">
        <v>422.8</v>
      </c>
      <c r="S76">
        <v>0</v>
      </c>
      <c r="T76">
        <v>31</v>
      </c>
      <c r="U76">
        <v>23</v>
      </c>
      <c r="V76">
        <v>6448.9</v>
      </c>
      <c r="W76">
        <v>5159.6000000000004</v>
      </c>
      <c r="X76">
        <v>76.8</v>
      </c>
      <c r="Y76">
        <v>57.6</v>
      </c>
    </row>
    <row r="77" spans="1:25" x14ac:dyDescent="0.2">
      <c r="A77" s="3">
        <v>40269</v>
      </c>
      <c r="B77" s="4">
        <v>4569225.5999999996</v>
      </c>
      <c r="C77" s="5">
        <v>1986063</v>
      </c>
      <c r="D77" s="9">
        <v>3100</v>
      </c>
      <c r="E77" s="7">
        <v>981094</v>
      </c>
      <c r="F77" s="9">
        <v>394</v>
      </c>
      <c r="G77" s="5">
        <v>1496692.0415305649</v>
      </c>
      <c r="H77" s="8">
        <v>3152.1122132398127</v>
      </c>
      <c r="I77" s="12">
        <v>28</v>
      </c>
      <c r="J77" s="5">
        <v>47682.918805412977</v>
      </c>
      <c r="K77" s="9">
        <v>145.75</v>
      </c>
      <c r="L77" s="9">
        <v>622</v>
      </c>
      <c r="M77" s="5">
        <v>4615.2869808679425</v>
      </c>
      <c r="N77" s="9">
        <v>20</v>
      </c>
      <c r="O77" s="12">
        <v>58</v>
      </c>
      <c r="P77" s="5">
        <v>13430.75</v>
      </c>
      <c r="Q77" s="9">
        <v>6</v>
      </c>
      <c r="R77">
        <v>225.1</v>
      </c>
      <c r="S77">
        <v>0</v>
      </c>
      <c r="T77">
        <v>30</v>
      </c>
      <c r="U77">
        <v>20</v>
      </c>
      <c r="V77">
        <v>6480.4</v>
      </c>
      <c r="W77">
        <v>5180.2</v>
      </c>
      <c r="X77">
        <v>76.599999999999994</v>
      </c>
      <c r="Y77">
        <v>58.2</v>
      </c>
    </row>
    <row r="78" spans="1:25" x14ac:dyDescent="0.2">
      <c r="A78" s="3">
        <v>40299</v>
      </c>
      <c r="B78" s="4">
        <v>4688613.7</v>
      </c>
      <c r="C78" s="5">
        <v>1897206</v>
      </c>
      <c r="D78" s="9">
        <v>3100</v>
      </c>
      <c r="E78" s="7">
        <v>927343</v>
      </c>
      <c r="F78" s="9">
        <v>394</v>
      </c>
      <c r="G78" s="5">
        <v>1355435.3593093799</v>
      </c>
      <c r="H78" s="8">
        <v>8089.8202177556577</v>
      </c>
      <c r="I78" s="12">
        <v>28</v>
      </c>
      <c r="J78" s="5">
        <v>40823.485300979941</v>
      </c>
      <c r="K78" s="9">
        <v>145.75</v>
      </c>
      <c r="L78" s="9">
        <v>622</v>
      </c>
      <c r="M78" s="5">
        <v>7029.5744283714412</v>
      </c>
      <c r="N78" s="9">
        <v>20</v>
      </c>
      <c r="O78" s="12">
        <v>58</v>
      </c>
      <c r="P78" s="5">
        <v>13752.384999999995</v>
      </c>
      <c r="Q78" s="9">
        <v>6</v>
      </c>
      <c r="R78">
        <v>107.9</v>
      </c>
      <c r="S78">
        <v>45.7</v>
      </c>
      <c r="T78">
        <v>31</v>
      </c>
      <c r="U78">
        <v>20</v>
      </c>
      <c r="V78">
        <v>6546</v>
      </c>
      <c r="W78">
        <v>5249.5</v>
      </c>
      <c r="X78">
        <v>77.8</v>
      </c>
      <c r="Y78">
        <v>60.4</v>
      </c>
    </row>
    <row r="79" spans="1:25" x14ac:dyDescent="0.2">
      <c r="A79" s="3">
        <v>40330</v>
      </c>
      <c r="B79" s="4">
        <v>4804648.4000000004</v>
      </c>
      <c r="C79" s="5">
        <v>1921547</v>
      </c>
      <c r="D79" s="9">
        <v>3100</v>
      </c>
      <c r="E79" s="7">
        <v>837460</v>
      </c>
      <c r="F79" s="9">
        <v>394</v>
      </c>
      <c r="G79" s="5">
        <v>1605415.0564418323</v>
      </c>
      <c r="H79" s="8">
        <v>3419.4735349320626</v>
      </c>
      <c r="I79" s="12">
        <v>28</v>
      </c>
      <c r="J79" s="5">
        <v>41852.000466461417</v>
      </c>
      <c r="K79" s="9">
        <v>145.75</v>
      </c>
      <c r="L79" s="9">
        <v>622</v>
      </c>
      <c r="M79" s="5">
        <v>5403.0815374568519</v>
      </c>
      <c r="N79" s="9">
        <v>20</v>
      </c>
      <c r="O79" s="12">
        <v>58</v>
      </c>
      <c r="P79" s="5">
        <v>9719.8059999999969</v>
      </c>
      <c r="Q79" s="9">
        <v>6</v>
      </c>
      <c r="R79">
        <v>21.7</v>
      </c>
      <c r="S79">
        <v>58.7</v>
      </c>
      <c r="T79">
        <v>30</v>
      </c>
      <c r="U79">
        <v>22</v>
      </c>
      <c r="V79">
        <v>6648.7</v>
      </c>
      <c r="W79">
        <v>5359.8</v>
      </c>
      <c r="X79">
        <v>78</v>
      </c>
      <c r="Y79">
        <v>61.5</v>
      </c>
    </row>
    <row r="80" spans="1:25" x14ac:dyDescent="0.2">
      <c r="A80" s="3">
        <v>40360</v>
      </c>
      <c r="B80" s="4">
        <v>5779174.9000000004</v>
      </c>
      <c r="C80" s="5">
        <v>2247776</v>
      </c>
      <c r="D80" s="9">
        <v>3100</v>
      </c>
      <c r="E80" s="7">
        <v>1368476</v>
      </c>
      <c r="F80" s="9">
        <v>394</v>
      </c>
      <c r="G80" s="5">
        <v>1779742.0201511336</v>
      </c>
      <c r="H80" s="8">
        <v>5634.8836281339363</v>
      </c>
      <c r="I80" s="12">
        <v>28</v>
      </c>
      <c r="J80" s="5">
        <v>33481.460677301991</v>
      </c>
      <c r="K80" s="9">
        <v>145.75</v>
      </c>
      <c r="L80" s="9">
        <v>622</v>
      </c>
      <c r="M80" s="5">
        <v>7068.3060919861891</v>
      </c>
      <c r="N80" s="9">
        <v>20</v>
      </c>
      <c r="O80" s="12">
        <v>58</v>
      </c>
      <c r="P80" s="5">
        <v>14542.013000000006</v>
      </c>
      <c r="Q80" s="9">
        <v>6</v>
      </c>
      <c r="R80">
        <v>1.8</v>
      </c>
      <c r="S80">
        <v>164.9</v>
      </c>
      <c r="T80">
        <v>31</v>
      </c>
      <c r="U80">
        <v>21</v>
      </c>
      <c r="V80">
        <v>6707.8</v>
      </c>
      <c r="W80">
        <v>5456</v>
      </c>
      <c r="X80">
        <v>78.900000000000006</v>
      </c>
      <c r="Y80">
        <v>62.6</v>
      </c>
    </row>
    <row r="81" spans="1:25" x14ac:dyDescent="0.2">
      <c r="A81" s="3">
        <v>40391</v>
      </c>
      <c r="B81" s="4">
        <v>5470873.7999999998</v>
      </c>
      <c r="C81" s="5">
        <v>2391803</v>
      </c>
      <c r="D81" s="9">
        <v>3100</v>
      </c>
      <c r="E81" s="7">
        <v>1220253</v>
      </c>
      <c r="F81" s="9">
        <v>394</v>
      </c>
      <c r="G81" s="5">
        <v>934142.69474764355</v>
      </c>
      <c r="H81" s="8">
        <v>5013.1075312102512</v>
      </c>
      <c r="I81" s="12">
        <v>28</v>
      </c>
      <c r="J81" s="5">
        <v>32578.208694840931</v>
      </c>
      <c r="K81" s="9">
        <v>145.75</v>
      </c>
      <c r="L81" s="9">
        <v>622</v>
      </c>
      <c r="M81" s="5">
        <v>4765.381005690826</v>
      </c>
      <c r="N81" s="9">
        <v>20</v>
      </c>
      <c r="O81" s="12">
        <v>58</v>
      </c>
      <c r="P81" s="5">
        <v>10366.051000000007</v>
      </c>
      <c r="Q81" s="9">
        <v>6</v>
      </c>
      <c r="R81">
        <v>2.1</v>
      </c>
      <c r="S81">
        <v>138.80000000000001</v>
      </c>
      <c r="T81">
        <v>31</v>
      </c>
      <c r="U81">
        <v>21</v>
      </c>
      <c r="V81">
        <v>6731.7</v>
      </c>
      <c r="W81">
        <v>5503.9</v>
      </c>
      <c r="X81">
        <v>78.599999999999994</v>
      </c>
      <c r="Y81">
        <v>62.6</v>
      </c>
    </row>
    <row r="82" spans="1:25" x14ac:dyDescent="0.2">
      <c r="A82" s="3">
        <v>40422</v>
      </c>
      <c r="B82" s="4">
        <v>4677286.9000000004</v>
      </c>
      <c r="C82" s="5">
        <v>1849105</v>
      </c>
      <c r="D82" s="9">
        <v>3100</v>
      </c>
      <c r="E82" s="7">
        <v>1006170</v>
      </c>
      <c r="F82" s="9">
        <v>394</v>
      </c>
      <c r="G82" s="5">
        <v>1517840.5603134627</v>
      </c>
      <c r="H82" s="8">
        <v>6396.8848448221961</v>
      </c>
      <c r="I82" s="12">
        <v>28</v>
      </c>
      <c r="J82" s="5">
        <v>35668.920328388835</v>
      </c>
      <c r="K82" s="9">
        <v>145.75</v>
      </c>
      <c r="L82" s="9">
        <v>622</v>
      </c>
      <c r="M82" s="5">
        <v>5545.8833846440903</v>
      </c>
      <c r="N82" s="9">
        <v>20</v>
      </c>
      <c r="O82" s="12">
        <v>58</v>
      </c>
      <c r="P82" s="5">
        <v>17600.380999999994</v>
      </c>
      <c r="Q82" s="9">
        <v>6</v>
      </c>
      <c r="R82">
        <v>78.099999999999994</v>
      </c>
      <c r="S82">
        <v>31.5</v>
      </c>
      <c r="T82">
        <v>30</v>
      </c>
      <c r="U82">
        <v>21</v>
      </c>
      <c r="V82">
        <v>6683.6</v>
      </c>
      <c r="W82">
        <v>5453.3</v>
      </c>
      <c r="X82">
        <v>77.599999999999994</v>
      </c>
      <c r="Y82">
        <v>61.4</v>
      </c>
    </row>
    <row r="83" spans="1:25" x14ac:dyDescent="0.2">
      <c r="A83" s="3">
        <v>40452</v>
      </c>
      <c r="B83" s="4">
        <v>4880045.2</v>
      </c>
      <c r="C83" s="5">
        <v>1995611</v>
      </c>
      <c r="D83" s="9">
        <v>3100</v>
      </c>
      <c r="E83" s="7">
        <v>1015436</v>
      </c>
      <c r="F83" s="9">
        <v>394</v>
      </c>
      <c r="G83" s="5">
        <v>1547735.0774325957</v>
      </c>
      <c r="H83" s="8">
        <v>4200.9666292639304</v>
      </c>
      <c r="I83" s="12">
        <v>28</v>
      </c>
      <c r="J83" s="5">
        <v>45265.956992256746</v>
      </c>
      <c r="K83" s="9">
        <v>145.75</v>
      </c>
      <c r="L83" s="9">
        <v>622</v>
      </c>
      <c r="M83" s="5">
        <v>5459.3661722175602</v>
      </c>
      <c r="N83" s="9">
        <v>20</v>
      </c>
      <c r="O83" s="12">
        <v>58</v>
      </c>
      <c r="P83" s="5">
        <v>14309.275000000009</v>
      </c>
      <c r="Q83" s="9">
        <v>6</v>
      </c>
      <c r="R83">
        <v>241.6</v>
      </c>
      <c r="S83">
        <v>0</v>
      </c>
      <c r="T83">
        <v>31</v>
      </c>
      <c r="U83">
        <v>20</v>
      </c>
      <c r="V83">
        <v>6667</v>
      </c>
      <c r="W83">
        <v>5408.6</v>
      </c>
      <c r="X83">
        <v>75.5</v>
      </c>
      <c r="Y83">
        <v>59</v>
      </c>
    </row>
    <row r="84" spans="1:25" x14ac:dyDescent="0.2">
      <c r="A84" s="3">
        <v>40483</v>
      </c>
      <c r="B84" s="4">
        <v>5272872.8</v>
      </c>
      <c r="C84" s="5">
        <v>2028052</v>
      </c>
      <c r="D84" s="9">
        <v>3100</v>
      </c>
      <c r="E84" s="7">
        <v>1720307</v>
      </c>
      <c r="F84" s="9">
        <v>394</v>
      </c>
      <c r="G84" s="5">
        <v>1444347.446776751</v>
      </c>
      <c r="H84" s="8">
        <v>4242.3973691906613</v>
      </c>
      <c r="I84" s="12">
        <v>28</v>
      </c>
      <c r="J84" s="5">
        <v>51215.208321671787</v>
      </c>
      <c r="K84" s="9">
        <v>145.75</v>
      </c>
      <c r="L84" s="9">
        <v>622</v>
      </c>
      <c r="M84" s="5">
        <v>6045.9210747271209</v>
      </c>
      <c r="N84" s="9">
        <v>20</v>
      </c>
      <c r="O84" s="12">
        <v>58</v>
      </c>
      <c r="P84" s="5">
        <v>13216.054999999993</v>
      </c>
      <c r="Q84" s="9">
        <v>6</v>
      </c>
      <c r="R84">
        <v>405.3</v>
      </c>
      <c r="S84">
        <v>0</v>
      </c>
      <c r="T84">
        <v>30</v>
      </c>
      <c r="U84">
        <v>22</v>
      </c>
      <c r="V84">
        <v>6643.7</v>
      </c>
      <c r="W84">
        <v>5349.4</v>
      </c>
      <c r="X84">
        <v>74.900000000000006</v>
      </c>
      <c r="Y84">
        <v>57.5</v>
      </c>
    </row>
    <row r="85" spans="1:25" x14ac:dyDescent="0.2">
      <c r="A85" s="3">
        <v>40513</v>
      </c>
      <c r="B85" s="4">
        <v>6496573.4000000004</v>
      </c>
      <c r="C85" s="5">
        <v>3198751</v>
      </c>
      <c r="D85" s="9">
        <v>3100</v>
      </c>
      <c r="E85" s="7">
        <v>221562</v>
      </c>
      <c r="F85" s="9">
        <v>394</v>
      </c>
      <c r="G85" s="5">
        <v>1688551.5813042256</v>
      </c>
      <c r="H85" s="8">
        <v>4015.2677949515823</v>
      </c>
      <c r="I85" s="12">
        <v>28</v>
      </c>
      <c r="J85" s="5">
        <v>57101.96286967065</v>
      </c>
      <c r="K85" s="9">
        <v>145.75</v>
      </c>
      <c r="L85" s="9">
        <v>622</v>
      </c>
      <c r="M85" s="5">
        <v>6695.1867711540253</v>
      </c>
      <c r="N85" s="9">
        <v>20</v>
      </c>
      <c r="O85" s="12">
        <v>58</v>
      </c>
      <c r="P85" s="5">
        <v>14156.757000000012</v>
      </c>
      <c r="Q85" s="9">
        <v>6</v>
      </c>
      <c r="R85">
        <v>676.2</v>
      </c>
      <c r="S85">
        <v>0</v>
      </c>
      <c r="T85">
        <v>31</v>
      </c>
      <c r="U85">
        <v>21</v>
      </c>
      <c r="V85">
        <v>6658.9</v>
      </c>
      <c r="W85">
        <v>5352.4</v>
      </c>
      <c r="X85">
        <v>75.8</v>
      </c>
      <c r="Y85">
        <v>57.7</v>
      </c>
    </row>
    <row r="86" spans="1:25" x14ac:dyDescent="0.2">
      <c r="A86" s="3">
        <v>40544</v>
      </c>
      <c r="B86" s="4">
        <v>6689907.2000000002</v>
      </c>
      <c r="C86" s="5">
        <v>3608421</v>
      </c>
      <c r="D86" s="12">
        <v>3099</v>
      </c>
      <c r="E86" s="13">
        <v>1121325</v>
      </c>
      <c r="F86" s="90">
        <v>394</v>
      </c>
      <c r="G86" s="5">
        <v>1344795.4044220543</v>
      </c>
      <c r="H86" s="8">
        <v>4179</v>
      </c>
      <c r="I86" s="90">
        <v>28</v>
      </c>
      <c r="J86" s="5">
        <v>57693.707248810526</v>
      </c>
      <c r="K86" s="12">
        <v>151</v>
      </c>
      <c r="L86" s="12">
        <v>622</v>
      </c>
      <c r="M86" s="5">
        <v>4877.6230991696984</v>
      </c>
      <c r="N86" s="12">
        <v>13</v>
      </c>
      <c r="O86" s="12">
        <v>58</v>
      </c>
      <c r="P86" s="5">
        <v>12888.664000000001</v>
      </c>
      <c r="Q86" s="12">
        <v>6</v>
      </c>
      <c r="R86">
        <v>775.3</v>
      </c>
      <c r="S86">
        <v>0</v>
      </c>
      <c r="T86">
        <v>31</v>
      </c>
      <c r="U86">
        <v>20</v>
      </c>
      <c r="V86">
        <v>6637.6</v>
      </c>
      <c r="W86">
        <v>5316.6</v>
      </c>
      <c r="X86">
        <v>76.5</v>
      </c>
      <c r="Y86">
        <v>58.4</v>
      </c>
    </row>
    <row r="87" spans="1:25" x14ac:dyDescent="0.2">
      <c r="A87" s="3">
        <v>40575</v>
      </c>
      <c r="B87" s="4">
        <v>5913307</v>
      </c>
      <c r="C87" s="5">
        <v>3029595</v>
      </c>
      <c r="D87" s="12">
        <v>3098</v>
      </c>
      <c r="E87" s="13">
        <v>1037251</v>
      </c>
      <c r="F87" s="90">
        <v>395</v>
      </c>
      <c r="G87" s="5">
        <v>1501138.5383897747</v>
      </c>
      <c r="H87" s="8">
        <v>4108</v>
      </c>
      <c r="I87" s="90">
        <v>27</v>
      </c>
      <c r="J87" s="5">
        <v>62266.000373169139</v>
      </c>
      <c r="K87" s="12">
        <v>150</v>
      </c>
      <c r="L87" s="12">
        <v>622</v>
      </c>
      <c r="M87" s="5">
        <v>5184.6878440152996</v>
      </c>
      <c r="N87" s="12">
        <v>13</v>
      </c>
      <c r="O87" s="12">
        <v>58</v>
      </c>
      <c r="P87" s="5">
        <v>7430.4489999999969</v>
      </c>
      <c r="Q87" s="12">
        <v>6</v>
      </c>
      <c r="R87">
        <v>654.20000000000005</v>
      </c>
      <c r="S87">
        <v>0</v>
      </c>
      <c r="T87">
        <v>28</v>
      </c>
      <c r="U87">
        <v>19</v>
      </c>
      <c r="V87">
        <v>6616.7</v>
      </c>
      <c r="W87">
        <v>5289.1</v>
      </c>
      <c r="X87">
        <v>76.3</v>
      </c>
      <c r="Y87">
        <v>58.8</v>
      </c>
    </row>
    <row r="88" spans="1:25" x14ac:dyDescent="0.2">
      <c r="A88" s="3">
        <v>40603</v>
      </c>
      <c r="B88" s="4">
        <v>6004361.0999999996</v>
      </c>
      <c r="C88" s="5">
        <v>2372998.7098904103</v>
      </c>
      <c r="D88" s="12">
        <v>3104</v>
      </c>
      <c r="E88" s="13">
        <v>908415.98406301485</v>
      </c>
      <c r="F88" s="90">
        <v>396</v>
      </c>
      <c r="G88" s="5">
        <v>1708754.834190293</v>
      </c>
      <c r="H88" s="8">
        <v>3960</v>
      </c>
      <c r="I88" s="90">
        <v>27</v>
      </c>
      <c r="J88" s="5">
        <v>47680</v>
      </c>
      <c r="K88" s="12">
        <v>149</v>
      </c>
      <c r="L88" s="12">
        <v>622</v>
      </c>
      <c r="M88" s="5">
        <v>3602.1930825080926</v>
      </c>
      <c r="N88" s="12">
        <v>13</v>
      </c>
      <c r="O88" s="12">
        <v>58</v>
      </c>
      <c r="P88" s="5">
        <v>17807.854488584471</v>
      </c>
      <c r="Q88" s="12">
        <v>6</v>
      </c>
      <c r="R88">
        <v>572.79999999999995</v>
      </c>
      <c r="S88">
        <v>0</v>
      </c>
      <c r="T88">
        <v>31</v>
      </c>
      <c r="U88">
        <v>23</v>
      </c>
      <c r="V88">
        <v>6593.3</v>
      </c>
      <c r="W88">
        <v>5280.1</v>
      </c>
      <c r="X88">
        <v>75.900000000000006</v>
      </c>
      <c r="Y88">
        <v>59.8</v>
      </c>
    </row>
    <row r="89" spans="1:25" x14ac:dyDescent="0.2">
      <c r="A89" s="3">
        <v>40634</v>
      </c>
      <c r="B89" s="4">
        <v>4997107.5</v>
      </c>
      <c r="C89" s="5">
        <v>2957618.2901095897</v>
      </c>
      <c r="D89" s="12">
        <v>3097</v>
      </c>
      <c r="E89" s="13">
        <v>1049380.0159369851</v>
      </c>
      <c r="F89" s="90">
        <v>398</v>
      </c>
      <c r="G89" s="5">
        <v>1181412.4065970934</v>
      </c>
      <c r="H89" s="8">
        <v>3917</v>
      </c>
      <c r="I89" s="90">
        <v>27</v>
      </c>
      <c r="J89" s="5">
        <v>47680</v>
      </c>
      <c r="K89" s="12">
        <v>148</v>
      </c>
      <c r="L89" s="12">
        <v>622</v>
      </c>
      <c r="M89" s="5">
        <v>6640.6864771523233</v>
      </c>
      <c r="N89" s="12">
        <v>13</v>
      </c>
      <c r="O89" s="12">
        <v>58</v>
      </c>
      <c r="P89" s="5">
        <v>6581.9765114155307</v>
      </c>
      <c r="Q89" s="12">
        <v>6</v>
      </c>
      <c r="R89">
        <v>332.3</v>
      </c>
      <c r="S89">
        <v>0</v>
      </c>
      <c r="T89">
        <v>30</v>
      </c>
      <c r="U89">
        <v>19</v>
      </c>
      <c r="V89">
        <v>6625.9</v>
      </c>
      <c r="W89">
        <v>5317.8</v>
      </c>
      <c r="X89">
        <v>77.7</v>
      </c>
      <c r="Y89">
        <v>61.7</v>
      </c>
    </row>
    <row r="90" spans="1:25" x14ac:dyDescent="0.2">
      <c r="A90" s="3">
        <v>40664</v>
      </c>
      <c r="B90" s="4">
        <v>4732530.2</v>
      </c>
      <c r="C90" s="5">
        <v>1741356</v>
      </c>
      <c r="D90" s="12">
        <v>3101</v>
      </c>
      <c r="E90" s="13">
        <v>720811</v>
      </c>
      <c r="F90" s="90">
        <v>400</v>
      </c>
      <c r="G90" s="5">
        <v>1202006.0009329228</v>
      </c>
      <c r="H90" s="8">
        <v>4085</v>
      </c>
      <c r="I90" s="90">
        <v>27</v>
      </c>
      <c r="J90" s="5">
        <v>36974.419162235281</v>
      </c>
      <c r="K90" s="12">
        <v>147</v>
      </c>
      <c r="L90" s="12">
        <v>622</v>
      </c>
      <c r="M90" s="5">
        <v>6581.4384737382206</v>
      </c>
      <c r="N90" s="12">
        <v>13</v>
      </c>
      <c r="O90" s="12">
        <v>58</v>
      </c>
      <c r="P90" s="5">
        <v>19682.319999999992</v>
      </c>
      <c r="Q90" s="12">
        <v>6</v>
      </c>
      <c r="R90">
        <v>134.1</v>
      </c>
      <c r="S90">
        <v>13</v>
      </c>
      <c r="T90">
        <v>31</v>
      </c>
      <c r="U90">
        <v>21</v>
      </c>
      <c r="V90">
        <v>6690.7</v>
      </c>
      <c r="W90">
        <v>5405.5</v>
      </c>
      <c r="X90">
        <v>79.099999999999994</v>
      </c>
      <c r="Y90">
        <v>63</v>
      </c>
    </row>
    <row r="91" spans="1:25" x14ac:dyDescent="0.2">
      <c r="A91" s="3">
        <v>40695</v>
      </c>
      <c r="B91" s="4">
        <v>4685454.7</v>
      </c>
      <c r="C91" s="5">
        <v>1989472</v>
      </c>
      <c r="D91" s="12">
        <v>3101</v>
      </c>
      <c r="E91" s="13">
        <v>1224768</v>
      </c>
      <c r="F91" s="90">
        <v>402</v>
      </c>
      <c r="G91" s="5">
        <v>1563742.9996268312</v>
      </c>
      <c r="H91" s="8">
        <v>4020</v>
      </c>
      <c r="I91" s="90">
        <v>27</v>
      </c>
      <c r="J91" s="5">
        <v>37067.712193301588</v>
      </c>
      <c r="K91" s="12">
        <v>146</v>
      </c>
      <c r="L91" s="12">
        <v>622</v>
      </c>
      <c r="M91" s="5">
        <v>3902.864539602575</v>
      </c>
      <c r="N91" s="12">
        <v>13</v>
      </c>
      <c r="O91" s="12">
        <v>58</v>
      </c>
      <c r="P91" s="5">
        <v>13596.112000000001</v>
      </c>
      <c r="Q91" s="12">
        <v>6</v>
      </c>
      <c r="R91">
        <v>19</v>
      </c>
      <c r="S91">
        <v>52.2</v>
      </c>
      <c r="T91">
        <v>30</v>
      </c>
      <c r="U91">
        <v>22</v>
      </c>
      <c r="V91">
        <v>6787.8</v>
      </c>
      <c r="W91">
        <v>5496</v>
      </c>
      <c r="X91">
        <v>81.5</v>
      </c>
      <c r="Y91">
        <v>64.7</v>
      </c>
    </row>
    <row r="92" spans="1:25" x14ac:dyDescent="0.2">
      <c r="A92" s="3">
        <v>40725</v>
      </c>
      <c r="B92" s="4">
        <v>5643502.9000000004</v>
      </c>
      <c r="C92" s="5">
        <v>2260512</v>
      </c>
      <c r="D92" s="12">
        <v>3094</v>
      </c>
      <c r="E92" s="13">
        <v>1246759</v>
      </c>
      <c r="F92" s="90">
        <v>403</v>
      </c>
      <c r="G92" s="5">
        <v>1709128.0004664613</v>
      </c>
      <c r="H92" s="8">
        <v>3905</v>
      </c>
      <c r="I92" s="90">
        <v>27</v>
      </c>
      <c r="J92" s="5">
        <v>32748.957458718156</v>
      </c>
      <c r="K92" s="12">
        <v>145</v>
      </c>
      <c r="L92" s="12">
        <v>622</v>
      </c>
      <c r="M92" s="5">
        <v>5047.5704823211126</v>
      </c>
      <c r="N92" s="12">
        <v>13</v>
      </c>
      <c r="O92" s="12">
        <v>58</v>
      </c>
      <c r="P92" s="5">
        <v>14362.584999999992</v>
      </c>
      <c r="Q92" s="12">
        <v>6</v>
      </c>
      <c r="R92">
        <v>0</v>
      </c>
      <c r="S92">
        <v>198.5</v>
      </c>
      <c r="T92">
        <v>31</v>
      </c>
      <c r="U92">
        <v>20</v>
      </c>
      <c r="V92">
        <v>6831.4</v>
      </c>
      <c r="W92">
        <v>5593.1</v>
      </c>
      <c r="X92">
        <v>81.7</v>
      </c>
      <c r="Y92">
        <v>65.599999999999994</v>
      </c>
    </row>
    <row r="93" spans="1:25" x14ac:dyDescent="0.2">
      <c r="A93" s="3">
        <v>40756</v>
      </c>
      <c r="B93" s="4">
        <v>5399702.4000000004</v>
      </c>
      <c r="C93" s="5">
        <v>2379311</v>
      </c>
      <c r="D93" s="12">
        <v>3100</v>
      </c>
      <c r="E93" s="13">
        <v>1108381</v>
      </c>
      <c r="F93" s="90">
        <v>403</v>
      </c>
      <c r="G93" s="5">
        <v>1162353.0006530462</v>
      </c>
      <c r="H93" s="8">
        <v>3461</v>
      </c>
      <c r="I93" s="90">
        <v>25</v>
      </c>
      <c r="J93" s="5">
        <v>34231.208694840956</v>
      </c>
      <c r="K93" s="12">
        <v>144</v>
      </c>
      <c r="L93" s="12">
        <v>622</v>
      </c>
      <c r="M93" s="5">
        <v>4121.422800634391</v>
      </c>
      <c r="N93" s="12">
        <v>13</v>
      </c>
      <c r="O93" s="12">
        <v>58</v>
      </c>
      <c r="P93" s="5">
        <v>12281.74500000001</v>
      </c>
      <c r="Q93" s="12">
        <v>6</v>
      </c>
      <c r="R93">
        <v>0</v>
      </c>
      <c r="S93">
        <v>122.2</v>
      </c>
      <c r="T93">
        <v>31</v>
      </c>
      <c r="U93">
        <v>22</v>
      </c>
      <c r="V93">
        <v>6845.5</v>
      </c>
      <c r="W93">
        <v>5646.1</v>
      </c>
      <c r="X93">
        <v>82.2</v>
      </c>
      <c r="Y93">
        <v>66.599999999999994</v>
      </c>
    </row>
    <row r="94" spans="1:25" x14ac:dyDescent="0.2">
      <c r="A94" s="3">
        <v>40787</v>
      </c>
      <c r="B94" s="4">
        <v>4645518.4000000004</v>
      </c>
      <c r="C94" s="5">
        <v>1929018</v>
      </c>
      <c r="D94" s="12">
        <v>3099</v>
      </c>
      <c r="E94" s="13">
        <v>1134933</v>
      </c>
      <c r="F94" s="90">
        <v>403</v>
      </c>
      <c r="G94" s="5">
        <v>1473931.9997201236</v>
      </c>
      <c r="H94" s="8">
        <v>3498</v>
      </c>
      <c r="I94" s="90">
        <v>25</v>
      </c>
      <c r="J94" s="5">
        <v>39710.208601548627</v>
      </c>
      <c r="K94" s="12">
        <v>143</v>
      </c>
      <c r="L94" s="12">
        <v>622</v>
      </c>
      <c r="M94" s="5">
        <v>4705.308424293311</v>
      </c>
      <c r="N94" s="12">
        <v>13</v>
      </c>
      <c r="O94" s="12">
        <v>58</v>
      </c>
      <c r="P94" s="5">
        <v>12882.64499999999</v>
      </c>
      <c r="Q94" s="12">
        <v>6</v>
      </c>
      <c r="R94">
        <v>48.2</v>
      </c>
      <c r="S94">
        <v>39.700000000000003</v>
      </c>
      <c r="T94">
        <v>30</v>
      </c>
      <c r="U94">
        <v>21</v>
      </c>
      <c r="V94">
        <v>6799.8</v>
      </c>
      <c r="W94">
        <v>5620.8</v>
      </c>
      <c r="X94">
        <v>80.599999999999994</v>
      </c>
      <c r="Y94">
        <v>65.3</v>
      </c>
    </row>
    <row r="95" spans="1:25" x14ac:dyDescent="0.2">
      <c r="A95" s="3">
        <v>40817</v>
      </c>
      <c r="B95" s="4">
        <v>4798254</v>
      </c>
      <c r="C95" s="5">
        <v>1890644</v>
      </c>
      <c r="D95" s="12">
        <v>3098</v>
      </c>
      <c r="E95" s="13">
        <v>1043538</v>
      </c>
      <c r="F95" s="90">
        <v>403</v>
      </c>
      <c r="G95" s="5">
        <v>1503983.0000932915</v>
      </c>
      <c r="H95" s="8">
        <v>5163</v>
      </c>
      <c r="I95" s="90">
        <v>25</v>
      </c>
      <c r="J95" s="5">
        <v>45407.461143763387</v>
      </c>
      <c r="K95" s="12">
        <v>142</v>
      </c>
      <c r="L95" s="12">
        <v>622</v>
      </c>
      <c r="M95" s="5">
        <v>5101.8822651366718</v>
      </c>
      <c r="N95" s="12">
        <v>13</v>
      </c>
      <c r="O95" s="12">
        <v>58</v>
      </c>
      <c r="P95" s="5">
        <v>13811.420000000013</v>
      </c>
      <c r="Q95" s="12">
        <v>6</v>
      </c>
      <c r="R95">
        <v>235.5</v>
      </c>
      <c r="S95">
        <v>2.4</v>
      </c>
      <c r="T95">
        <v>31</v>
      </c>
      <c r="U95">
        <v>20</v>
      </c>
      <c r="V95">
        <v>6773.1</v>
      </c>
      <c r="W95">
        <v>5541.4</v>
      </c>
      <c r="X95">
        <v>80</v>
      </c>
      <c r="Y95">
        <v>63.5</v>
      </c>
    </row>
    <row r="96" spans="1:25" x14ac:dyDescent="0.2">
      <c r="A96" s="3">
        <v>40848</v>
      </c>
      <c r="B96" s="4">
        <v>4928575.2</v>
      </c>
      <c r="C96" s="5">
        <v>2111957</v>
      </c>
      <c r="D96" s="12">
        <v>3126</v>
      </c>
      <c r="E96" s="13">
        <v>847715</v>
      </c>
      <c r="F96" s="90">
        <v>403</v>
      </c>
      <c r="G96" s="5">
        <v>1421854.9995335387</v>
      </c>
      <c r="H96" s="8">
        <v>4010</v>
      </c>
      <c r="I96" s="90">
        <v>25</v>
      </c>
      <c r="J96" s="5">
        <v>51704.460863886576</v>
      </c>
      <c r="K96" s="12">
        <v>141</v>
      </c>
      <c r="L96" s="12">
        <v>622</v>
      </c>
      <c r="M96" s="5">
        <v>5773.4201884504146</v>
      </c>
      <c r="N96" s="12">
        <v>13</v>
      </c>
      <c r="O96" s="12">
        <v>58</v>
      </c>
      <c r="P96" s="5">
        <v>13494.090999999986</v>
      </c>
      <c r="Q96" s="12">
        <v>6</v>
      </c>
      <c r="R96">
        <v>342.1</v>
      </c>
      <c r="S96">
        <v>0</v>
      </c>
      <c r="T96">
        <v>30</v>
      </c>
      <c r="U96">
        <v>22</v>
      </c>
      <c r="V96">
        <v>6744.9</v>
      </c>
      <c r="W96">
        <v>5456.6</v>
      </c>
      <c r="X96">
        <v>79.2</v>
      </c>
      <c r="Y96">
        <v>61.4</v>
      </c>
    </row>
    <row r="97" spans="1:25" x14ac:dyDescent="0.2">
      <c r="A97" s="3">
        <v>40878</v>
      </c>
      <c r="B97" s="4">
        <v>5902009</v>
      </c>
      <c r="C97" s="5">
        <v>2781742</v>
      </c>
      <c r="D97" s="12">
        <v>3123</v>
      </c>
      <c r="E97" s="13">
        <v>908553</v>
      </c>
      <c r="F97" s="90">
        <v>403</v>
      </c>
      <c r="G97" s="5">
        <v>1647926.9991603689</v>
      </c>
      <c r="H97" s="8">
        <v>4066</v>
      </c>
      <c r="I97" s="90">
        <v>25</v>
      </c>
      <c r="J97" s="5">
        <v>58348.225487452233</v>
      </c>
      <c r="K97" s="12">
        <v>140</v>
      </c>
      <c r="L97" s="12">
        <v>622</v>
      </c>
      <c r="M97" s="5">
        <v>4922.604160835901</v>
      </c>
      <c r="N97" s="12">
        <v>13</v>
      </c>
      <c r="O97" s="12">
        <v>58</v>
      </c>
      <c r="P97" s="5">
        <v>12637.752000000008</v>
      </c>
      <c r="Q97" s="12">
        <v>6</v>
      </c>
      <c r="R97">
        <v>534</v>
      </c>
      <c r="S97">
        <v>0</v>
      </c>
      <c r="T97">
        <v>31</v>
      </c>
      <c r="U97">
        <v>20</v>
      </c>
      <c r="V97">
        <v>6744.4</v>
      </c>
      <c r="W97">
        <v>5422</v>
      </c>
      <c r="X97">
        <v>80.2</v>
      </c>
      <c r="Y97">
        <v>61.2</v>
      </c>
    </row>
    <row r="98" spans="1:25" x14ac:dyDescent="0.2">
      <c r="A98" s="3">
        <v>40909</v>
      </c>
      <c r="B98" s="4">
        <v>6410818</v>
      </c>
      <c r="C98" s="4">
        <v>3322144</v>
      </c>
      <c r="D98" s="4">
        <v>3128</v>
      </c>
      <c r="E98" s="4">
        <v>1025018</v>
      </c>
      <c r="F98" s="4">
        <v>403</v>
      </c>
      <c r="G98" s="4">
        <v>1367065.999440246</v>
      </c>
      <c r="H98" s="4">
        <v>3853</v>
      </c>
      <c r="I98" s="4">
        <v>25</v>
      </c>
      <c r="J98" s="4">
        <v>58087.208601548649</v>
      </c>
      <c r="K98" s="4">
        <v>139</v>
      </c>
      <c r="L98" s="4">
        <v>622</v>
      </c>
      <c r="M98" s="4">
        <v>4195.3734490157658</v>
      </c>
      <c r="N98" s="4">
        <v>13</v>
      </c>
      <c r="O98" s="4">
        <v>58</v>
      </c>
      <c r="P98" s="4">
        <v>12715.691000000001</v>
      </c>
      <c r="Q98" s="4">
        <v>6</v>
      </c>
    </row>
    <row r="99" spans="1:25" x14ac:dyDescent="0.2">
      <c r="A99" s="3">
        <v>40940</v>
      </c>
      <c r="B99" s="4">
        <v>5672685</v>
      </c>
      <c r="C99" s="4">
        <v>2809738</v>
      </c>
      <c r="D99" s="4">
        <v>3126</v>
      </c>
      <c r="E99" s="4">
        <v>980607</v>
      </c>
      <c r="F99" s="4">
        <v>403</v>
      </c>
      <c r="G99" s="4">
        <v>1258227.0000932922</v>
      </c>
      <c r="H99" s="4">
        <v>3946</v>
      </c>
      <c r="I99" s="4">
        <v>25</v>
      </c>
      <c r="J99" s="4">
        <v>18040.208788133226</v>
      </c>
      <c r="K99" s="4">
        <v>139</v>
      </c>
      <c r="L99" s="4">
        <v>622</v>
      </c>
      <c r="M99" s="4">
        <v>3896.6605093758744</v>
      </c>
      <c r="N99" s="4">
        <v>13</v>
      </c>
      <c r="O99" s="4">
        <v>58</v>
      </c>
      <c r="P99" s="4">
        <v>11912.691000000001</v>
      </c>
      <c r="Q99" s="4">
        <v>6</v>
      </c>
    </row>
    <row r="100" spans="1:25" x14ac:dyDescent="0.2">
      <c r="A100" s="3">
        <v>40969</v>
      </c>
      <c r="B100" s="4">
        <v>5262765</v>
      </c>
      <c r="C100" s="4">
        <v>2463921</v>
      </c>
      <c r="D100" s="4">
        <v>3124</v>
      </c>
      <c r="E100" s="4">
        <v>940070</v>
      </c>
      <c r="F100" s="4">
        <v>403</v>
      </c>
      <c r="G100" s="4">
        <v>1405179.9997201227</v>
      </c>
      <c r="H100" s="4">
        <v>3804</v>
      </c>
      <c r="I100" s="4">
        <v>25</v>
      </c>
      <c r="J100" s="4">
        <v>50656.968933669181</v>
      </c>
      <c r="K100" s="4">
        <v>139</v>
      </c>
      <c r="L100" s="4">
        <v>622</v>
      </c>
      <c r="M100" s="4">
        <v>4075.4766302826756</v>
      </c>
      <c r="N100" s="4">
        <v>13</v>
      </c>
      <c r="O100" s="4">
        <v>58</v>
      </c>
      <c r="P100" s="4">
        <v>11523.984</v>
      </c>
      <c r="Q100" s="4">
        <v>6</v>
      </c>
    </row>
    <row r="101" spans="1:25" x14ac:dyDescent="0.2">
      <c r="A101" s="3">
        <v>41000</v>
      </c>
      <c r="B101" s="4">
        <v>4822874</v>
      </c>
      <c r="C101" s="4">
        <v>1945845</v>
      </c>
      <c r="D101" s="4">
        <v>3130</v>
      </c>
      <c r="E101" s="4">
        <v>879977</v>
      </c>
      <c r="F101" s="4">
        <v>405</v>
      </c>
      <c r="G101" s="4">
        <v>1457826.9996268307</v>
      </c>
      <c r="H101" s="4">
        <v>3867</v>
      </c>
      <c r="I101" s="4">
        <v>25</v>
      </c>
      <c r="J101" s="4">
        <v>48152.208881425497</v>
      </c>
      <c r="K101" s="4">
        <v>139</v>
      </c>
      <c r="L101" s="4">
        <v>636</v>
      </c>
      <c r="M101" s="4">
        <v>4078.5651646608821</v>
      </c>
      <c r="N101" s="4">
        <v>13</v>
      </c>
      <c r="O101" s="4">
        <v>58</v>
      </c>
      <c r="P101" s="4">
        <v>14024.690999999999</v>
      </c>
      <c r="Q101" s="4">
        <v>6</v>
      </c>
    </row>
    <row r="102" spans="1:25" x14ac:dyDescent="0.2">
      <c r="A102" s="3">
        <v>41030</v>
      </c>
      <c r="B102" s="4">
        <v>4704487</v>
      </c>
      <c r="C102" s="4">
        <v>2111705</v>
      </c>
      <c r="D102" s="4">
        <v>3126</v>
      </c>
      <c r="E102" s="4">
        <v>947396</v>
      </c>
      <c r="F102" s="4">
        <v>405</v>
      </c>
      <c r="G102" s="4">
        <v>1225599.9987872003</v>
      </c>
      <c r="H102" s="4">
        <v>3745</v>
      </c>
      <c r="I102" s="4">
        <v>25</v>
      </c>
      <c r="J102" s="4">
        <v>40856.208788133226</v>
      </c>
      <c r="K102" s="4">
        <v>139</v>
      </c>
      <c r="L102" s="4">
        <v>636</v>
      </c>
      <c r="M102" s="4">
        <v>4321.0711820132492</v>
      </c>
      <c r="N102" s="4">
        <v>12</v>
      </c>
      <c r="O102" s="4">
        <v>44</v>
      </c>
      <c r="P102" s="4">
        <v>14129.690999999999</v>
      </c>
      <c r="Q102" s="4">
        <v>6</v>
      </c>
    </row>
    <row r="103" spans="1:25" x14ac:dyDescent="0.2">
      <c r="A103" s="3">
        <v>41061</v>
      </c>
      <c r="B103" s="4">
        <v>4982424</v>
      </c>
      <c r="C103" s="4">
        <v>2122175</v>
      </c>
      <c r="D103" s="4">
        <v>3119</v>
      </c>
      <c r="E103" s="4">
        <v>1080767</v>
      </c>
      <c r="F103" s="4">
        <v>403</v>
      </c>
      <c r="G103" s="4">
        <v>1704730</v>
      </c>
      <c r="H103" s="4">
        <v>3835</v>
      </c>
      <c r="I103" s="4">
        <v>25</v>
      </c>
      <c r="J103" s="4">
        <v>74172</v>
      </c>
      <c r="K103" s="4">
        <v>142</v>
      </c>
      <c r="L103" s="4">
        <v>636</v>
      </c>
      <c r="M103" s="4">
        <v>4362</v>
      </c>
      <c r="N103" s="4">
        <v>12</v>
      </c>
      <c r="O103" s="4">
        <v>44</v>
      </c>
      <c r="P103" s="4">
        <v>13744</v>
      </c>
      <c r="Q103" s="4">
        <v>6</v>
      </c>
    </row>
    <row r="104" spans="1:25" x14ac:dyDescent="0.2">
      <c r="A104" s="3">
        <v>41091</v>
      </c>
      <c r="B104" s="4">
        <v>5830999</v>
      </c>
      <c r="C104" s="4">
        <v>1749499</v>
      </c>
      <c r="D104" s="4">
        <v>3121</v>
      </c>
      <c r="E104" s="4">
        <v>1190799</v>
      </c>
      <c r="F104" s="4">
        <v>404</v>
      </c>
      <c r="G104" s="4">
        <v>2069578</v>
      </c>
      <c r="H104" s="4">
        <v>3992</v>
      </c>
      <c r="I104" s="4">
        <v>25</v>
      </c>
      <c r="J104" s="4">
        <v>31900</v>
      </c>
      <c r="K104" s="4">
        <v>142</v>
      </c>
      <c r="L104" s="4">
        <v>636</v>
      </c>
      <c r="M104" s="4">
        <v>3524</v>
      </c>
      <c r="N104" s="4">
        <v>10</v>
      </c>
      <c r="O104" s="4">
        <v>44</v>
      </c>
      <c r="P104" s="4">
        <v>13996</v>
      </c>
      <c r="Q104" s="4">
        <v>6</v>
      </c>
    </row>
    <row r="105" spans="1:25" x14ac:dyDescent="0.2">
      <c r="A105" s="3">
        <v>41122</v>
      </c>
      <c r="B105" s="4">
        <v>5691490</v>
      </c>
      <c r="C105" s="4">
        <v>2620426</v>
      </c>
      <c r="D105" s="4">
        <v>3121</v>
      </c>
      <c r="E105" s="4">
        <v>1282724</v>
      </c>
      <c r="F105" s="4">
        <v>404</v>
      </c>
      <c r="G105" s="4">
        <v>670839</v>
      </c>
      <c r="H105" s="4">
        <v>3924</v>
      </c>
      <c r="I105" s="4">
        <v>25</v>
      </c>
      <c r="J105" s="4">
        <v>31661</v>
      </c>
      <c r="K105" s="4">
        <v>142</v>
      </c>
      <c r="L105" s="4">
        <v>636</v>
      </c>
      <c r="M105" s="4">
        <v>2866</v>
      </c>
      <c r="N105" s="4">
        <v>10</v>
      </c>
      <c r="O105" s="4">
        <v>44</v>
      </c>
      <c r="P105" s="4">
        <v>11763</v>
      </c>
      <c r="Q105" s="4">
        <v>6</v>
      </c>
    </row>
    <row r="106" spans="1:25" x14ac:dyDescent="0.2">
      <c r="A106" s="3">
        <v>41153</v>
      </c>
      <c r="B106" s="4">
        <v>4748685</v>
      </c>
      <c r="C106" s="4">
        <v>1839103</v>
      </c>
      <c r="D106" s="4">
        <v>3119</v>
      </c>
      <c r="E106" s="4">
        <v>998029</v>
      </c>
      <c r="F106" s="4">
        <v>401</v>
      </c>
      <c r="G106" s="4">
        <v>1283555</v>
      </c>
      <c r="H106" s="4">
        <v>4114</v>
      </c>
      <c r="I106" s="4">
        <v>24</v>
      </c>
      <c r="J106" s="4">
        <v>38695</v>
      </c>
      <c r="K106" s="4">
        <v>142</v>
      </c>
      <c r="L106" s="4">
        <v>636</v>
      </c>
      <c r="M106" s="4">
        <v>2965</v>
      </c>
      <c r="N106" s="4">
        <v>10</v>
      </c>
      <c r="O106" s="4">
        <v>44</v>
      </c>
      <c r="P106" s="4">
        <v>13018</v>
      </c>
      <c r="Q106" s="4">
        <v>6</v>
      </c>
    </row>
    <row r="107" spans="1:25" x14ac:dyDescent="0.2">
      <c r="A107" s="3">
        <v>41183</v>
      </c>
      <c r="B107" s="4">
        <v>4802304</v>
      </c>
      <c r="C107" s="4">
        <v>1805680</v>
      </c>
      <c r="D107" s="4">
        <v>3119</v>
      </c>
      <c r="E107" s="4">
        <v>970695</v>
      </c>
      <c r="F107" s="4">
        <v>404</v>
      </c>
      <c r="G107" s="4">
        <v>1667909</v>
      </c>
      <c r="H107" s="4">
        <v>4000</v>
      </c>
      <c r="I107" s="4">
        <v>25</v>
      </c>
      <c r="J107" s="4">
        <v>58237</v>
      </c>
      <c r="K107" s="4">
        <v>142</v>
      </c>
      <c r="L107" s="4">
        <v>636</v>
      </c>
      <c r="M107" s="4">
        <v>3685</v>
      </c>
      <c r="N107" s="4">
        <v>10</v>
      </c>
      <c r="O107" s="4">
        <v>44</v>
      </c>
      <c r="P107" s="4">
        <v>14327</v>
      </c>
      <c r="Q107" s="4">
        <v>6</v>
      </c>
    </row>
    <row r="108" spans="1:25" x14ac:dyDescent="0.2">
      <c r="A108" s="3">
        <v>41214</v>
      </c>
      <c r="B108" s="4">
        <v>5280409</v>
      </c>
      <c r="C108" s="4">
        <v>2162152</v>
      </c>
      <c r="D108" s="4">
        <v>3124</v>
      </c>
      <c r="E108" s="4">
        <v>970695</v>
      </c>
      <c r="F108" s="4">
        <v>403</v>
      </c>
      <c r="G108" s="4">
        <v>1527003</v>
      </c>
      <c r="H108" s="4">
        <v>4240</v>
      </c>
      <c r="I108" s="4">
        <v>25</v>
      </c>
      <c r="J108" s="4">
        <v>64308</v>
      </c>
      <c r="K108" s="4">
        <v>142</v>
      </c>
      <c r="L108" s="4">
        <v>636</v>
      </c>
      <c r="M108" s="4">
        <v>3736</v>
      </c>
      <c r="N108" s="4">
        <v>10</v>
      </c>
      <c r="O108" s="4">
        <v>44</v>
      </c>
      <c r="P108" s="4">
        <v>14546</v>
      </c>
      <c r="Q108" s="4">
        <v>6</v>
      </c>
    </row>
    <row r="109" spans="1:25" x14ac:dyDescent="0.2">
      <c r="A109" s="3">
        <v>41244</v>
      </c>
      <c r="B109" s="4">
        <v>5973595</v>
      </c>
      <c r="C109" s="4">
        <v>2867478</v>
      </c>
      <c r="D109" s="4">
        <v>3127</v>
      </c>
      <c r="E109" s="4">
        <v>970695</v>
      </c>
      <c r="F109" s="4">
        <v>403</v>
      </c>
      <c r="G109" s="4">
        <v>1692863</v>
      </c>
      <c r="H109" s="4">
        <v>3255</v>
      </c>
      <c r="I109" s="4">
        <v>28</v>
      </c>
      <c r="J109" s="4">
        <v>62410</v>
      </c>
      <c r="K109" s="4">
        <v>142</v>
      </c>
      <c r="L109" s="4">
        <v>636</v>
      </c>
      <c r="M109" s="4">
        <v>3248</v>
      </c>
      <c r="N109" s="4">
        <v>10</v>
      </c>
      <c r="O109" s="4">
        <v>44</v>
      </c>
      <c r="P109" s="4">
        <v>13010</v>
      </c>
      <c r="Q109" s="4">
        <v>6</v>
      </c>
    </row>
    <row r="110" spans="1:25" x14ac:dyDescent="0.2">
      <c r="A110" s="3">
        <v>41275</v>
      </c>
      <c r="B110" s="4">
        <v>6478744</v>
      </c>
      <c r="C110" s="4">
        <v>3500723</v>
      </c>
      <c r="D110" s="4">
        <v>3127</v>
      </c>
      <c r="E110" s="4">
        <v>970695</v>
      </c>
      <c r="F110" s="4">
        <v>408</v>
      </c>
      <c r="G110" s="4">
        <v>1234111</v>
      </c>
      <c r="H110" s="4">
        <v>4298.7269999999999</v>
      </c>
      <c r="I110" s="4">
        <v>28</v>
      </c>
      <c r="J110" s="4">
        <v>62160</v>
      </c>
      <c r="K110" s="4">
        <v>141.91900000000001</v>
      </c>
      <c r="L110" s="4">
        <v>636</v>
      </c>
      <c r="M110" s="4">
        <v>3274</v>
      </c>
      <c r="N110" s="4">
        <v>9.8079999999999998</v>
      </c>
      <c r="O110" s="4">
        <v>44</v>
      </c>
      <c r="P110" s="4">
        <v>13395</v>
      </c>
      <c r="Q110" s="4">
        <v>6</v>
      </c>
    </row>
    <row r="111" spans="1:25" x14ac:dyDescent="0.2">
      <c r="A111" s="3">
        <v>41306</v>
      </c>
      <c r="B111" s="4">
        <v>5829041</v>
      </c>
      <c r="C111" s="4">
        <v>3129955</v>
      </c>
      <c r="D111" s="4">
        <v>3127</v>
      </c>
      <c r="E111" s="4">
        <v>970695</v>
      </c>
      <c r="F111" s="4">
        <v>407</v>
      </c>
      <c r="G111" s="4">
        <v>1640953</v>
      </c>
      <c r="H111" s="4">
        <v>3928.8010000000004</v>
      </c>
      <c r="I111" s="4">
        <v>28</v>
      </c>
      <c r="J111" s="4">
        <v>60421</v>
      </c>
      <c r="K111" s="4">
        <v>142</v>
      </c>
      <c r="L111" s="4">
        <v>636</v>
      </c>
      <c r="M111" s="4">
        <v>2615</v>
      </c>
      <c r="N111" s="4">
        <v>9.7079999999999984</v>
      </c>
      <c r="O111" s="4">
        <v>44</v>
      </c>
      <c r="P111" s="4">
        <v>12732</v>
      </c>
      <c r="Q111" s="4">
        <v>6</v>
      </c>
    </row>
    <row r="112" spans="1:25" x14ac:dyDescent="0.2">
      <c r="A112" s="3">
        <v>41334</v>
      </c>
      <c r="B112" s="4">
        <v>5653342</v>
      </c>
      <c r="C112" s="4">
        <v>2394689</v>
      </c>
      <c r="D112" s="4">
        <v>3125</v>
      </c>
      <c r="E112" s="4">
        <v>855879</v>
      </c>
      <c r="F112" s="4">
        <v>409</v>
      </c>
      <c r="G112" s="4">
        <v>1100149</v>
      </c>
      <c r="H112" s="4">
        <v>3806.0439999999999</v>
      </c>
      <c r="I112" s="4">
        <v>28</v>
      </c>
      <c r="J112" s="4">
        <v>30659</v>
      </c>
      <c r="K112" s="4">
        <v>142</v>
      </c>
      <c r="L112" s="4">
        <v>636</v>
      </c>
      <c r="M112" s="4">
        <v>2615</v>
      </c>
      <c r="N112" s="4">
        <v>9.7079999999999984</v>
      </c>
      <c r="O112" s="4">
        <v>44</v>
      </c>
      <c r="P112" s="4">
        <v>11085</v>
      </c>
      <c r="Q112" s="4">
        <v>6</v>
      </c>
    </row>
    <row r="113" spans="1:17" x14ac:dyDescent="0.2">
      <c r="A113" s="3">
        <v>41365</v>
      </c>
      <c r="B113" s="4">
        <v>4960053</v>
      </c>
      <c r="C113" s="4">
        <v>2260554</v>
      </c>
      <c r="D113" s="4">
        <v>3124</v>
      </c>
      <c r="E113" s="4">
        <v>869234</v>
      </c>
      <c r="F113" s="4">
        <v>408</v>
      </c>
      <c r="G113" s="4">
        <v>1468411</v>
      </c>
      <c r="H113" s="4">
        <v>3692.6630000000005</v>
      </c>
      <c r="I113" s="4">
        <v>28</v>
      </c>
      <c r="J113" s="4">
        <v>43360</v>
      </c>
      <c r="K113" s="4">
        <v>141.91900000000004</v>
      </c>
      <c r="L113" s="4">
        <v>636</v>
      </c>
      <c r="M113" s="4">
        <v>3257</v>
      </c>
      <c r="N113" s="4">
        <v>9.9580000000000055</v>
      </c>
      <c r="O113" s="4">
        <v>44</v>
      </c>
      <c r="P113" s="4">
        <v>13499</v>
      </c>
      <c r="Q113" s="4">
        <v>6</v>
      </c>
    </row>
    <row r="114" spans="1:17" x14ac:dyDescent="0.2">
      <c r="A114" s="3">
        <v>41395</v>
      </c>
      <c r="B114" s="4">
        <v>4538247</v>
      </c>
      <c r="C114" s="4">
        <v>1805513</v>
      </c>
      <c r="D114" s="4">
        <v>3127</v>
      </c>
      <c r="E114" s="4">
        <v>853021</v>
      </c>
      <c r="F114" s="4">
        <v>406</v>
      </c>
      <c r="G114" s="4">
        <v>1339275</v>
      </c>
      <c r="H114" s="4">
        <v>3879.4399999999987</v>
      </c>
      <c r="I114" s="4">
        <v>28</v>
      </c>
      <c r="J114" s="4">
        <v>35842</v>
      </c>
      <c r="K114" s="4">
        <v>141.91899999999998</v>
      </c>
      <c r="L114" s="4">
        <v>636</v>
      </c>
      <c r="M114" s="4">
        <v>3186</v>
      </c>
      <c r="N114" s="4">
        <v>9.4579999999999984</v>
      </c>
      <c r="O114" s="4">
        <v>42</v>
      </c>
      <c r="P114" s="4">
        <v>13112</v>
      </c>
      <c r="Q114" s="4">
        <v>6</v>
      </c>
    </row>
    <row r="115" spans="1:17" x14ac:dyDescent="0.2">
      <c r="A115" s="3">
        <v>41426</v>
      </c>
      <c r="B115" s="4">
        <v>4672298</v>
      </c>
      <c r="C115" s="4">
        <v>1341011</v>
      </c>
      <c r="D115" s="4">
        <v>3118</v>
      </c>
      <c r="E115" s="4">
        <v>814772</v>
      </c>
      <c r="F115" s="4">
        <v>407</v>
      </c>
      <c r="G115" s="4">
        <v>1355171</v>
      </c>
      <c r="H115" s="4">
        <v>3765.2790000000023</v>
      </c>
      <c r="I115" s="4">
        <v>28</v>
      </c>
      <c r="J115" s="4">
        <v>31557</v>
      </c>
      <c r="K115" s="4">
        <v>141.91899999999998</v>
      </c>
      <c r="L115" s="4">
        <v>636</v>
      </c>
      <c r="M115" s="4">
        <v>3159</v>
      </c>
      <c r="N115" s="4">
        <v>9.7079999999999984</v>
      </c>
      <c r="O115" s="4">
        <v>42</v>
      </c>
      <c r="P115" s="4">
        <v>13454</v>
      </c>
      <c r="Q115" s="4">
        <v>6</v>
      </c>
    </row>
    <row r="116" spans="1:17" x14ac:dyDescent="0.2">
      <c r="A116" s="3">
        <v>41456</v>
      </c>
      <c r="B116" s="4">
        <v>5705004</v>
      </c>
      <c r="C116" s="4">
        <v>2707891</v>
      </c>
      <c r="D116" s="4">
        <v>3121</v>
      </c>
      <c r="E116" s="4">
        <v>1284419</v>
      </c>
      <c r="F116" s="4">
        <v>407</v>
      </c>
      <c r="G116" s="4">
        <v>1888854</v>
      </c>
      <c r="H116" s="4">
        <v>3928.9809999999998</v>
      </c>
      <c r="I116" s="4">
        <v>28</v>
      </c>
      <c r="J116" s="4">
        <v>42209</v>
      </c>
      <c r="K116" s="4">
        <v>141.91899999999998</v>
      </c>
      <c r="L116" s="4">
        <v>636</v>
      </c>
      <c r="M116" s="4">
        <v>4037</v>
      </c>
      <c r="N116" s="4">
        <v>9.7079999999999984</v>
      </c>
      <c r="O116" s="4">
        <v>42</v>
      </c>
      <c r="P116" s="4">
        <v>15700</v>
      </c>
      <c r="Q116" s="4">
        <v>6</v>
      </c>
    </row>
    <row r="117" spans="1:17" x14ac:dyDescent="0.2">
      <c r="A117" s="3">
        <v>41487</v>
      </c>
      <c r="B117" s="4">
        <v>5245989</v>
      </c>
      <c r="C117" s="4">
        <v>2320545</v>
      </c>
      <c r="D117" s="4">
        <v>3116</v>
      </c>
      <c r="E117" s="4">
        <v>1027615</v>
      </c>
      <c r="F117" s="4">
        <v>407</v>
      </c>
      <c r="G117" s="4">
        <v>1113175</v>
      </c>
      <c r="H117" s="4">
        <v>3920.0289999999986</v>
      </c>
      <c r="I117" s="4">
        <v>28</v>
      </c>
      <c r="J117" s="4">
        <v>26736</v>
      </c>
      <c r="K117" s="4">
        <v>140.1690000000001</v>
      </c>
      <c r="L117" s="4">
        <v>636</v>
      </c>
      <c r="M117" s="4">
        <v>2492</v>
      </c>
      <c r="N117" s="4">
        <v>9.7079999999999984</v>
      </c>
      <c r="O117" s="4">
        <v>42</v>
      </c>
      <c r="P117" s="4">
        <v>11171</v>
      </c>
      <c r="Q117" s="4">
        <v>6</v>
      </c>
    </row>
    <row r="118" spans="1:17" x14ac:dyDescent="0.2">
      <c r="A118" s="3">
        <v>41518</v>
      </c>
      <c r="B118" s="4">
        <v>4593162</v>
      </c>
      <c r="C118" s="4">
        <v>1708626</v>
      </c>
      <c r="D118" s="4">
        <v>3126</v>
      </c>
      <c r="E118" s="4">
        <v>1019912</v>
      </c>
      <c r="F118" s="4">
        <v>410</v>
      </c>
      <c r="G118" s="4">
        <v>1358564</v>
      </c>
      <c r="H118" s="4">
        <v>3934.4490000000005</v>
      </c>
      <c r="I118" s="4">
        <v>28</v>
      </c>
      <c r="J118" s="4">
        <v>43043</v>
      </c>
      <c r="K118" s="4">
        <v>140.16899999999987</v>
      </c>
      <c r="L118" s="4">
        <v>636</v>
      </c>
      <c r="M118" s="4">
        <v>3065</v>
      </c>
      <c r="N118" s="4">
        <v>9.7079999999999984</v>
      </c>
      <c r="O118" s="4">
        <v>42</v>
      </c>
      <c r="P118" s="4">
        <v>13094</v>
      </c>
      <c r="Q118" s="4">
        <v>6</v>
      </c>
    </row>
    <row r="119" spans="1:17" x14ac:dyDescent="0.2">
      <c r="A119" s="3">
        <v>41548</v>
      </c>
      <c r="B119" s="4">
        <v>4750840</v>
      </c>
      <c r="C119" s="4">
        <v>1902880</v>
      </c>
      <c r="D119" s="4">
        <v>3126</v>
      </c>
      <c r="E119" s="4">
        <v>808957</v>
      </c>
      <c r="F119" s="4">
        <v>409</v>
      </c>
      <c r="G119" s="4">
        <v>1582234</v>
      </c>
      <c r="H119" s="4">
        <v>4079.5</v>
      </c>
      <c r="I119" s="4">
        <v>29</v>
      </c>
      <c r="J119" s="4">
        <v>56774</v>
      </c>
      <c r="K119" s="4">
        <v>140.1690000000001</v>
      </c>
      <c r="L119" s="4">
        <v>636</v>
      </c>
      <c r="M119" s="4">
        <v>3502</v>
      </c>
      <c r="N119" s="4">
        <v>9.7079999999999984</v>
      </c>
      <c r="O119" s="4">
        <v>42</v>
      </c>
      <c r="P119" s="4">
        <v>14153</v>
      </c>
      <c r="Q119" s="4">
        <v>6</v>
      </c>
    </row>
    <row r="120" spans="1:17" x14ac:dyDescent="0.2">
      <c r="A120" s="3">
        <v>41579</v>
      </c>
      <c r="B120" s="4">
        <v>5367947</v>
      </c>
      <c r="C120" s="4">
        <v>2274488</v>
      </c>
      <c r="D120" s="4">
        <v>3123</v>
      </c>
      <c r="E120" s="4">
        <v>977243</v>
      </c>
      <c r="F120" s="4">
        <v>412</v>
      </c>
      <c r="G120" s="4">
        <v>1472657</v>
      </c>
      <c r="H120" s="4">
        <v>3985.5369999999966</v>
      </c>
      <c r="I120" s="4">
        <v>25</v>
      </c>
      <c r="J120" s="4">
        <v>64687</v>
      </c>
      <c r="K120" s="4">
        <v>140.16899999999987</v>
      </c>
      <c r="L120" s="4">
        <v>636</v>
      </c>
      <c r="M120" s="4">
        <v>3459</v>
      </c>
      <c r="N120" s="4">
        <v>9.7079999999999984</v>
      </c>
      <c r="O120" s="4">
        <v>42</v>
      </c>
      <c r="P120" s="4">
        <v>14728</v>
      </c>
      <c r="Q120" s="4">
        <v>6</v>
      </c>
    </row>
    <row r="121" spans="1:17" x14ac:dyDescent="0.2">
      <c r="A121" s="3">
        <v>41609</v>
      </c>
      <c r="B121" s="4">
        <v>6427330</v>
      </c>
      <c r="C121" s="4">
        <v>3268778</v>
      </c>
      <c r="D121" s="4">
        <v>3126</v>
      </c>
      <c r="E121" s="4">
        <v>1089837</v>
      </c>
      <c r="F121" s="4">
        <v>411</v>
      </c>
      <c r="G121" s="4">
        <v>1301218</v>
      </c>
      <c r="H121" s="4">
        <v>3595.2780000000057</v>
      </c>
      <c r="I121" s="4">
        <v>25</v>
      </c>
      <c r="J121" s="4">
        <v>65460</v>
      </c>
      <c r="K121" s="4">
        <v>140.1690000000001</v>
      </c>
      <c r="L121" s="4">
        <v>636</v>
      </c>
      <c r="M121" s="4">
        <v>3094</v>
      </c>
      <c r="N121" s="4">
        <v>9.2080000000000126</v>
      </c>
      <c r="O121" s="4">
        <v>42</v>
      </c>
      <c r="P121" s="4">
        <v>13411</v>
      </c>
      <c r="Q121" s="4">
        <v>6</v>
      </c>
    </row>
    <row r="122" spans="1:17" x14ac:dyDescent="0.2">
      <c r="A122" s="3">
        <v>41640</v>
      </c>
      <c r="B122" s="4">
        <v>7011443</v>
      </c>
      <c r="C122" s="4">
        <v>3731561</v>
      </c>
      <c r="D122" s="4">
        <v>3130</v>
      </c>
      <c r="E122" s="4">
        <v>1135257</v>
      </c>
      <c r="F122" s="4">
        <v>411</v>
      </c>
      <c r="G122" s="4">
        <v>1650163</v>
      </c>
      <c r="H122" s="4">
        <v>3461.7489999999998</v>
      </c>
      <c r="I122" s="4">
        <v>25</v>
      </c>
      <c r="J122" s="4">
        <v>54288</v>
      </c>
      <c r="K122" s="4">
        <v>140.16900000000001</v>
      </c>
      <c r="L122" s="4">
        <v>636</v>
      </c>
      <c r="M122" s="4">
        <v>2828</v>
      </c>
      <c r="N122" s="4">
        <v>9.2080000000000002</v>
      </c>
      <c r="O122" s="4">
        <v>42</v>
      </c>
      <c r="P122" s="4">
        <v>12636</v>
      </c>
      <c r="Q122" s="4">
        <v>6</v>
      </c>
    </row>
    <row r="123" spans="1:17" x14ac:dyDescent="0.2">
      <c r="A123" s="3">
        <v>41671</v>
      </c>
      <c r="B123" s="4">
        <v>6017923</v>
      </c>
      <c r="C123" s="4">
        <v>2954950</v>
      </c>
      <c r="D123" s="4">
        <v>3129</v>
      </c>
      <c r="E123" s="4">
        <v>1153164</v>
      </c>
      <c r="F123" s="4">
        <v>410</v>
      </c>
      <c r="G123" s="4">
        <v>1222452</v>
      </c>
      <c r="H123" s="4">
        <v>3906.1310000000003</v>
      </c>
      <c r="I123" s="4">
        <v>25</v>
      </c>
      <c r="J123" s="4">
        <v>44359</v>
      </c>
      <c r="K123" s="4">
        <v>140.16900000000001</v>
      </c>
      <c r="L123" s="4">
        <v>636</v>
      </c>
      <c r="M123" s="4">
        <v>2474</v>
      </c>
      <c r="N123" s="4">
        <v>9.2080000000000002</v>
      </c>
      <c r="O123" s="4">
        <v>42</v>
      </c>
      <c r="P123" s="4">
        <v>11448</v>
      </c>
      <c r="Q123" s="4">
        <v>6</v>
      </c>
    </row>
    <row r="124" spans="1:17" x14ac:dyDescent="0.2">
      <c r="A124" s="3">
        <v>41699</v>
      </c>
      <c r="B124" s="4">
        <v>6229403</v>
      </c>
      <c r="C124" s="4">
        <v>2980828</v>
      </c>
      <c r="D124" s="4">
        <v>3127</v>
      </c>
      <c r="E124" s="4">
        <v>1144321</v>
      </c>
      <c r="F124" s="4">
        <v>410</v>
      </c>
      <c r="G124" s="4">
        <v>1503160</v>
      </c>
      <c r="H124" s="4">
        <v>3895.817</v>
      </c>
      <c r="I124" s="4">
        <v>25</v>
      </c>
      <c r="J124" s="4">
        <v>48845</v>
      </c>
      <c r="K124" s="4">
        <v>140.16899999999998</v>
      </c>
      <c r="L124" s="4">
        <v>636</v>
      </c>
      <c r="M124" s="4">
        <v>2994</v>
      </c>
      <c r="N124" s="4">
        <v>9.2079999999999984</v>
      </c>
      <c r="O124" s="4">
        <v>42</v>
      </c>
      <c r="P124" s="4">
        <v>12865</v>
      </c>
      <c r="Q124" s="4">
        <v>6</v>
      </c>
    </row>
    <row r="125" spans="1:17" x14ac:dyDescent="0.2">
      <c r="A125" s="3">
        <v>41730</v>
      </c>
      <c r="B125" s="4">
        <v>4918189</v>
      </c>
      <c r="C125" s="4">
        <v>2287144</v>
      </c>
      <c r="D125" s="4">
        <v>3128</v>
      </c>
      <c r="E125" s="4">
        <v>897754</v>
      </c>
      <c r="F125" s="4">
        <v>411</v>
      </c>
      <c r="G125" s="4">
        <v>1174052</v>
      </c>
      <c r="H125" s="4">
        <v>3658.4989999999989</v>
      </c>
      <c r="I125" s="4">
        <v>25</v>
      </c>
      <c r="J125" s="4">
        <v>34240</v>
      </c>
      <c r="K125" s="4">
        <v>140.16900000000004</v>
      </c>
      <c r="L125" s="4">
        <v>636</v>
      </c>
      <c r="M125" s="4">
        <v>2682</v>
      </c>
      <c r="N125" s="4">
        <v>9.208000000000002</v>
      </c>
      <c r="O125" s="4">
        <v>42</v>
      </c>
      <c r="P125" s="4">
        <v>12113</v>
      </c>
      <c r="Q125" s="4">
        <v>6</v>
      </c>
    </row>
    <row r="126" spans="1:17" x14ac:dyDescent="0.2">
      <c r="A126" s="3">
        <v>41760</v>
      </c>
      <c r="B126" s="4">
        <v>4477711</v>
      </c>
      <c r="C126" s="4">
        <v>1849530</v>
      </c>
      <c r="D126" s="4">
        <v>3126</v>
      </c>
      <c r="E126" s="4">
        <v>840059</v>
      </c>
      <c r="F126" s="4">
        <v>406</v>
      </c>
      <c r="G126" s="4">
        <v>1314331</v>
      </c>
      <c r="H126" s="4">
        <v>3724.0620000000013</v>
      </c>
      <c r="I126" s="4">
        <v>25</v>
      </c>
      <c r="J126" s="4">
        <v>40090</v>
      </c>
      <c r="K126" s="4">
        <v>140.16899999999998</v>
      </c>
      <c r="L126" s="4">
        <v>636</v>
      </c>
      <c r="M126" s="4">
        <v>3232</v>
      </c>
      <c r="N126" s="4">
        <v>9.2079999999999984</v>
      </c>
      <c r="O126" s="4">
        <v>42</v>
      </c>
      <c r="P126" s="4">
        <v>13887</v>
      </c>
      <c r="Q126" s="4">
        <v>6</v>
      </c>
    </row>
    <row r="127" spans="1:17" x14ac:dyDescent="0.2">
      <c r="A127" s="3">
        <v>41791</v>
      </c>
      <c r="B127" s="4">
        <v>4575318</v>
      </c>
      <c r="C127" s="4">
        <v>1707851</v>
      </c>
      <c r="D127" s="4">
        <v>3125</v>
      </c>
      <c r="E127" s="4">
        <v>1033706</v>
      </c>
      <c r="F127" s="4">
        <v>403</v>
      </c>
      <c r="G127" s="4">
        <v>1521877</v>
      </c>
      <c r="H127" s="4">
        <v>3826.0299999999993</v>
      </c>
      <c r="I127" s="4">
        <v>25</v>
      </c>
      <c r="J127" s="4">
        <v>38088</v>
      </c>
      <c r="K127" s="4">
        <v>140.16899999999998</v>
      </c>
      <c r="L127" s="4">
        <v>638</v>
      </c>
      <c r="M127" s="4">
        <v>3453</v>
      </c>
      <c r="N127" s="4">
        <v>9.2079999999999984</v>
      </c>
      <c r="O127" s="4">
        <v>42</v>
      </c>
      <c r="P127" s="4">
        <v>14755</v>
      </c>
      <c r="Q127" s="4">
        <v>6</v>
      </c>
    </row>
    <row r="128" spans="1:17" x14ac:dyDescent="0.2">
      <c r="A128" s="3">
        <v>41821</v>
      </c>
      <c r="B128" s="4">
        <v>5140709</v>
      </c>
      <c r="C128" s="4">
        <v>2131985</v>
      </c>
      <c r="D128" s="4">
        <v>3121</v>
      </c>
      <c r="E128" s="4">
        <v>1152709</v>
      </c>
      <c r="F128" s="4">
        <v>404</v>
      </c>
      <c r="G128" s="4">
        <v>1401852</v>
      </c>
      <c r="H128" s="4">
        <v>3652.2829999999994</v>
      </c>
      <c r="I128" s="4">
        <v>25</v>
      </c>
      <c r="J128" s="4">
        <v>31871</v>
      </c>
      <c r="K128" s="4">
        <v>140.16899999999998</v>
      </c>
      <c r="L128" s="4">
        <v>638</v>
      </c>
      <c r="M128" s="4">
        <v>3165</v>
      </c>
      <c r="N128" s="4">
        <v>9.2080000000000055</v>
      </c>
      <c r="O128" s="4">
        <v>42</v>
      </c>
      <c r="P128" s="4">
        <v>13657</v>
      </c>
      <c r="Q128" s="4">
        <v>6</v>
      </c>
    </row>
    <row r="129" spans="1:17" x14ac:dyDescent="0.2">
      <c r="A129" s="3">
        <v>41852</v>
      </c>
      <c r="B129" s="4">
        <v>5110194</v>
      </c>
      <c r="C129" s="4">
        <v>2060741</v>
      </c>
      <c r="D129" s="4">
        <v>3122</v>
      </c>
      <c r="E129" s="4">
        <v>1134605</v>
      </c>
      <c r="F129" s="4">
        <v>404</v>
      </c>
      <c r="G129" s="4">
        <v>1181642</v>
      </c>
      <c r="H129" s="4">
        <v>3651.3910000000024</v>
      </c>
      <c r="I129" s="4">
        <v>25</v>
      </c>
      <c r="J129" s="4">
        <v>33951</v>
      </c>
      <c r="K129" s="4">
        <v>140.1690000000001</v>
      </c>
      <c r="L129" s="4">
        <v>638</v>
      </c>
      <c r="M129" s="4">
        <v>2804</v>
      </c>
      <c r="N129" s="4">
        <v>9.2079999999999984</v>
      </c>
      <c r="O129" s="4">
        <v>42</v>
      </c>
      <c r="P129" s="4">
        <v>12664</v>
      </c>
      <c r="Q129" s="4">
        <v>6</v>
      </c>
    </row>
    <row r="130" spans="1:17" x14ac:dyDescent="0.2">
      <c r="A130" s="3">
        <v>41883</v>
      </c>
      <c r="B130" s="4">
        <v>4619989</v>
      </c>
      <c r="C130" s="4">
        <v>1892027</v>
      </c>
      <c r="D130" s="4">
        <v>3127</v>
      </c>
      <c r="E130" s="4">
        <v>999388</v>
      </c>
      <c r="F130" s="4">
        <v>406</v>
      </c>
      <c r="G130" s="4">
        <v>1319870</v>
      </c>
      <c r="H130" s="4">
        <v>3905.1259999999993</v>
      </c>
      <c r="I130" s="4">
        <v>25</v>
      </c>
      <c r="J130" s="4">
        <v>40841</v>
      </c>
      <c r="K130" s="4">
        <v>140.16899999999987</v>
      </c>
      <c r="L130" s="4">
        <v>638</v>
      </c>
      <c r="M130" s="4">
        <v>2789</v>
      </c>
      <c r="N130" s="4">
        <v>9.1080000000000041</v>
      </c>
      <c r="O130" s="4">
        <v>42</v>
      </c>
      <c r="P130" s="4">
        <v>12537</v>
      </c>
      <c r="Q130" s="4">
        <v>6</v>
      </c>
    </row>
    <row r="131" spans="1:17" x14ac:dyDescent="0.2">
      <c r="A131" s="3">
        <v>41913</v>
      </c>
      <c r="B131" s="4">
        <v>4699794</v>
      </c>
      <c r="C131" s="4">
        <v>1873467</v>
      </c>
      <c r="D131" s="4">
        <v>3123</v>
      </c>
      <c r="E131" s="4">
        <v>921311</v>
      </c>
      <c r="F131" s="4">
        <v>404</v>
      </c>
      <c r="G131" s="4">
        <v>1550546</v>
      </c>
      <c r="H131" s="4">
        <v>3888.5959999999977</v>
      </c>
      <c r="I131" s="4">
        <v>25</v>
      </c>
      <c r="J131" s="4">
        <v>55157</v>
      </c>
      <c r="K131" s="4">
        <v>140.1690000000001</v>
      </c>
      <c r="L131" s="4">
        <v>638</v>
      </c>
      <c r="M131" s="4">
        <v>3186</v>
      </c>
      <c r="N131" s="4">
        <v>9.1079999999999899</v>
      </c>
      <c r="O131" s="4">
        <v>42</v>
      </c>
      <c r="P131" s="4">
        <v>13797</v>
      </c>
      <c r="Q131" s="4">
        <v>6</v>
      </c>
    </row>
    <row r="132" spans="1:17" x14ac:dyDescent="0.2">
      <c r="A132" s="3">
        <v>41944</v>
      </c>
      <c r="B132" s="4">
        <v>5247524</v>
      </c>
      <c r="C132" s="4">
        <v>2251919</v>
      </c>
      <c r="D132" s="4">
        <v>3127</v>
      </c>
      <c r="E132" s="4">
        <v>968030</v>
      </c>
      <c r="F132" s="4">
        <v>401</v>
      </c>
      <c r="G132" s="4">
        <v>1278550</v>
      </c>
      <c r="H132" s="4">
        <v>3781.6330000000007</v>
      </c>
      <c r="I132" s="4">
        <v>25</v>
      </c>
      <c r="J132" s="4">
        <v>61783</v>
      </c>
      <c r="K132" s="4">
        <v>136.16399999999999</v>
      </c>
      <c r="L132" s="4">
        <v>638</v>
      </c>
      <c r="M132" s="4">
        <v>3403</v>
      </c>
      <c r="N132" s="4">
        <v>9.1080000000000041</v>
      </c>
      <c r="O132" s="4">
        <v>42</v>
      </c>
      <c r="P132" s="4">
        <v>14655</v>
      </c>
      <c r="Q132" s="4">
        <v>6</v>
      </c>
    </row>
    <row r="133" spans="1:17" x14ac:dyDescent="0.2">
      <c r="A133" s="3">
        <v>41974</v>
      </c>
      <c r="B133" s="4">
        <v>5850375</v>
      </c>
      <c r="C133" s="4">
        <v>2945920</v>
      </c>
      <c r="D133" s="4">
        <v>3143</v>
      </c>
      <c r="E133" s="4">
        <v>926606</v>
      </c>
      <c r="F133" s="4">
        <v>401</v>
      </c>
      <c r="G133" s="4">
        <v>1423074</v>
      </c>
      <c r="H133" s="4">
        <v>3574.0509999999977</v>
      </c>
      <c r="I133" s="4">
        <v>25</v>
      </c>
      <c r="J133" s="4">
        <v>59291</v>
      </c>
      <c r="K133" s="4">
        <v>136.16399999999999</v>
      </c>
      <c r="L133" s="4">
        <v>638</v>
      </c>
      <c r="M133" s="4">
        <v>2862</v>
      </c>
      <c r="N133" s="4">
        <v>9.1080000000000041</v>
      </c>
      <c r="O133" s="4">
        <v>42</v>
      </c>
      <c r="P133" s="4">
        <v>12679</v>
      </c>
      <c r="Q133" s="4">
        <v>6</v>
      </c>
    </row>
    <row r="134" spans="1:17" x14ac:dyDescent="0.2">
      <c r="A134" s="3">
        <v>42005</v>
      </c>
      <c r="B134" s="4">
        <v>6766547</v>
      </c>
      <c r="C134" s="4">
        <v>3462473</v>
      </c>
      <c r="D134" s="4">
        <v>3136</v>
      </c>
      <c r="E134" s="4">
        <v>1131188</v>
      </c>
      <c r="F134" s="4">
        <v>402</v>
      </c>
      <c r="G134" s="4">
        <v>1670266</v>
      </c>
      <c r="H134" s="4">
        <v>3525.8719999999998</v>
      </c>
      <c r="I134" s="4">
        <v>23</v>
      </c>
      <c r="J134" s="4">
        <v>63308</v>
      </c>
      <c r="K134" s="4">
        <v>136.16399999999999</v>
      </c>
      <c r="L134" s="4">
        <v>638</v>
      </c>
      <c r="M134" s="4">
        <v>3229</v>
      </c>
      <c r="N134" s="4">
        <v>9.1080000000000005</v>
      </c>
      <c r="O134" s="4">
        <v>42</v>
      </c>
      <c r="P134" s="4">
        <v>14046</v>
      </c>
      <c r="Q134" s="4">
        <v>6</v>
      </c>
    </row>
    <row r="135" spans="1:17" x14ac:dyDescent="0.2">
      <c r="A135" s="3">
        <v>42036</v>
      </c>
      <c r="B135" s="4">
        <v>6415407</v>
      </c>
      <c r="C135" s="4">
        <v>3204259</v>
      </c>
      <c r="D135" s="4">
        <v>3137</v>
      </c>
      <c r="E135" s="4">
        <v>1191684</v>
      </c>
      <c r="F135" s="4">
        <v>404</v>
      </c>
      <c r="G135" s="4">
        <v>1048930</v>
      </c>
      <c r="H135" s="4">
        <v>3734.5070000000001</v>
      </c>
      <c r="I135" s="4">
        <v>23</v>
      </c>
      <c r="J135" s="4">
        <v>44398</v>
      </c>
      <c r="K135" s="4">
        <v>136.16399999999999</v>
      </c>
      <c r="L135" s="4">
        <v>638</v>
      </c>
      <c r="M135" s="4">
        <v>2498</v>
      </c>
      <c r="N135" s="4">
        <v>9.1080000000000005</v>
      </c>
      <c r="O135" s="4">
        <v>42</v>
      </c>
      <c r="P135" s="4">
        <v>11558</v>
      </c>
      <c r="Q135" s="4">
        <v>6</v>
      </c>
    </row>
    <row r="136" spans="1:17" x14ac:dyDescent="0.2">
      <c r="A136" s="3">
        <v>42064</v>
      </c>
      <c r="B136" s="4">
        <v>5945510</v>
      </c>
      <c r="C136" s="4">
        <v>2999296</v>
      </c>
      <c r="D136" s="4">
        <v>3137</v>
      </c>
      <c r="E136" s="4">
        <v>1067741</v>
      </c>
      <c r="F136" s="4">
        <v>405</v>
      </c>
      <c r="G136" s="4">
        <v>1504234</v>
      </c>
      <c r="H136" s="4">
        <v>3868.228000000001</v>
      </c>
      <c r="I136" s="4">
        <v>23</v>
      </c>
      <c r="J136" s="4">
        <v>35551</v>
      </c>
      <c r="K136" s="4">
        <v>136.16400000000004</v>
      </c>
      <c r="L136" s="4">
        <v>638</v>
      </c>
      <c r="M136" s="4">
        <v>2405</v>
      </c>
      <c r="N136" s="4">
        <v>9.3580000000000005</v>
      </c>
      <c r="O136" s="4">
        <v>40</v>
      </c>
      <c r="P136" s="4">
        <v>11049</v>
      </c>
      <c r="Q136" s="4">
        <v>6</v>
      </c>
    </row>
    <row r="137" spans="1:17" x14ac:dyDescent="0.2">
      <c r="A137" s="3">
        <v>42095</v>
      </c>
      <c r="B137" s="4">
        <v>4706784</v>
      </c>
      <c r="C137" s="4">
        <v>2047593</v>
      </c>
      <c r="D137" s="4">
        <v>3138</v>
      </c>
      <c r="E137" s="4">
        <v>927862</v>
      </c>
      <c r="F137" s="4">
        <v>406</v>
      </c>
      <c r="G137" s="4">
        <v>1431817</v>
      </c>
      <c r="H137" s="4">
        <v>3767.03</v>
      </c>
      <c r="I137" s="4">
        <v>23</v>
      </c>
      <c r="J137" s="4">
        <v>39491</v>
      </c>
      <c r="K137" s="4">
        <v>136.16399999999993</v>
      </c>
      <c r="L137" s="4">
        <v>638</v>
      </c>
      <c r="M137" s="4">
        <v>2872</v>
      </c>
      <c r="N137" s="4">
        <v>8.9579999999999949</v>
      </c>
      <c r="O137" s="4">
        <v>40</v>
      </c>
      <c r="P137" s="4">
        <v>13054</v>
      </c>
      <c r="Q137" s="4">
        <v>6</v>
      </c>
    </row>
    <row r="138" spans="1:17" x14ac:dyDescent="0.2">
      <c r="A138" s="3">
        <v>42125</v>
      </c>
      <c r="B138" s="4">
        <v>4405181</v>
      </c>
      <c r="C138" s="4">
        <v>1849459</v>
      </c>
      <c r="D138" s="4">
        <v>3135</v>
      </c>
      <c r="E138" s="4">
        <v>850129</v>
      </c>
      <c r="F138" s="4">
        <v>406</v>
      </c>
      <c r="G138" s="4">
        <v>1121094</v>
      </c>
      <c r="H138" s="4">
        <v>3645.8139999999994</v>
      </c>
      <c r="I138" s="4">
        <v>23</v>
      </c>
      <c r="J138" s="4">
        <v>39643</v>
      </c>
      <c r="K138" s="4">
        <v>136.1640000000001</v>
      </c>
      <c r="L138" s="4">
        <v>638</v>
      </c>
      <c r="M138" s="4">
        <v>3148</v>
      </c>
      <c r="N138" s="4">
        <v>8.8580000000000041</v>
      </c>
      <c r="O138" s="4">
        <v>40</v>
      </c>
      <c r="P138" s="4">
        <v>14025</v>
      </c>
      <c r="Q138" s="4">
        <v>6</v>
      </c>
    </row>
    <row r="139" spans="1:17" x14ac:dyDescent="0.2">
      <c r="A139" s="3">
        <v>42156</v>
      </c>
      <c r="B139" s="4">
        <v>4480499</v>
      </c>
      <c r="C139" s="4">
        <v>1542736</v>
      </c>
      <c r="D139" s="4">
        <v>3135</v>
      </c>
      <c r="E139" s="4">
        <v>951989</v>
      </c>
      <c r="F139" s="4">
        <v>405</v>
      </c>
      <c r="G139" s="4">
        <v>1352974</v>
      </c>
      <c r="H139" s="4">
        <v>3482.2869999999984</v>
      </c>
      <c r="I139" s="4">
        <v>23</v>
      </c>
      <c r="J139" s="4">
        <v>34264</v>
      </c>
      <c r="K139" s="4">
        <v>136.16399999999999</v>
      </c>
      <c r="L139" s="4">
        <v>639</v>
      </c>
      <c r="M139" s="4">
        <v>3186</v>
      </c>
      <c r="N139" s="4">
        <v>8.857999999999997</v>
      </c>
      <c r="O139" s="4">
        <v>40</v>
      </c>
      <c r="P139" s="4">
        <v>14222</v>
      </c>
      <c r="Q139" s="4">
        <v>6</v>
      </c>
    </row>
    <row r="140" spans="1:17" x14ac:dyDescent="0.2">
      <c r="A140" s="3">
        <v>42186</v>
      </c>
      <c r="B140" s="4">
        <v>5187242</v>
      </c>
      <c r="C140" s="4">
        <v>2166679</v>
      </c>
      <c r="D140" s="4">
        <v>3143</v>
      </c>
      <c r="E140" s="4">
        <v>1145513</v>
      </c>
      <c r="F140" s="4">
        <v>403</v>
      </c>
      <c r="G140" s="4">
        <v>1604309</v>
      </c>
      <c r="H140" s="4">
        <v>3766.3360000000002</v>
      </c>
      <c r="I140" s="4">
        <v>23</v>
      </c>
      <c r="J140" s="4">
        <v>34954</v>
      </c>
      <c r="K140" s="4">
        <v>137.42399999999998</v>
      </c>
      <c r="L140" s="4">
        <v>639</v>
      </c>
      <c r="M140" s="4">
        <v>3292</v>
      </c>
      <c r="N140" s="4">
        <v>9.2580000000000027</v>
      </c>
      <c r="O140" s="4">
        <v>40</v>
      </c>
      <c r="P140" s="4">
        <v>14499</v>
      </c>
      <c r="Q140" s="4">
        <v>6</v>
      </c>
    </row>
    <row r="141" spans="1:17" x14ac:dyDescent="0.2">
      <c r="A141" s="3">
        <v>42217</v>
      </c>
      <c r="B141" s="4">
        <v>5243330</v>
      </c>
      <c r="C141" s="4">
        <v>2200495</v>
      </c>
      <c r="D141" s="4">
        <v>3142</v>
      </c>
      <c r="E141" s="4">
        <v>1069155</v>
      </c>
      <c r="F141" s="4">
        <v>404</v>
      </c>
      <c r="G141" s="4">
        <v>1183432</v>
      </c>
      <c r="H141" s="4">
        <v>3574.7220000000034</v>
      </c>
      <c r="I141" s="4">
        <v>23</v>
      </c>
      <c r="J141" s="4">
        <v>30789</v>
      </c>
      <c r="K141" s="4">
        <v>137.42400000000009</v>
      </c>
      <c r="L141" s="4">
        <v>639</v>
      </c>
      <c r="M141" s="4">
        <v>2605</v>
      </c>
      <c r="N141" s="4">
        <v>8.8580000000000041</v>
      </c>
      <c r="O141" s="4">
        <v>40</v>
      </c>
      <c r="P141" s="4">
        <v>12133</v>
      </c>
      <c r="Q141" s="4">
        <v>6</v>
      </c>
    </row>
    <row r="142" spans="1:17" x14ac:dyDescent="0.2">
      <c r="A142" s="3">
        <v>42248</v>
      </c>
      <c r="B142" s="4">
        <v>4820138</v>
      </c>
      <c r="C142" s="4">
        <v>1963139</v>
      </c>
      <c r="D142" s="4">
        <v>3145</v>
      </c>
      <c r="E142" s="4">
        <v>1045609</v>
      </c>
      <c r="F142" s="4">
        <v>401</v>
      </c>
      <c r="G142" s="4">
        <v>1229206</v>
      </c>
      <c r="H142" s="4">
        <v>3815.7739999999958</v>
      </c>
      <c r="I142" s="4">
        <v>23</v>
      </c>
      <c r="J142" s="4">
        <v>40394</v>
      </c>
      <c r="K142" s="4">
        <v>137.42399999999998</v>
      </c>
      <c r="L142" s="4">
        <v>639</v>
      </c>
      <c r="M142" s="4">
        <v>2731</v>
      </c>
      <c r="N142" s="4">
        <v>8.8579999999999899</v>
      </c>
      <c r="O142" s="4">
        <v>40</v>
      </c>
      <c r="P142" s="4">
        <v>12602</v>
      </c>
      <c r="Q142" s="4">
        <v>6</v>
      </c>
    </row>
    <row r="143" spans="1:17" x14ac:dyDescent="0.2">
      <c r="A143" s="3">
        <v>42278</v>
      </c>
      <c r="B143" s="4">
        <v>4598818</v>
      </c>
      <c r="C143" s="4">
        <v>1795091</v>
      </c>
      <c r="D143" s="4">
        <v>3142</v>
      </c>
      <c r="E143" s="4">
        <v>923025</v>
      </c>
      <c r="F143" s="4">
        <v>399</v>
      </c>
      <c r="G143" s="4">
        <v>1747701</v>
      </c>
      <c r="H143" s="4">
        <v>3911.4990000000034</v>
      </c>
      <c r="I143" s="4">
        <v>24</v>
      </c>
      <c r="J143" s="4">
        <v>50112</v>
      </c>
      <c r="K143" s="4">
        <v>137.42399999999998</v>
      </c>
      <c r="L143" s="4">
        <v>639</v>
      </c>
      <c r="M143" s="4">
        <v>2890</v>
      </c>
      <c r="N143" s="4">
        <v>8.8580000000000041</v>
      </c>
      <c r="O143" s="4">
        <v>40</v>
      </c>
      <c r="P143" s="4">
        <v>13056</v>
      </c>
      <c r="Q143" s="4">
        <v>6</v>
      </c>
    </row>
    <row r="144" spans="1:17" x14ac:dyDescent="0.2">
      <c r="A144" s="3">
        <v>42309</v>
      </c>
      <c r="B144" s="4">
        <v>4703301</v>
      </c>
      <c r="C144" s="4">
        <v>1987652</v>
      </c>
      <c r="D144" s="4">
        <v>3143</v>
      </c>
      <c r="E144" s="4">
        <v>769926</v>
      </c>
      <c r="F144" s="4">
        <v>397</v>
      </c>
      <c r="G144" s="4">
        <v>741246</v>
      </c>
      <c r="H144" s="4">
        <v>3588</v>
      </c>
      <c r="I144" s="4">
        <v>19</v>
      </c>
      <c r="J144" s="4">
        <v>58423</v>
      </c>
      <c r="K144" s="4">
        <v>137</v>
      </c>
      <c r="L144" s="4">
        <v>639</v>
      </c>
      <c r="M144" s="4">
        <v>3062</v>
      </c>
      <c r="N144" s="4">
        <v>10</v>
      </c>
      <c r="O144" s="4">
        <v>40</v>
      </c>
      <c r="P144" s="4">
        <v>13875</v>
      </c>
      <c r="Q144" s="4">
        <v>6</v>
      </c>
    </row>
    <row r="145" spans="1:17" x14ac:dyDescent="0.2">
      <c r="A145" s="3">
        <v>42339</v>
      </c>
      <c r="B145" s="4">
        <v>5250739</v>
      </c>
      <c r="C145" s="4">
        <v>2604025</v>
      </c>
      <c r="D145" s="4">
        <v>3144</v>
      </c>
      <c r="E145" s="4">
        <v>906883</v>
      </c>
      <c r="F145" s="4">
        <v>398</v>
      </c>
      <c r="G145" s="4">
        <v>1371638</v>
      </c>
      <c r="H145" s="4">
        <v>2665</v>
      </c>
      <c r="I145" s="4">
        <v>24</v>
      </c>
      <c r="J145" s="4">
        <v>71769</v>
      </c>
      <c r="K145" s="4">
        <v>137</v>
      </c>
      <c r="L145" s="4">
        <v>639</v>
      </c>
      <c r="M145" s="4">
        <v>3002</v>
      </c>
      <c r="N145" s="4">
        <v>8</v>
      </c>
      <c r="O145" s="4">
        <v>40</v>
      </c>
      <c r="P145" s="4">
        <v>14512</v>
      </c>
      <c r="Q145" s="4">
        <v>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workbookViewId="0">
      <pane xSplit="1" ySplit="1" topLeftCell="B113" activePane="bottomRight" state="frozen"/>
      <selection activeCell="C121" sqref="C121"/>
      <selection pane="topRight" activeCell="C121" sqref="C121"/>
      <selection pane="bottomLeft" activeCell="C121" sqref="C121"/>
      <selection pane="bottomRight" activeCell="C121" sqref="C121"/>
    </sheetView>
  </sheetViews>
  <sheetFormatPr defaultRowHeight="12.75" x14ac:dyDescent="0.2"/>
  <cols>
    <col min="1" max="1" width="16.83203125" customWidth="1"/>
    <col min="2" max="2" width="15" style="9" customWidth="1"/>
    <col min="3" max="3" width="11.1640625" bestFit="1" customWidth="1"/>
    <col min="4" max="4" width="12.6640625" bestFit="1" customWidth="1"/>
    <col min="5" max="5" width="10.6640625" bestFit="1" customWidth="1"/>
    <col min="6" max="6" width="11" bestFit="1" customWidth="1"/>
    <col min="7" max="8" width="11.83203125" bestFit="1" customWidth="1"/>
    <col min="9" max="9" width="12.6640625" bestFit="1" customWidth="1"/>
    <col min="10" max="10" width="10.33203125" bestFit="1" customWidth="1"/>
    <col min="11" max="11" width="10.6640625" bestFit="1" customWidth="1"/>
    <col min="12" max="12" width="12.6640625" bestFit="1" customWidth="1"/>
    <col min="13" max="13" width="9.5" bestFit="1" customWidth="1"/>
    <col min="15" max="15" width="12.6640625" bestFit="1" customWidth="1"/>
    <col min="16" max="16" width="12" customWidth="1"/>
    <col min="17" max="17" width="12.6640625" bestFit="1" customWidth="1"/>
    <col min="20" max="20" width="11.6640625" bestFit="1" customWidth="1"/>
    <col min="21" max="21" width="9.6640625" bestFit="1" customWidth="1"/>
    <col min="24" max="24" width="11.6640625" bestFit="1" customWidth="1"/>
    <col min="25" max="25" width="11" bestFit="1" customWidth="1"/>
  </cols>
  <sheetData>
    <row r="1" spans="1: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25</v>
      </c>
      <c r="Y1" s="1" t="s">
        <v>26</v>
      </c>
    </row>
    <row r="2" spans="1:25" x14ac:dyDescent="0.2">
      <c r="A2" s="3">
        <v>37987</v>
      </c>
      <c r="B2" s="14">
        <v>28693640.52</v>
      </c>
      <c r="C2" s="14">
        <v>10573467.84942382</v>
      </c>
      <c r="D2" s="14">
        <v>13717</v>
      </c>
      <c r="E2" s="14">
        <v>3680938.5545018488</v>
      </c>
      <c r="F2" s="14">
        <v>1150</v>
      </c>
      <c r="G2" s="14">
        <v>11135071.442181008</v>
      </c>
      <c r="H2" s="14">
        <v>26040.749312647273</v>
      </c>
      <c r="I2" s="14">
        <v>133</v>
      </c>
      <c r="J2" s="14">
        <v>196951.46237057872</v>
      </c>
      <c r="K2" s="14">
        <v>548.83333333333337</v>
      </c>
      <c r="L2" s="14">
        <v>3020</v>
      </c>
      <c r="M2" s="14">
        <v>78749.774817354046</v>
      </c>
      <c r="N2" s="14">
        <v>172</v>
      </c>
      <c r="O2" s="14">
        <v>862</v>
      </c>
      <c r="P2" s="14">
        <v>0</v>
      </c>
      <c r="Q2" s="14">
        <v>107</v>
      </c>
      <c r="R2">
        <v>849.1</v>
      </c>
      <c r="S2">
        <v>0</v>
      </c>
      <c r="T2">
        <v>31</v>
      </c>
      <c r="U2">
        <v>21</v>
      </c>
      <c r="V2">
        <v>6237.3</v>
      </c>
      <c r="W2">
        <v>5047.8999999999996</v>
      </c>
      <c r="X2">
        <v>187.5</v>
      </c>
      <c r="Y2">
        <v>142.80000000000001</v>
      </c>
    </row>
    <row r="3" spans="1:25" x14ac:dyDescent="0.2">
      <c r="A3" s="3">
        <v>38018</v>
      </c>
      <c r="B3" s="14">
        <v>25822995.100000001</v>
      </c>
      <c r="C3" s="14">
        <v>15092290.876888478</v>
      </c>
      <c r="D3" s="14">
        <v>13717</v>
      </c>
      <c r="E3" s="14">
        <v>1516641.9856342222</v>
      </c>
      <c r="F3" s="14">
        <v>1150</v>
      </c>
      <c r="G3" s="14">
        <v>8090300.7195045771</v>
      </c>
      <c r="H3" s="14">
        <v>28991.798972989956</v>
      </c>
      <c r="I3" s="14">
        <v>133</v>
      </c>
      <c r="J3" s="14">
        <v>261225.54325228315</v>
      </c>
      <c r="K3" s="14">
        <v>548.83333333333337</v>
      </c>
      <c r="L3" s="14">
        <v>3020</v>
      </c>
      <c r="M3" s="14">
        <v>70703.502204994031</v>
      </c>
      <c r="N3" s="14">
        <v>172</v>
      </c>
      <c r="O3" s="14">
        <v>862</v>
      </c>
      <c r="P3" s="14">
        <v>0</v>
      </c>
      <c r="Q3" s="14">
        <v>107</v>
      </c>
      <c r="R3">
        <v>631.70000000000005</v>
      </c>
      <c r="S3">
        <v>0</v>
      </c>
      <c r="T3">
        <v>29</v>
      </c>
      <c r="U3">
        <v>20</v>
      </c>
      <c r="V3">
        <v>6219.9</v>
      </c>
      <c r="W3">
        <v>5032.3</v>
      </c>
      <c r="X3">
        <v>184.1</v>
      </c>
      <c r="Y3">
        <v>141.19999999999999</v>
      </c>
    </row>
    <row r="4" spans="1:25" x14ac:dyDescent="0.2">
      <c r="A4" s="3">
        <v>38047</v>
      </c>
      <c r="B4" s="14">
        <v>26131564.940000001</v>
      </c>
      <c r="C4" s="14">
        <v>15150632.38889477</v>
      </c>
      <c r="D4" s="14">
        <v>13717</v>
      </c>
      <c r="E4" s="14">
        <v>7141121.1152671641</v>
      </c>
      <c r="F4" s="14">
        <v>1150</v>
      </c>
      <c r="G4" s="14">
        <v>17663481.221864942</v>
      </c>
      <c r="H4" s="14">
        <v>25805.6733521936</v>
      </c>
      <c r="I4" s="14">
        <v>133</v>
      </c>
      <c r="J4" s="14">
        <v>208329.41492690163</v>
      </c>
      <c r="K4" s="14">
        <v>548.83333333333337</v>
      </c>
      <c r="L4" s="14">
        <v>3020</v>
      </c>
      <c r="M4" s="14">
        <v>75580.240084924182</v>
      </c>
      <c r="N4" s="14">
        <v>172</v>
      </c>
      <c r="O4" s="14">
        <v>862</v>
      </c>
      <c r="P4" s="14">
        <v>0</v>
      </c>
      <c r="Q4" s="14">
        <v>107</v>
      </c>
      <c r="R4">
        <v>487.3</v>
      </c>
      <c r="S4">
        <v>0</v>
      </c>
      <c r="T4">
        <v>31</v>
      </c>
      <c r="U4">
        <v>23</v>
      </c>
      <c r="V4">
        <v>6188.1</v>
      </c>
      <c r="W4">
        <v>5015.7</v>
      </c>
      <c r="X4">
        <v>180.9</v>
      </c>
      <c r="Y4">
        <v>138.5</v>
      </c>
    </row>
    <row r="5" spans="1:25" x14ac:dyDescent="0.2">
      <c r="A5" s="3">
        <v>38078</v>
      </c>
      <c r="B5" s="14">
        <v>23274372.09</v>
      </c>
      <c r="C5" s="14">
        <v>6009298.7472453574</v>
      </c>
      <c r="D5" s="14">
        <v>13717</v>
      </c>
      <c r="E5" s="14">
        <v>3428701.9152175942</v>
      </c>
      <c r="F5" s="14">
        <v>1150</v>
      </c>
      <c r="G5" s="14">
        <v>3040258.4853452924</v>
      </c>
      <c r="H5" s="14">
        <v>28116.71262296542</v>
      </c>
      <c r="I5" s="14">
        <v>133</v>
      </c>
      <c r="J5" s="14">
        <v>255501.64403566165</v>
      </c>
      <c r="K5" s="14">
        <v>548.83333333333337</v>
      </c>
      <c r="L5" s="14">
        <v>3020</v>
      </c>
      <c r="M5" s="14">
        <v>72784.335670970831</v>
      </c>
      <c r="N5" s="14">
        <v>172</v>
      </c>
      <c r="O5" s="14">
        <v>862</v>
      </c>
      <c r="P5" s="14">
        <v>0</v>
      </c>
      <c r="Q5" s="14">
        <v>107</v>
      </c>
      <c r="R5">
        <v>331.5</v>
      </c>
      <c r="S5">
        <v>0</v>
      </c>
      <c r="T5">
        <v>30</v>
      </c>
      <c r="U5">
        <v>20</v>
      </c>
      <c r="V5">
        <v>6202.5</v>
      </c>
      <c r="W5">
        <v>5043.8999999999996</v>
      </c>
      <c r="X5">
        <v>180.5</v>
      </c>
      <c r="Y5">
        <v>138.4</v>
      </c>
    </row>
    <row r="6" spans="1:25" x14ac:dyDescent="0.2">
      <c r="A6" s="3">
        <v>38108</v>
      </c>
      <c r="B6" s="14">
        <v>23273960.48</v>
      </c>
      <c r="C6" s="14">
        <v>8792216.9209602214</v>
      </c>
      <c r="D6" s="14">
        <v>13717</v>
      </c>
      <c r="E6" s="14">
        <v>3366605.48403962</v>
      </c>
      <c r="F6" s="14">
        <v>1150</v>
      </c>
      <c r="G6" s="14">
        <v>6274579.8231263049</v>
      </c>
      <c r="H6" s="14">
        <v>29289.329601622663</v>
      </c>
      <c r="I6" s="14">
        <v>133</v>
      </c>
      <c r="J6" s="14">
        <v>230734.92032982621</v>
      </c>
      <c r="K6" s="14">
        <v>548.83333333333337</v>
      </c>
      <c r="L6" s="14">
        <v>3020</v>
      </c>
      <c r="M6" s="14">
        <v>72784.335670970831</v>
      </c>
      <c r="N6" s="14">
        <v>172</v>
      </c>
      <c r="O6" s="14">
        <v>862</v>
      </c>
      <c r="P6" s="14">
        <v>0</v>
      </c>
      <c r="Q6" s="14">
        <v>107</v>
      </c>
      <c r="R6">
        <v>158.9</v>
      </c>
      <c r="S6">
        <v>8.6</v>
      </c>
      <c r="T6">
        <v>31</v>
      </c>
      <c r="U6">
        <v>20</v>
      </c>
      <c r="V6">
        <v>6249.6</v>
      </c>
      <c r="W6">
        <v>5103.7</v>
      </c>
      <c r="X6">
        <v>181.7</v>
      </c>
      <c r="Y6">
        <v>141.69999999999999</v>
      </c>
    </row>
    <row r="7" spans="1:25" x14ac:dyDescent="0.2">
      <c r="A7" s="3">
        <v>38139</v>
      </c>
      <c r="B7" s="14">
        <v>23671360.27</v>
      </c>
      <c r="C7" s="14">
        <v>8279420.230352846</v>
      </c>
      <c r="D7" s="14">
        <v>13717</v>
      </c>
      <c r="E7" s="14">
        <v>1216999.501723092</v>
      </c>
      <c r="F7" s="14">
        <v>1150</v>
      </c>
      <c r="G7" s="14">
        <v>6370059.8468623348</v>
      </c>
      <c r="H7" s="14">
        <v>26044.953553807871</v>
      </c>
      <c r="I7" s="14">
        <v>133</v>
      </c>
      <c r="J7" s="14">
        <v>197242.3192031158</v>
      </c>
      <c r="K7" s="14">
        <v>548.83333333333337</v>
      </c>
      <c r="L7" s="14">
        <v>3020</v>
      </c>
      <c r="M7" s="14">
        <v>72784.335670970831</v>
      </c>
      <c r="N7" s="14">
        <v>172</v>
      </c>
      <c r="O7" s="14">
        <v>862</v>
      </c>
      <c r="P7" s="14">
        <v>0</v>
      </c>
      <c r="Q7" s="14">
        <v>107</v>
      </c>
      <c r="R7">
        <v>44.2</v>
      </c>
      <c r="S7">
        <v>31.6</v>
      </c>
      <c r="T7">
        <v>30</v>
      </c>
      <c r="U7">
        <v>22</v>
      </c>
      <c r="V7">
        <v>6331.5</v>
      </c>
      <c r="W7">
        <v>5208.5</v>
      </c>
      <c r="X7">
        <v>183.9</v>
      </c>
      <c r="Y7">
        <v>145.19999999999999</v>
      </c>
    </row>
    <row r="8" spans="1:25" x14ac:dyDescent="0.2">
      <c r="A8" s="3">
        <v>38169</v>
      </c>
      <c r="B8" s="14">
        <v>26178025.309999999</v>
      </c>
      <c r="C8" s="14">
        <v>9876509.3496552538</v>
      </c>
      <c r="D8" s="14">
        <v>13717</v>
      </c>
      <c r="E8" s="14">
        <v>5881352.6499282466</v>
      </c>
      <c r="F8" s="14">
        <v>1150</v>
      </c>
      <c r="G8" s="14">
        <v>3750151.5264257221</v>
      </c>
      <c r="H8" s="14">
        <v>32433.383891004494</v>
      </c>
      <c r="I8" s="14">
        <v>133</v>
      </c>
      <c r="J8" s="14">
        <v>200524.56383223317</v>
      </c>
      <c r="K8" s="14">
        <v>548.83333333333337</v>
      </c>
      <c r="L8" s="14">
        <v>3020</v>
      </c>
      <c r="M8" s="14">
        <v>72784.335670970831</v>
      </c>
      <c r="N8" s="14">
        <v>172</v>
      </c>
      <c r="O8" s="14">
        <v>862</v>
      </c>
      <c r="P8" s="14">
        <v>0</v>
      </c>
      <c r="Q8" s="14">
        <v>107</v>
      </c>
      <c r="R8">
        <v>3.6</v>
      </c>
      <c r="S8">
        <v>86.4</v>
      </c>
      <c r="T8">
        <v>31</v>
      </c>
      <c r="U8">
        <v>21</v>
      </c>
      <c r="V8">
        <v>6395.3</v>
      </c>
      <c r="W8">
        <v>5296.2</v>
      </c>
      <c r="X8">
        <v>187.8</v>
      </c>
      <c r="Y8">
        <v>152.1</v>
      </c>
    </row>
    <row r="9" spans="1:25" x14ac:dyDescent="0.2">
      <c r="A9" s="3">
        <v>38200</v>
      </c>
      <c r="B9" s="14">
        <v>26422717.32</v>
      </c>
      <c r="C9" s="14">
        <v>10984518.681335425</v>
      </c>
      <c r="D9" s="14">
        <v>13717</v>
      </c>
      <c r="E9" s="14">
        <v>4454389.5742831975</v>
      </c>
      <c r="F9" s="14">
        <v>1150</v>
      </c>
      <c r="G9" s="14">
        <v>12313425.859284909</v>
      </c>
      <c r="H9" s="14">
        <v>29914.920702699626</v>
      </c>
      <c r="I9" s="14">
        <v>133</v>
      </c>
      <c r="J9" s="14">
        <v>296780.12388428417</v>
      </c>
      <c r="K9" s="14">
        <v>548.83333333333337</v>
      </c>
      <c r="L9" s="14">
        <v>3020</v>
      </c>
      <c r="M9" s="14">
        <v>81157.103700091844</v>
      </c>
      <c r="N9" s="14">
        <v>172</v>
      </c>
      <c r="O9" s="14">
        <v>862</v>
      </c>
      <c r="P9" s="14">
        <v>0</v>
      </c>
      <c r="Q9" s="14">
        <v>107</v>
      </c>
      <c r="R9">
        <v>12.8</v>
      </c>
      <c r="S9">
        <v>59.6</v>
      </c>
      <c r="T9">
        <v>31</v>
      </c>
      <c r="U9">
        <v>21</v>
      </c>
      <c r="V9">
        <v>6414.6</v>
      </c>
      <c r="W9">
        <v>5353.6</v>
      </c>
      <c r="X9">
        <v>191</v>
      </c>
      <c r="Y9">
        <v>156.30000000000001</v>
      </c>
    </row>
    <row r="10" spans="1:25" x14ac:dyDescent="0.2">
      <c r="A10" s="3">
        <v>38231</v>
      </c>
      <c r="B10" s="14">
        <v>24912922.300000001</v>
      </c>
      <c r="C10" s="14">
        <v>9480425.5734859426</v>
      </c>
      <c r="D10" s="14">
        <v>13717</v>
      </c>
      <c r="E10" s="14">
        <v>3547344.2658173279</v>
      </c>
      <c r="F10" s="14">
        <v>1150</v>
      </c>
      <c r="G10" s="14">
        <v>13196604.090234062</v>
      </c>
      <c r="H10" s="14">
        <v>31525.07401522675</v>
      </c>
      <c r="I10" s="14">
        <v>133</v>
      </c>
      <c r="J10" s="14">
        <v>229881.43027035575</v>
      </c>
      <c r="K10" s="14">
        <v>548.83333333333337</v>
      </c>
      <c r="L10" s="14">
        <v>3020</v>
      </c>
      <c r="M10" s="14">
        <v>81157.103700091844</v>
      </c>
      <c r="N10" s="14">
        <v>172</v>
      </c>
      <c r="O10" s="14">
        <v>862</v>
      </c>
      <c r="P10" s="14">
        <v>0</v>
      </c>
      <c r="Q10" s="14">
        <v>107</v>
      </c>
      <c r="R10">
        <v>30</v>
      </c>
      <c r="S10">
        <v>41.2</v>
      </c>
      <c r="T10">
        <v>30</v>
      </c>
      <c r="U10">
        <v>21</v>
      </c>
      <c r="V10">
        <v>6372.4</v>
      </c>
      <c r="W10">
        <v>5304.4</v>
      </c>
      <c r="X10">
        <v>193.2</v>
      </c>
      <c r="Y10">
        <v>156.19999999999999</v>
      </c>
    </row>
    <row r="11" spans="1:25" x14ac:dyDescent="0.2">
      <c r="A11" s="3">
        <v>38261</v>
      </c>
      <c r="B11" s="14">
        <v>23326241.850000001</v>
      </c>
      <c r="C11" s="14">
        <v>11816412.908397967</v>
      </c>
      <c r="D11" s="14">
        <v>13717</v>
      </c>
      <c r="E11" s="14">
        <v>3941166.4139828896</v>
      </c>
      <c r="F11" s="14">
        <v>1150</v>
      </c>
      <c r="G11" s="14">
        <v>12197451.855050433</v>
      </c>
      <c r="H11" s="14">
        <v>28631.138887923305</v>
      </c>
      <c r="I11" s="14">
        <v>133</v>
      </c>
      <c r="J11" s="14">
        <v>209739.86248135995</v>
      </c>
      <c r="K11" s="14">
        <v>548.83333333333337</v>
      </c>
      <c r="L11" s="14">
        <v>3020</v>
      </c>
      <c r="M11" s="14">
        <v>81262.869821014421</v>
      </c>
      <c r="N11" s="14">
        <v>172</v>
      </c>
      <c r="O11" s="14">
        <v>862</v>
      </c>
      <c r="P11" s="14">
        <v>0</v>
      </c>
      <c r="Q11" s="14">
        <v>107</v>
      </c>
      <c r="R11">
        <v>226.3</v>
      </c>
      <c r="S11">
        <v>1.5</v>
      </c>
      <c r="T11">
        <v>31</v>
      </c>
      <c r="U11">
        <v>20</v>
      </c>
      <c r="V11">
        <v>6349.1</v>
      </c>
      <c r="W11">
        <v>5229.2</v>
      </c>
      <c r="X11">
        <v>195.3</v>
      </c>
      <c r="Y11">
        <v>152.4</v>
      </c>
    </row>
    <row r="12" spans="1:25" x14ac:dyDescent="0.2">
      <c r="A12" s="3">
        <v>38292</v>
      </c>
      <c r="B12" s="14">
        <v>24138244.890000001</v>
      </c>
      <c r="C12" s="14">
        <v>8577582.9726558365</v>
      </c>
      <c r="D12" s="14">
        <v>13717</v>
      </c>
      <c r="E12" s="14">
        <v>3981470.2118923082</v>
      </c>
      <c r="F12" s="14">
        <v>1150</v>
      </c>
      <c r="G12" s="14">
        <v>13728131.276047247</v>
      </c>
      <c r="H12" s="14">
        <v>26116.598202265068</v>
      </c>
      <c r="I12" s="14">
        <v>133</v>
      </c>
      <c r="J12" s="14">
        <v>198802.96729523333</v>
      </c>
      <c r="K12" s="14">
        <v>548.83333333333337</v>
      </c>
      <c r="L12" s="14">
        <v>3020</v>
      </c>
      <c r="M12" s="14">
        <v>81167.450385834265</v>
      </c>
      <c r="N12" s="14">
        <v>172</v>
      </c>
      <c r="O12" s="14">
        <v>862</v>
      </c>
      <c r="P12" s="14">
        <v>0</v>
      </c>
      <c r="Q12" s="14">
        <v>107</v>
      </c>
      <c r="R12">
        <v>379.1</v>
      </c>
      <c r="S12">
        <v>0</v>
      </c>
      <c r="T12">
        <v>30</v>
      </c>
      <c r="U12">
        <v>22</v>
      </c>
      <c r="V12">
        <v>6328.9</v>
      </c>
      <c r="W12">
        <v>5143.7</v>
      </c>
      <c r="X12">
        <v>196.6</v>
      </c>
      <c r="Y12">
        <v>149.6</v>
      </c>
    </row>
    <row r="13" spans="1:25" x14ac:dyDescent="0.2">
      <c r="A13" s="3">
        <v>38322</v>
      </c>
      <c r="B13" s="14">
        <v>27201972.739999998</v>
      </c>
      <c r="C13" s="14">
        <v>8367775.1784344185</v>
      </c>
      <c r="D13" s="14">
        <v>13717</v>
      </c>
      <c r="E13" s="14">
        <v>1364911.6801412248</v>
      </c>
      <c r="F13" s="14">
        <v>1150</v>
      </c>
      <c r="G13" s="14">
        <v>8724191.0536533482</v>
      </c>
      <c r="H13" s="14">
        <v>27043.666884653965</v>
      </c>
      <c r="I13" s="14">
        <v>133</v>
      </c>
      <c r="J13" s="14">
        <v>197161.84498067471</v>
      </c>
      <c r="K13" s="14">
        <v>548.83333333333337</v>
      </c>
      <c r="L13" s="14">
        <v>3020</v>
      </c>
      <c r="M13" s="14">
        <v>0</v>
      </c>
      <c r="N13" s="14">
        <v>172</v>
      </c>
      <c r="O13" s="14">
        <v>862</v>
      </c>
      <c r="P13" s="14">
        <v>0</v>
      </c>
      <c r="Q13" s="14">
        <v>107</v>
      </c>
      <c r="R13">
        <v>643.4</v>
      </c>
      <c r="S13">
        <v>0</v>
      </c>
      <c r="T13">
        <v>31</v>
      </c>
      <c r="U13">
        <v>21</v>
      </c>
      <c r="V13">
        <v>6338.8</v>
      </c>
      <c r="W13">
        <v>5114.1000000000004</v>
      </c>
      <c r="X13">
        <v>197.7</v>
      </c>
      <c r="Y13">
        <v>151</v>
      </c>
    </row>
    <row r="14" spans="1:25" x14ac:dyDescent="0.2">
      <c r="A14" s="3">
        <v>38353</v>
      </c>
      <c r="B14" s="14">
        <v>27664602.73</v>
      </c>
      <c r="C14" s="14">
        <v>11073605.579515645</v>
      </c>
      <c r="D14" s="14">
        <v>13818</v>
      </c>
      <c r="E14" s="14">
        <v>4742760.4223250616</v>
      </c>
      <c r="F14" s="14">
        <v>1164</v>
      </c>
      <c r="G14" s="14">
        <v>14593634.006853523</v>
      </c>
      <c r="H14" s="14">
        <v>30332.089420328251</v>
      </c>
      <c r="I14" s="14">
        <v>139</v>
      </c>
      <c r="J14" s="14">
        <v>418099.34510170779</v>
      </c>
      <c r="K14" s="14">
        <v>570</v>
      </c>
      <c r="L14" s="14">
        <v>3028</v>
      </c>
      <c r="M14" s="14">
        <v>99232.24404803956</v>
      </c>
      <c r="N14" s="14">
        <v>214.41666666666666</v>
      </c>
      <c r="O14" s="14">
        <v>862</v>
      </c>
      <c r="P14" s="14">
        <v>0</v>
      </c>
      <c r="Q14" s="14">
        <v>109</v>
      </c>
      <c r="R14">
        <v>770</v>
      </c>
      <c r="S14">
        <v>0</v>
      </c>
      <c r="T14">
        <v>31</v>
      </c>
      <c r="U14">
        <v>20</v>
      </c>
      <c r="V14">
        <v>6289.1</v>
      </c>
      <c r="W14">
        <v>5057.8</v>
      </c>
      <c r="X14">
        <v>196.3</v>
      </c>
      <c r="Y14">
        <v>151</v>
      </c>
    </row>
    <row r="15" spans="1:25" x14ac:dyDescent="0.2">
      <c r="A15" s="3">
        <v>38384</v>
      </c>
      <c r="B15" s="14">
        <v>24448314.07</v>
      </c>
      <c r="C15" s="14">
        <v>11007673.641349206</v>
      </c>
      <c r="D15" s="14">
        <v>13818</v>
      </c>
      <c r="E15" s="14">
        <v>3787189.0665444373</v>
      </c>
      <c r="F15" s="14">
        <v>1164</v>
      </c>
      <c r="G15" s="14">
        <v>12676548.845338721</v>
      </c>
      <c r="H15" s="14">
        <v>30098.906338782377</v>
      </c>
      <c r="I15" s="14">
        <v>139</v>
      </c>
      <c r="J15" s="14">
        <v>198769.46113602133</v>
      </c>
      <c r="K15" s="14">
        <v>570</v>
      </c>
      <c r="L15" s="14">
        <v>3028</v>
      </c>
      <c r="M15" s="14">
        <v>74317.425222443562</v>
      </c>
      <c r="N15" s="14">
        <v>214.41666666666666</v>
      </c>
      <c r="O15" s="14">
        <v>862</v>
      </c>
      <c r="P15" s="14">
        <v>0</v>
      </c>
      <c r="Q15" s="14">
        <v>109</v>
      </c>
      <c r="R15">
        <v>616.4</v>
      </c>
      <c r="S15">
        <v>0</v>
      </c>
      <c r="T15">
        <v>28</v>
      </c>
      <c r="U15">
        <v>20</v>
      </c>
      <c r="V15">
        <v>6256</v>
      </c>
      <c r="W15">
        <v>5025.8999999999996</v>
      </c>
      <c r="X15">
        <v>195.5</v>
      </c>
      <c r="Y15">
        <v>149</v>
      </c>
    </row>
    <row r="16" spans="1:25" x14ac:dyDescent="0.2">
      <c r="A16" s="3">
        <v>38412</v>
      </c>
      <c r="B16" s="14">
        <v>25957433.43</v>
      </c>
      <c r="C16" s="14">
        <v>10250072.90265001</v>
      </c>
      <c r="D16" s="14">
        <v>13818</v>
      </c>
      <c r="E16" s="14">
        <v>3814720.4337983397</v>
      </c>
      <c r="F16" s="14">
        <v>1164</v>
      </c>
      <c r="G16" s="14">
        <v>10568274.133414375</v>
      </c>
      <c r="H16" s="14">
        <v>29798.962524623334</v>
      </c>
      <c r="I16" s="14">
        <v>139</v>
      </c>
      <c r="J16" s="14">
        <v>180529.06698751435</v>
      </c>
      <c r="K16" s="14">
        <v>570</v>
      </c>
      <c r="L16" s="14">
        <v>3028</v>
      </c>
      <c r="M16" s="14">
        <v>72801.450962681483</v>
      </c>
      <c r="N16" s="14">
        <v>214.41666666666666</v>
      </c>
      <c r="O16" s="14">
        <v>862</v>
      </c>
      <c r="P16" s="14">
        <v>0</v>
      </c>
      <c r="Q16" s="14">
        <v>109</v>
      </c>
      <c r="R16">
        <v>608.6</v>
      </c>
      <c r="S16">
        <v>0</v>
      </c>
      <c r="T16">
        <v>31</v>
      </c>
      <c r="U16">
        <v>21</v>
      </c>
      <c r="V16">
        <v>6226.8</v>
      </c>
      <c r="W16">
        <v>4993.7</v>
      </c>
      <c r="X16">
        <v>192.9</v>
      </c>
      <c r="Y16">
        <v>145.4</v>
      </c>
    </row>
    <row r="17" spans="1:25" x14ac:dyDescent="0.2">
      <c r="A17" s="3">
        <v>38443</v>
      </c>
      <c r="B17" s="14">
        <v>22475955.93</v>
      </c>
      <c r="C17" s="14">
        <v>10133602.575007424</v>
      </c>
      <c r="D17" s="14">
        <v>13818</v>
      </c>
      <c r="E17" s="14">
        <v>3302299.4576506061</v>
      </c>
      <c r="F17" s="14">
        <v>1164</v>
      </c>
      <c r="G17" s="14">
        <v>12038165.340449691</v>
      </c>
      <c r="H17" s="14">
        <v>29862.5999742161</v>
      </c>
      <c r="I17" s="14">
        <v>139</v>
      </c>
      <c r="J17" s="14">
        <v>210284.6477663992</v>
      </c>
      <c r="K17" s="14">
        <v>570</v>
      </c>
      <c r="L17" s="14">
        <v>3028</v>
      </c>
      <c r="M17" s="14">
        <v>68616.183906910403</v>
      </c>
      <c r="N17" s="14">
        <v>214.41666666666666</v>
      </c>
      <c r="O17" s="14">
        <v>862</v>
      </c>
      <c r="P17" s="14">
        <v>0</v>
      </c>
      <c r="Q17" s="14">
        <v>109</v>
      </c>
      <c r="R17">
        <v>306.8</v>
      </c>
      <c r="S17">
        <v>0</v>
      </c>
      <c r="T17">
        <v>30</v>
      </c>
      <c r="U17">
        <v>21</v>
      </c>
      <c r="V17">
        <v>6256.2</v>
      </c>
      <c r="W17">
        <v>5043</v>
      </c>
      <c r="X17">
        <v>191.5</v>
      </c>
      <c r="Y17">
        <v>145.19999999999999</v>
      </c>
    </row>
    <row r="18" spans="1:25" x14ac:dyDescent="0.2">
      <c r="A18" s="3">
        <v>38473</v>
      </c>
      <c r="B18" s="14">
        <v>22324785.43</v>
      </c>
      <c r="C18" s="14">
        <v>6898264.440073628</v>
      </c>
      <c r="D18" s="14">
        <v>13818</v>
      </c>
      <c r="E18" s="14">
        <v>2989746.310829211</v>
      </c>
      <c r="F18" s="14">
        <v>1164</v>
      </c>
      <c r="G18" s="14">
        <v>10642796.414961614</v>
      </c>
      <c r="H18" s="14">
        <v>29899.479795122312</v>
      </c>
      <c r="I18" s="14">
        <v>139</v>
      </c>
      <c r="J18" s="14">
        <v>197138.76220877745</v>
      </c>
      <c r="K18" s="14">
        <v>570</v>
      </c>
      <c r="L18" s="14">
        <v>3028</v>
      </c>
      <c r="M18" s="14">
        <v>61634.657095611939</v>
      </c>
      <c r="N18" s="14">
        <v>214.41666666666666</v>
      </c>
      <c r="O18" s="14">
        <v>862</v>
      </c>
      <c r="P18" s="14">
        <v>0</v>
      </c>
      <c r="Q18" s="14">
        <v>109</v>
      </c>
      <c r="R18">
        <v>189.4</v>
      </c>
      <c r="S18">
        <v>0.8</v>
      </c>
      <c r="T18">
        <v>31</v>
      </c>
      <c r="U18">
        <v>21</v>
      </c>
      <c r="V18">
        <v>6320.6</v>
      </c>
      <c r="W18">
        <v>5122.1000000000004</v>
      </c>
      <c r="X18">
        <v>191.9</v>
      </c>
      <c r="Y18">
        <v>148.69999999999999</v>
      </c>
    </row>
    <row r="19" spans="1:25" x14ac:dyDescent="0.2">
      <c r="A19" s="3">
        <v>38504</v>
      </c>
      <c r="B19" s="14">
        <v>27306039.879999999</v>
      </c>
      <c r="C19" s="14">
        <v>7882901.5402336428</v>
      </c>
      <c r="D19" s="14">
        <v>13818</v>
      </c>
      <c r="E19" s="14">
        <v>3049183.0250574378</v>
      </c>
      <c r="F19" s="14">
        <v>1164</v>
      </c>
      <c r="G19" s="14">
        <v>11135019.18537035</v>
      </c>
      <c r="H19" s="14">
        <v>31223.925094563798</v>
      </c>
      <c r="I19" s="14">
        <v>139</v>
      </c>
      <c r="J19" s="14">
        <v>190584.73978388286</v>
      </c>
      <c r="K19" s="14">
        <v>570</v>
      </c>
      <c r="L19" s="14">
        <v>3028</v>
      </c>
      <c r="M19" s="14">
        <v>70323.579512363402</v>
      </c>
      <c r="N19" s="14">
        <v>214.41666666666666</v>
      </c>
      <c r="O19" s="14">
        <v>862</v>
      </c>
      <c r="P19" s="14">
        <v>0</v>
      </c>
      <c r="Q19" s="14">
        <v>109</v>
      </c>
      <c r="R19">
        <v>8.9</v>
      </c>
      <c r="S19">
        <v>146.30000000000001</v>
      </c>
      <c r="T19">
        <v>30</v>
      </c>
      <c r="U19">
        <v>22</v>
      </c>
      <c r="V19">
        <v>6402.7</v>
      </c>
      <c r="W19">
        <v>5236.3</v>
      </c>
      <c r="X19">
        <v>195.8</v>
      </c>
      <c r="Y19">
        <v>154.9</v>
      </c>
    </row>
    <row r="20" spans="1:25" x14ac:dyDescent="0.2">
      <c r="A20" s="3">
        <v>38534</v>
      </c>
      <c r="B20" s="14">
        <v>29382212.739999998</v>
      </c>
      <c r="C20" s="14">
        <v>8864774.7606134433</v>
      </c>
      <c r="D20" s="14">
        <v>13818</v>
      </c>
      <c r="E20" s="14">
        <v>3587203.7447280693</v>
      </c>
      <c r="F20" s="14">
        <v>1164</v>
      </c>
      <c r="G20" s="14">
        <v>11884408.204619268</v>
      </c>
      <c r="H20" s="14">
        <v>30454.056120840276</v>
      </c>
      <c r="I20" s="14">
        <v>139</v>
      </c>
      <c r="J20" s="14">
        <v>210281.73011869969</v>
      </c>
      <c r="K20" s="14">
        <v>570</v>
      </c>
      <c r="L20" s="14">
        <v>3028</v>
      </c>
      <c r="M20" s="14">
        <v>64690.764920918133</v>
      </c>
      <c r="N20" s="14">
        <v>214.41666666666666</v>
      </c>
      <c r="O20" s="14">
        <v>862</v>
      </c>
      <c r="P20" s="14">
        <v>0</v>
      </c>
      <c r="Q20" s="14">
        <v>109</v>
      </c>
      <c r="R20">
        <v>0</v>
      </c>
      <c r="S20">
        <v>188.7</v>
      </c>
      <c r="T20">
        <v>31</v>
      </c>
      <c r="U20">
        <v>20</v>
      </c>
      <c r="V20">
        <v>6460</v>
      </c>
      <c r="W20">
        <v>5342</v>
      </c>
      <c r="X20">
        <v>199.2</v>
      </c>
      <c r="Y20">
        <v>160.5</v>
      </c>
    </row>
    <row r="21" spans="1:25" x14ac:dyDescent="0.2">
      <c r="A21" s="3">
        <v>38565</v>
      </c>
      <c r="B21" s="14">
        <v>29143992.16</v>
      </c>
      <c r="C21" s="14">
        <v>12712686.829744875</v>
      </c>
      <c r="D21" s="14">
        <v>13818</v>
      </c>
      <c r="E21" s="14">
        <v>4162875.3210925572</v>
      </c>
      <c r="F21" s="14">
        <v>1164</v>
      </c>
      <c r="G21" s="14">
        <v>11876999.183278482</v>
      </c>
      <c r="H21" s="14">
        <v>32700.414286750958</v>
      </c>
      <c r="I21" s="14">
        <v>139</v>
      </c>
      <c r="J21" s="14">
        <v>203716.07653067866</v>
      </c>
      <c r="K21" s="14">
        <v>570</v>
      </c>
      <c r="L21" s="14">
        <v>3028</v>
      </c>
      <c r="M21" s="14">
        <v>76744.957393027144</v>
      </c>
      <c r="N21" s="14">
        <v>214.41666666666666</v>
      </c>
      <c r="O21" s="14">
        <v>862</v>
      </c>
      <c r="P21" s="14">
        <v>0</v>
      </c>
      <c r="Q21" s="14">
        <v>109</v>
      </c>
      <c r="R21">
        <v>0.2</v>
      </c>
      <c r="S21">
        <v>140.69999999999999</v>
      </c>
      <c r="T21">
        <v>31</v>
      </c>
      <c r="U21">
        <v>22</v>
      </c>
      <c r="V21">
        <v>6475</v>
      </c>
      <c r="W21">
        <v>5416.4</v>
      </c>
      <c r="X21">
        <v>199.1</v>
      </c>
      <c r="Y21">
        <v>163.69999999999999</v>
      </c>
    </row>
    <row r="22" spans="1:25" x14ac:dyDescent="0.2">
      <c r="A22" s="3">
        <v>38596</v>
      </c>
      <c r="B22" s="14">
        <v>24602503.73</v>
      </c>
      <c r="C22" s="14">
        <v>10598735.74550887</v>
      </c>
      <c r="D22" s="14">
        <v>13818</v>
      </c>
      <c r="E22" s="14">
        <v>3525146.2209259281</v>
      </c>
      <c r="F22" s="14">
        <v>1164</v>
      </c>
      <c r="G22" s="14">
        <v>11081455.126231387</v>
      </c>
      <c r="H22" s="14">
        <v>35850.725744904281</v>
      </c>
      <c r="I22" s="14">
        <v>139</v>
      </c>
      <c r="J22" s="14">
        <v>203716.06667376074</v>
      </c>
      <c r="K22" s="14">
        <v>570</v>
      </c>
      <c r="L22" s="14">
        <v>3028</v>
      </c>
      <c r="M22" s="14">
        <v>62073.398368426075</v>
      </c>
      <c r="N22" s="14">
        <v>214.41666666666666</v>
      </c>
      <c r="O22" s="14">
        <v>862</v>
      </c>
      <c r="P22" s="14">
        <v>0</v>
      </c>
      <c r="Q22" s="14">
        <v>109</v>
      </c>
      <c r="R22">
        <v>22.6</v>
      </c>
      <c r="S22">
        <v>52.1</v>
      </c>
      <c r="T22">
        <v>30</v>
      </c>
      <c r="U22">
        <v>21</v>
      </c>
      <c r="V22">
        <v>6443.2</v>
      </c>
      <c r="W22">
        <v>5396</v>
      </c>
      <c r="X22">
        <v>197.5</v>
      </c>
      <c r="Y22">
        <v>161.69999999999999</v>
      </c>
    </row>
    <row r="23" spans="1:25" x14ac:dyDescent="0.2">
      <c r="A23" s="3">
        <v>38626</v>
      </c>
      <c r="B23" s="14">
        <v>23546882.77</v>
      </c>
      <c r="C23" s="14">
        <v>9312483.8573364187</v>
      </c>
      <c r="D23" s="14">
        <v>13818</v>
      </c>
      <c r="E23" s="14">
        <v>3370696.4276461038</v>
      </c>
      <c r="F23" s="14">
        <v>1164</v>
      </c>
      <c r="G23" s="14">
        <v>10930001.867536442</v>
      </c>
      <c r="H23" s="14">
        <v>32322.936845901029</v>
      </c>
      <c r="I23" s="14">
        <v>139</v>
      </c>
      <c r="J23" s="14">
        <v>197141.66999955906</v>
      </c>
      <c r="K23" s="14">
        <v>570</v>
      </c>
      <c r="L23" s="14">
        <v>3028</v>
      </c>
      <c r="M23" s="14">
        <v>66130.338210008165</v>
      </c>
      <c r="N23" s="14">
        <v>214.41666666666666</v>
      </c>
      <c r="O23" s="14">
        <v>862</v>
      </c>
      <c r="P23" s="14">
        <v>0</v>
      </c>
      <c r="Q23" s="14">
        <v>109</v>
      </c>
      <c r="R23">
        <v>220.2</v>
      </c>
      <c r="S23">
        <v>7.6</v>
      </c>
      <c r="T23">
        <v>31</v>
      </c>
      <c r="U23">
        <v>20</v>
      </c>
      <c r="V23">
        <v>6433.9</v>
      </c>
      <c r="W23">
        <v>5335.3</v>
      </c>
      <c r="X23">
        <v>195</v>
      </c>
      <c r="Y23">
        <v>158.30000000000001</v>
      </c>
    </row>
    <row r="24" spans="1:25" x14ac:dyDescent="0.2">
      <c r="A24" s="3">
        <v>38657</v>
      </c>
      <c r="B24" s="14">
        <v>24110762.670000002</v>
      </c>
      <c r="C24" s="14">
        <v>8060660.2120182095</v>
      </c>
      <c r="D24" s="14">
        <v>13818</v>
      </c>
      <c r="E24" s="14">
        <v>3125435.5268892255</v>
      </c>
      <c r="F24" s="14">
        <v>1164</v>
      </c>
      <c r="G24" s="14">
        <v>11318358.331512291</v>
      </c>
      <c r="H24" s="14">
        <v>28052.898192782042</v>
      </c>
      <c r="I24" s="14">
        <v>139</v>
      </c>
      <c r="J24" s="14">
        <v>197150.40322882181</v>
      </c>
      <c r="K24" s="14">
        <v>570</v>
      </c>
      <c r="L24" s="14">
        <v>3028</v>
      </c>
      <c r="M24" s="14">
        <v>66428.785970298122</v>
      </c>
      <c r="N24" s="14">
        <v>214.41666666666666</v>
      </c>
      <c r="O24" s="14">
        <v>862</v>
      </c>
      <c r="P24" s="14">
        <v>0</v>
      </c>
      <c r="Q24" s="14">
        <v>109</v>
      </c>
      <c r="R24">
        <v>388.4</v>
      </c>
      <c r="S24">
        <v>0</v>
      </c>
      <c r="T24">
        <v>30</v>
      </c>
      <c r="U24">
        <v>22</v>
      </c>
      <c r="V24">
        <v>6413</v>
      </c>
      <c r="W24">
        <v>5247.1</v>
      </c>
      <c r="X24">
        <v>193.2</v>
      </c>
      <c r="Y24">
        <v>153.1</v>
      </c>
    </row>
    <row r="25" spans="1:25" x14ac:dyDescent="0.2">
      <c r="A25" s="3">
        <v>38687</v>
      </c>
      <c r="B25" s="14">
        <v>27072392.539999999</v>
      </c>
      <c r="C25" s="14">
        <v>7989605.6336171851</v>
      </c>
      <c r="D25" s="14">
        <v>13818</v>
      </c>
      <c r="E25" s="14">
        <v>3162290.5784162781</v>
      </c>
      <c r="F25" s="14">
        <v>1164</v>
      </c>
      <c r="G25" s="14">
        <v>9678667.0662047528</v>
      </c>
      <c r="H25" s="14">
        <v>30316.005661185241</v>
      </c>
      <c r="I25" s="14">
        <v>139</v>
      </c>
      <c r="J25" s="14">
        <v>203713.16873989705</v>
      </c>
      <c r="K25" s="14">
        <v>570</v>
      </c>
      <c r="L25" s="14">
        <v>3028</v>
      </c>
      <c r="M25" s="14">
        <v>64065.116770812965</v>
      </c>
      <c r="N25" s="14">
        <v>214.41666666666666</v>
      </c>
      <c r="O25" s="14">
        <v>862</v>
      </c>
      <c r="P25" s="14">
        <v>0</v>
      </c>
      <c r="Q25" s="14">
        <v>109</v>
      </c>
      <c r="R25">
        <v>665.3</v>
      </c>
      <c r="S25">
        <v>0</v>
      </c>
      <c r="T25">
        <v>31</v>
      </c>
      <c r="U25">
        <v>20</v>
      </c>
      <c r="V25">
        <v>6411.6</v>
      </c>
      <c r="W25">
        <v>5224.1000000000004</v>
      </c>
      <c r="X25">
        <v>190.4</v>
      </c>
      <c r="Y25">
        <v>149.30000000000001</v>
      </c>
    </row>
    <row r="26" spans="1:25" x14ac:dyDescent="0.2">
      <c r="A26" s="3">
        <v>38718</v>
      </c>
      <c r="B26" s="14">
        <v>25852276.850000001</v>
      </c>
      <c r="C26" s="14">
        <v>13765858.893365983</v>
      </c>
      <c r="D26" s="14">
        <v>13919</v>
      </c>
      <c r="E26" s="14">
        <v>3682903.4149407693</v>
      </c>
      <c r="F26" s="14">
        <v>1168</v>
      </c>
      <c r="G26" s="14">
        <v>10671370.522923538</v>
      </c>
      <c r="H26" s="14">
        <v>25428.346031394714</v>
      </c>
      <c r="I26" s="14">
        <v>134</v>
      </c>
      <c r="J26" s="14">
        <v>212136.25592709568</v>
      </c>
      <c r="K26" s="14">
        <v>549.83333333333337</v>
      </c>
      <c r="L26" s="14">
        <v>3040</v>
      </c>
      <c r="M26" s="14">
        <v>77256.085852951102</v>
      </c>
      <c r="N26" s="14">
        <v>193.33333333333334</v>
      </c>
      <c r="O26" s="14">
        <v>961</v>
      </c>
      <c r="P26" s="14">
        <v>0</v>
      </c>
      <c r="Q26" s="14">
        <v>114</v>
      </c>
      <c r="R26">
        <v>551.79999999999995</v>
      </c>
      <c r="S26">
        <v>0</v>
      </c>
      <c r="T26">
        <v>31</v>
      </c>
      <c r="U26">
        <v>21</v>
      </c>
      <c r="V26">
        <v>6366.5</v>
      </c>
      <c r="W26">
        <v>5175.3</v>
      </c>
      <c r="X26">
        <v>186.2</v>
      </c>
      <c r="Y26">
        <v>143.6</v>
      </c>
    </row>
    <row r="27" spans="1:25" x14ac:dyDescent="0.2">
      <c r="A27" s="3">
        <v>38749</v>
      </c>
      <c r="B27" s="14">
        <v>24258714.620000001</v>
      </c>
      <c r="C27" s="14">
        <v>8746717.2146102767</v>
      </c>
      <c r="D27" s="14">
        <v>13919</v>
      </c>
      <c r="E27" s="14">
        <v>1513339.5405787861</v>
      </c>
      <c r="F27" s="14">
        <v>1168</v>
      </c>
      <c r="G27" s="14">
        <v>6562735.3829719694</v>
      </c>
      <c r="H27" s="14">
        <v>30305.550391960158</v>
      </c>
      <c r="I27" s="14">
        <v>134</v>
      </c>
      <c r="J27" s="14">
        <v>198763.24379594429</v>
      </c>
      <c r="K27" s="14">
        <v>549.83333333333337</v>
      </c>
      <c r="L27" s="14">
        <v>3040</v>
      </c>
      <c r="M27" s="14">
        <v>32201.806732599791</v>
      </c>
      <c r="N27" s="14">
        <v>193.33333333333334</v>
      </c>
      <c r="O27" s="14">
        <v>961</v>
      </c>
      <c r="P27" s="14">
        <v>0</v>
      </c>
      <c r="Q27" s="14">
        <v>114</v>
      </c>
      <c r="R27">
        <v>604.29999999999995</v>
      </c>
      <c r="S27">
        <v>0</v>
      </c>
      <c r="T27">
        <v>28</v>
      </c>
      <c r="U27">
        <v>20</v>
      </c>
      <c r="V27">
        <v>6324.8</v>
      </c>
      <c r="W27">
        <v>5136.2</v>
      </c>
      <c r="X27">
        <v>182</v>
      </c>
      <c r="Y27">
        <v>139.30000000000001</v>
      </c>
    </row>
    <row r="28" spans="1:25" x14ac:dyDescent="0.2">
      <c r="A28" s="3">
        <v>38777</v>
      </c>
      <c r="B28" s="14">
        <v>25514695.18</v>
      </c>
      <c r="C28" s="14">
        <v>10854946.286811452</v>
      </c>
      <c r="D28" s="14">
        <v>13919</v>
      </c>
      <c r="E28" s="14">
        <v>3782585.2545841867</v>
      </c>
      <c r="F28" s="14">
        <v>1168</v>
      </c>
      <c r="G28" s="14">
        <v>11868751.644575717</v>
      </c>
      <c r="H28" s="14">
        <v>25466.403364836686</v>
      </c>
      <c r="I28" s="14">
        <v>134</v>
      </c>
      <c r="J28" s="14">
        <v>192009.33505989541</v>
      </c>
      <c r="K28" s="14">
        <v>549.83333333333337</v>
      </c>
      <c r="L28" s="14">
        <v>3040</v>
      </c>
      <c r="M28" s="14">
        <v>76263.516991394034</v>
      </c>
      <c r="N28" s="14">
        <v>193.33333333333334</v>
      </c>
      <c r="O28" s="14">
        <v>961</v>
      </c>
      <c r="P28" s="14">
        <v>0</v>
      </c>
      <c r="Q28" s="14">
        <v>114</v>
      </c>
      <c r="R28">
        <v>516.6</v>
      </c>
      <c r="S28">
        <v>0</v>
      </c>
      <c r="T28">
        <v>31</v>
      </c>
      <c r="U28">
        <v>23</v>
      </c>
      <c r="V28">
        <v>6302.7</v>
      </c>
      <c r="W28">
        <v>5107.1000000000004</v>
      </c>
      <c r="X28">
        <v>180.5</v>
      </c>
      <c r="Y28">
        <v>139.6</v>
      </c>
    </row>
    <row r="29" spans="1:25" x14ac:dyDescent="0.2">
      <c r="A29" s="3">
        <v>38808</v>
      </c>
      <c r="B29" s="14">
        <v>22283329.559999999</v>
      </c>
      <c r="C29" s="14">
        <v>8826424.0929713883</v>
      </c>
      <c r="D29" s="14">
        <v>13919</v>
      </c>
      <c r="E29" s="14">
        <v>5193261.3668531096</v>
      </c>
      <c r="F29" s="14">
        <v>1168</v>
      </c>
      <c r="G29" s="14">
        <v>15915660.976051811</v>
      </c>
      <c r="H29" s="14">
        <v>29072.143215976754</v>
      </c>
      <c r="I29" s="14">
        <v>134</v>
      </c>
      <c r="J29" s="14">
        <v>226354.60111606287</v>
      </c>
      <c r="K29" s="14">
        <v>549.83333333333337</v>
      </c>
      <c r="L29" s="14">
        <v>3040</v>
      </c>
      <c r="M29" s="14">
        <v>95935.827811752577</v>
      </c>
      <c r="N29" s="14">
        <v>193.33333333333334</v>
      </c>
      <c r="O29" s="14">
        <v>961</v>
      </c>
      <c r="P29" s="14">
        <v>0</v>
      </c>
      <c r="Q29" s="14">
        <v>114</v>
      </c>
      <c r="R29">
        <v>293.3</v>
      </c>
      <c r="S29">
        <v>0</v>
      </c>
      <c r="T29">
        <v>30</v>
      </c>
      <c r="U29">
        <v>18</v>
      </c>
      <c r="V29">
        <v>6327.5</v>
      </c>
      <c r="W29">
        <v>5137.7</v>
      </c>
      <c r="X29">
        <v>182.9</v>
      </c>
      <c r="Y29">
        <v>143</v>
      </c>
    </row>
    <row r="30" spans="1:25" x14ac:dyDescent="0.2">
      <c r="A30" s="3">
        <v>38838</v>
      </c>
      <c r="B30" s="14">
        <v>23319130.98</v>
      </c>
      <c r="C30" s="14">
        <v>9310319.1194613166</v>
      </c>
      <c r="D30" s="14">
        <v>13919</v>
      </c>
      <c r="E30" s="14">
        <v>3060292.4608618715</v>
      </c>
      <c r="F30" s="14">
        <v>1168</v>
      </c>
      <c r="G30" s="14">
        <v>11250150.566872412</v>
      </c>
      <c r="H30" s="14">
        <v>30289.382362596618</v>
      </c>
      <c r="I30" s="14">
        <v>134</v>
      </c>
      <c r="J30" s="14">
        <v>205711.01026968542</v>
      </c>
      <c r="K30" s="14">
        <v>549.83333333333337</v>
      </c>
      <c r="L30" s="14">
        <v>3040</v>
      </c>
      <c r="M30" s="14">
        <v>67798.474474302289</v>
      </c>
      <c r="N30" s="14">
        <v>193.33333333333334</v>
      </c>
      <c r="O30" s="14">
        <v>961</v>
      </c>
      <c r="P30" s="14">
        <v>0</v>
      </c>
      <c r="Q30" s="14">
        <v>114</v>
      </c>
      <c r="R30">
        <v>136.9</v>
      </c>
      <c r="S30">
        <v>26</v>
      </c>
      <c r="T30">
        <v>31</v>
      </c>
      <c r="U30">
        <v>22</v>
      </c>
      <c r="V30">
        <v>6407.8</v>
      </c>
      <c r="W30">
        <v>5243.8</v>
      </c>
      <c r="X30">
        <v>188.9</v>
      </c>
      <c r="Y30">
        <v>150.30000000000001</v>
      </c>
    </row>
    <row r="31" spans="1:25" x14ac:dyDescent="0.2">
      <c r="A31" s="3">
        <v>38869</v>
      </c>
      <c r="B31" s="14">
        <v>24778221.84</v>
      </c>
      <c r="C31" s="14">
        <v>6923847.8408717848</v>
      </c>
      <c r="D31" s="14">
        <v>13919</v>
      </c>
      <c r="E31" s="14">
        <v>3219143.7129678298</v>
      </c>
      <c r="F31" s="14">
        <v>1168</v>
      </c>
      <c r="G31" s="14">
        <v>12574890.587934878</v>
      </c>
      <c r="H31" s="14">
        <v>25838.732307870156</v>
      </c>
      <c r="I31" s="14">
        <v>134</v>
      </c>
      <c r="J31" s="14">
        <v>212073.58627594108</v>
      </c>
      <c r="K31" s="14">
        <v>549.83333333333337</v>
      </c>
      <c r="L31" s="14">
        <v>3040</v>
      </c>
      <c r="M31" s="14">
        <v>63458.240059439784</v>
      </c>
      <c r="N31" s="14">
        <v>193.33333333333334</v>
      </c>
      <c r="O31" s="14">
        <v>961</v>
      </c>
      <c r="P31" s="14">
        <v>0</v>
      </c>
      <c r="Q31" s="14">
        <v>114</v>
      </c>
      <c r="R31">
        <v>19.5</v>
      </c>
      <c r="S31">
        <v>73.599999999999994</v>
      </c>
      <c r="T31">
        <v>30</v>
      </c>
      <c r="U31">
        <v>22</v>
      </c>
      <c r="V31">
        <v>6494.8</v>
      </c>
      <c r="W31">
        <v>5352.8</v>
      </c>
      <c r="X31">
        <v>194.1</v>
      </c>
      <c r="Y31">
        <v>156.1</v>
      </c>
    </row>
    <row r="32" spans="1:25" x14ac:dyDescent="0.2">
      <c r="A32" s="3">
        <v>38899</v>
      </c>
      <c r="B32" s="14">
        <v>29630152.739999998</v>
      </c>
      <c r="C32" s="14">
        <v>8840655.9977320749</v>
      </c>
      <c r="D32" s="14">
        <v>13919</v>
      </c>
      <c r="E32" s="14">
        <v>3470433.301007519</v>
      </c>
      <c r="F32" s="14">
        <v>1168</v>
      </c>
      <c r="G32" s="14">
        <v>12466298.838911083</v>
      </c>
      <c r="H32" s="14">
        <v>35636.816755759355</v>
      </c>
      <c r="I32" s="14">
        <v>134</v>
      </c>
      <c r="J32" s="14">
        <v>205049.69014620382</v>
      </c>
      <c r="K32" s="14">
        <v>549.83333333333337</v>
      </c>
      <c r="L32" s="14">
        <v>3040</v>
      </c>
      <c r="M32" s="14">
        <v>692.65007697277474</v>
      </c>
      <c r="N32" s="14">
        <v>193.33333333333334</v>
      </c>
      <c r="O32" s="14">
        <v>961</v>
      </c>
      <c r="P32" s="14">
        <v>0</v>
      </c>
      <c r="Q32" s="14">
        <v>114</v>
      </c>
      <c r="R32">
        <v>0</v>
      </c>
      <c r="S32">
        <v>167.3</v>
      </c>
      <c r="T32">
        <v>31</v>
      </c>
      <c r="U32">
        <v>20</v>
      </c>
      <c r="V32">
        <v>6559.9</v>
      </c>
      <c r="W32">
        <v>5464.8</v>
      </c>
      <c r="X32">
        <v>199.3</v>
      </c>
      <c r="Y32">
        <v>162</v>
      </c>
    </row>
    <row r="33" spans="1:25" x14ac:dyDescent="0.2">
      <c r="A33" s="3">
        <v>38930</v>
      </c>
      <c r="B33" s="14">
        <v>28137475.030000001</v>
      </c>
      <c r="C33" s="14">
        <v>10999295.677556913</v>
      </c>
      <c r="D33" s="14">
        <v>13919</v>
      </c>
      <c r="E33" s="14">
        <v>3943146.7115224795</v>
      </c>
      <c r="F33" s="14">
        <v>1168</v>
      </c>
      <c r="G33" s="14">
        <v>13076064.926690534</v>
      </c>
      <c r="H33" s="14">
        <v>31312.718137418902</v>
      </c>
      <c r="I33" s="14">
        <v>134</v>
      </c>
      <c r="J33" s="14">
        <v>205049.69014620382</v>
      </c>
      <c r="K33" s="14">
        <v>549.83333333333337</v>
      </c>
      <c r="L33" s="14">
        <v>3040</v>
      </c>
      <c r="M33" s="14">
        <v>749.75584279530892</v>
      </c>
      <c r="N33" s="14">
        <v>193.33333333333334</v>
      </c>
      <c r="O33" s="14">
        <v>961</v>
      </c>
      <c r="P33" s="14">
        <v>0</v>
      </c>
      <c r="Q33" s="14">
        <v>114</v>
      </c>
      <c r="R33">
        <v>4.2</v>
      </c>
      <c r="S33">
        <v>101.6</v>
      </c>
      <c r="T33">
        <v>31</v>
      </c>
      <c r="U33">
        <v>22</v>
      </c>
      <c r="V33">
        <v>6566.4</v>
      </c>
      <c r="W33">
        <v>5505.8</v>
      </c>
      <c r="X33">
        <v>203.1</v>
      </c>
      <c r="Y33">
        <v>166.3</v>
      </c>
    </row>
    <row r="34" spans="1:25" x14ac:dyDescent="0.2">
      <c r="A34" s="3">
        <v>38961</v>
      </c>
      <c r="B34" s="14">
        <v>23068262.359999999</v>
      </c>
      <c r="C34" s="14">
        <v>11949394.646616794</v>
      </c>
      <c r="D34" s="14">
        <v>13919</v>
      </c>
      <c r="E34" s="14">
        <v>3457361.7804619726</v>
      </c>
      <c r="F34" s="14">
        <v>1168</v>
      </c>
      <c r="G34" s="14">
        <v>12731886.14131189</v>
      </c>
      <c r="H34" s="14">
        <v>29361.131886763407</v>
      </c>
      <c r="I34" s="14">
        <v>134</v>
      </c>
      <c r="J34" s="14">
        <v>218719.67024202351</v>
      </c>
      <c r="K34" s="14">
        <v>549.83333333333337</v>
      </c>
      <c r="L34" s="14">
        <v>3040</v>
      </c>
      <c r="M34" s="14">
        <v>690.03560435114207</v>
      </c>
      <c r="N34" s="14">
        <v>193.33333333333334</v>
      </c>
      <c r="O34" s="14">
        <v>961</v>
      </c>
      <c r="P34" s="14">
        <v>0</v>
      </c>
      <c r="Q34" s="14">
        <v>114</v>
      </c>
      <c r="R34">
        <v>80.900000000000006</v>
      </c>
      <c r="S34">
        <v>12.9</v>
      </c>
      <c r="T34">
        <v>30</v>
      </c>
      <c r="U34">
        <v>20</v>
      </c>
      <c r="V34">
        <v>6517.3</v>
      </c>
      <c r="W34">
        <v>5456.2</v>
      </c>
      <c r="X34">
        <v>202.1</v>
      </c>
      <c r="Y34">
        <v>163.9</v>
      </c>
    </row>
    <row r="35" spans="1:25" x14ac:dyDescent="0.2">
      <c r="A35" s="3">
        <v>38991</v>
      </c>
      <c r="B35" s="14">
        <v>22925914.920000002</v>
      </c>
      <c r="C35" s="14">
        <v>8400039.7163142599</v>
      </c>
      <c r="D35" s="14">
        <v>13919</v>
      </c>
      <c r="E35" s="14">
        <v>2768515.0704804799</v>
      </c>
      <c r="F35" s="14">
        <v>1168</v>
      </c>
      <c r="G35" s="14">
        <v>5912753.3376740953</v>
      </c>
      <c r="H35" s="14">
        <v>28402.200779967592</v>
      </c>
      <c r="I35" s="14">
        <v>134</v>
      </c>
      <c r="J35" s="14">
        <v>108585.13988708385</v>
      </c>
      <c r="K35" s="14">
        <v>549.83333333333337</v>
      </c>
      <c r="L35" s="14">
        <v>3040</v>
      </c>
      <c r="M35" s="14">
        <v>268491.95251176041</v>
      </c>
      <c r="N35" s="14">
        <v>193.33333333333334</v>
      </c>
      <c r="O35" s="14">
        <v>961</v>
      </c>
      <c r="P35" s="14">
        <v>0</v>
      </c>
      <c r="Q35" s="14">
        <v>114</v>
      </c>
      <c r="R35">
        <v>288.3</v>
      </c>
      <c r="S35">
        <v>1.1000000000000001</v>
      </c>
      <c r="T35">
        <v>31</v>
      </c>
      <c r="U35">
        <v>21</v>
      </c>
      <c r="V35">
        <v>6481.4</v>
      </c>
      <c r="W35">
        <v>5374.9</v>
      </c>
      <c r="X35">
        <v>200</v>
      </c>
      <c r="Y35">
        <v>160.4</v>
      </c>
    </row>
    <row r="36" spans="1:25" x14ac:dyDescent="0.2">
      <c r="A36" s="3">
        <v>39022</v>
      </c>
      <c r="B36" s="14">
        <v>23665916.379999999</v>
      </c>
      <c r="C36" s="14">
        <v>7853394.9745823359</v>
      </c>
      <c r="D36" s="14">
        <v>13919</v>
      </c>
      <c r="E36" s="14">
        <v>2599773.0140924039</v>
      </c>
      <c r="F36" s="14">
        <v>1168</v>
      </c>
      <c r="G36" s="14">
        <v>9962596.0307213478</v>
      </c>
      <c r="H36" s="14">
        <v>26292.971953763205</v>
      </c>
      <c r="I36" s="14">
        <v>134</v>
      </c>
      <c r="J36" s="14">
        <v>176709.70874440402</v>
      </c>
      <c r="K36" s="14">
        <v>549.83333333333337</v>
      </c>
      <c r="L36" s="14">
        <v>3040</v>
      </c>
      <c r="M36" s="14">
        <v>59936.667463874641</v>
      </c>
      <c r="N36" s="14">
        <v>193.33333333333334</v>
      </c>
      <c r="O36" s="14">
        <v>961</v>
      </c>
      <c r="P36" s="14">
        <v>0</v>
      </c>
      <c r="Q36" s="14">
        <v>114</v>
      </c>
      <c r="R36">
        <v>382.2</v>
      </c>
      <c r="S36">
        <v>0</v>
      </c>
      <c r="T36">
        <v>30</v>
      </c>
      <c r="U36">
        <v>22</v>
      </c>
      <c r="V36">
        <v>6454.3</v>
      </c>
      <c r="W36">
        <v>5278.7</v>
      </c>
      <c r="X36">
        <v>193.5</v>
      </c>
      <c r="Y36">
        <v>152.4</v>
      </c>
    </row>
    <row r="37" spans="1:25" x14ac:dyDescent="0.2">
      <c r="A37" s="3">
        <v>39052</v>
      </c>
      <c r="B37" s="14">
        <v>26031493.280000001</v>
      </c>
      <c r="C37" s="14">
        <v>7962952.4135165121</v>
      </c>
      <c r="D37" s="14">
        <v>13919</v>
      </c>
      <c r="E37" s="14">
        <v>1596709.3057725506</v>
      </c>
      <c r="F37" s="14">
        <v>1168</v>
      </c>
      <c r="G37" s="14">
        <v>8474739.5129012018</v>
      </c>
      <c r="H37" s="14">
        <v>27950.602811692454</v>
      </c>
      <c r="I37" s="14">
        <v>134</v>
      </c>
      <c r="J37" s="14">
        <v>194468.02797657409</v>
      </c>
      <c r="K37" s="14">
        <v>549.83333333333337</v>
      </c>
      <c r="L37" s="14">
        <v>3040</v>
      </c>
      <c r="M37" s="14">
        <v>52819.298852558321</v>
      </c>
      <c r="N37" s="14">
        <v>193.33333333333334</v>
      </c>
      <c r="O37" s="14">
        <v>961</v>
      </c>
      <c r="P37" s="14">
        <v>0</v>
      </c>
      <c r="Q37" s="14">
        <v>114</v>
      </c>
      <c r="R37">
        <v>500.5</v>
      </c>
      <c r="S37">
        <v>0</v>
      </c>
      <c r="T37">
        <v>31</v>
      </c>
      <c r="U37">
        <v>19</v>
      </c>
      <c r="V37">
        <v>6480.1</v>
      </c>
      <c r="W37">
        <v>5263.7</v>
      </c>
      <c r="X37">
        <v>190.9</v>
      </c>
      <c r="Y37">
        <v>148.80000000000001</v>
      </c>
    </row>
    <row r="38" spans="1:25" x14ac:dyDescent="0.2">
      <c r="A38" s="3">
        <v>39083</v>
      </c>
      <c r="B38" s="14">
        <v>27202240.370000001</v>
      </c>
      <c r="C38" s="14">
        <v>11091777.070880406</v>
      </c>
      <c r="D38" s="14">
        <v>14073</v>
      </c>
      <c r="E38" s="14">
        <v>4883618.7879346227</v>
      </c>
      <c r="F38" s="14">
        <v>1170</v>
      </c>
      <c r="G38" s="14">
        <v>15071299.366253857</v>
      </c>
      <c r="H38" s="14">
        <v>29692.014875210836</v>
      </c>
      <c r="I38" s="14">
        <v>141</v>
      </c>
      <c r="J38" s="14">
        <v>181800.71921788427</v>
      </c>
      <c r="K38" s="14">
        <v>554.41666666666663</v>
      </c>
      <c r="L38" s="14">
        <v>3065</v>
      </c>
      <c r="M38" s="14">
        <v>97549.020000280434</v>
      </c>
      <c r="N38" s="14">
        <v>201.91666666666666</v>
      </c>
      <c r="O38" s="14">
        <v>961</v>
      </c>
      <c r="P38" s="14">
        <v>0</v>
      </c>
      <c r="Q38" s="14">
        <v>114</v>
      </c>
      <c r="R38">
        <v>647.1</v>
      </c>
      <c r="S38">
        <v>0</v>
      </c>
      <c r="T38">
        <v>31</v>
      </c>
      <c r="U38">
        <v>22</v>
      </c>
      <c r="V38">
        <v>6460.5</v>
      </c>
      <c r="W38">
        <v>5216.5</v>
      </c>
      <c r="X38">
        <v>186.5</v>
      </c>
      <c r="Y38">
        <v>143.80000000000001</v>
      </c>
    </row>
    <row r="39" spans="1:25" x14ac:dyDescent="0.2">
      <c r="A39" s="3">
        <v>39114</v>
      </c>
      <c r="B39" s="14">
        <v>26547440.829999998</v>
      </c>
      <c r="C39" s="14">
        <v>10345086.654536452</v>
      </c>
      <c r="D39" s="14">
        <v>14073</v>
      </c>
      <c r="E39" s="14">
        <v>3171259.7735804953</v>
      </c>
      <c r="F39" s="14">
        <v>1170</v>
      </c>
      <c r="G39" s="14">
        <v>11776013.545997746</v>
      </c>
      <c r="H39" s="14">
        <v>31803.417709057339</v>
      </c>
      <c r="I39" s="14">
        <v>141</v>
      </c>
      <c r="J39" s="14">
        <v>181822.9354432298</v>
      </c>
      <c r="K39" s="14">
        <v>554.41666666666663</v>
      </c>
      <c r="L39" s="14">
        <v>3065</v>
      </c>
      <c r="M39" s="14">
        <v>65162.786480062859</v>
      </c>
      <c r="N39" s="14">
        <v>201.91666666666666</v>
      </c>
      <c r="O39" s="14">
        <v>961</v>
      </c>
      <c r="P39" s="14">
        <v>0</v>
      </c>
      <c r="Q39" s="14">
        <v>114</v>
      </c>
      <c r="R39">
        <v>740.1</v>
      </c>
      <c r="S39">
        <v>0</v>
      </c>
      <c r="T39">
        <v>28</v>
      </c>
      <c r="U39">
        <v>20</v>
      </c>
      <c r="V39">
        <v>6446</v>
      </c>
      <c r="W39">
        <v>5184.8999999999996</v>
      </c>
      <c r="X39">
        <v>185.5</v>
      </c>
      <c r="Y39">
        <v>141.9</v>
      </c>
    </row>
    <row r="40" spans="1:25" x14ac:dyDescent="0.2">
      <c r="A40" s="3">
        <v>39142</v>
      </c>
      <c r="B40" s="14">
        <v>26077763.530000001</v>
      </c>
      <c r="C40" s="14">
        <v>11034052.122183137</v>
      </c>
      <c r="D40" s="14">
        <v>14073</v>
      </c>
      <c r="E40" s="14">
        <v>3036513.8062092192</v>
      </c>
      <c r="F40" s="14">
        <v>1170</v>
      </c>
      <c r="G40" s="14">
        <v>11373892.306801459</v>
      </c>
      <c r="H40" s="14">
        <v>29050.374729159234</v>
      </c>
      <c r="I40" s="14">
        <v>141</v>
      </c>
      <c r="J40" s="14">
        <v>164217.13488043452</v>
      </c>
      <c r="K40" s="14">
        <v>554.41666666666663</v>
      </c>
      <c r="L40" s="14">
        <v>3065</v>
      </c>
      <c r="M40" s="14">
        <v>61266.210420335599</v>
      </c>
      <c r="N40" s="14">
        <v>201.91666666666666</v>
      </c>
      <c r="O40" s="14">
        <v>961</v>
      </c>
      <c r="P40" s="14">
        <v>0</v>
      </c>
      <c r="Q40" s="14">
        <v>114</v>
      </c>
      <c r="R40">
        <v>546.70000000000005</v>
      </c>
      <c r="S40">
        <v>0</v>
      </c>
      <c r="T40">
        <v>31</v>
      </c>
      <c r="U40">
        <v>22</v>
      </c>
      <c r="V40">
        <v>6421.7</v>
      </c>
      <c r="W40">
        <v>5167.7</v>
      </c>
      <c r="X40">
        <v>185.6</v>
      </c>
      <c r="Y40">
        <v>142.6</v>
      </c>
    </row>
    <row r="41" spans="1:25" x14ac:dyDescent="0.2">
      <c r="A41" s="3">
        <v>39173</v>
      </c>
      <c r="B41" s="14">
        <v>23595534.050000001</v>
      </c>
      <c r="C41" s="14">
        <v>9317644.6513814125</v>
      </c>
      <c r="D41" s="14">
        <v>14073</v>
      </c>
      <c r="E41" s="14">
        <v>3122867.8095361316</v>
      </c>
      <c r="F41" s="14">
        <v>1170</v>
      </c>
      <c r="G41" s="14">
        <v>10419412.93611596</v>
      </c>
      <c r="H41" s="14">
        <v>31096.715666441236</v>
      </c>
      <c r="I41" s="14">
        <v>141</v>
      </c>
      <c r="J41" s="14">
        <v>181806.2730383696</v>
      </c>
      <c r="K41" s="14">
        <v>554.41666666666663</v>
      </c>
      <c r="L41" s="14">
        <v>3065</v>
      </c>
      <c r="M41" s="14">
        <v>62714.256164615486</v>
      </c>
      <c r="N41" s="14">
        <v>201.91666666666666</v>
      </c>
      <c r="O41" s="14">
        <v>961</v>
      </c>
      <c r="P41" s="14">
        <v>0</v>
      </c>
      <c r="Q41" s="14">
        <v>114</v>
      </c>
      <c r="R41">
        <v>356.4</v>
      </c>
      <c r="S41">
        <v>0</v>
      </c>
      <c r="T41">
        <v>30</v>
      </c>
      <c r="U41">
        <v>19</v>
      </c>
      <c r="V41">
        <v>6441.8</v>
      </c>
      <c r="W41">
        <v>5197.5</v>
      </c>
      <c r="X41">
        <v>190</v>
      </c>
      <c r="Y41">
        <v>147</v>
      </c>
    </row>
    <row r="42" spans="1:25" x14ac:dyDescent="0.2">
      <c r="A42" s="3">
        <v>39203</v>
      </c>
      <c r="B42" s="14">
        <v>23220583.52</v>
      </c>
      <c r="C42" s="14">
        <v>7717378.1046588086</v>
      </c>
      <c r="D42" s="14">
        <v>14073</v>
      </c>
      <c r="E42" s="14">
        <v>2827398.8955603428</v>
      </c>
      <c r="F42" s="14">
        <v>1170</v>
      </c>
      <c r="G42" s="14">
        <v>11779196.412498796</v>
      </c>
      <c r="H42" s="14">
        <v>34795.195463572032</v>
      </c>
      <c r="I42" s="14">
        <v>141</v>
      </c>
      <c r="J42" s="14">
        <v>170938.74541611798</v>
      </c>
      <c r="K42" s="14">
        <v>554.41666666666663</v>
      </c>
      <c r="L42" s="14">
        <v>3065</v>
      </c>
      <c r="M42" s="14">
        <v>55031.397012874528</v>
      </c>
      <c r="N42" s="14">
        <v>201.91666666666666</v>
      </c>
      <c r="O42" s="14">
        <v>961</v>
      </c>
      <c r="P42" s="14">
        <v>0</v>
      </c>
      <c r="Q42" s="14">
        <v>114</v>
      </c>
      <c r="R42">
        <v>136.4</v>
      </c>
      <c r="S42">
        <v>22.4</v>
      </c>
      <c r="T42">
        <v>31</v>
      </c>
      <c r="U42">
        <v>22</v>
      </c>
      <c r="V42">
        <v>6500.1</v>
      </c>
      <c r="W42">
        <v>5280.6</v>
      </c>
      <c r="X42">
        <v>194.8</v>
      </c>
      <c r="Y42">
        <v>151.19999999999999</v>
      </c>
    </row>
    <row r="43" spans="1:25" x14ac:dyDescent="0.2">
      <c r="A43" s="3">
        <v>39234</v>
      </c>
      <c r="B43" s="14">
        <v>25873714.25</v>
      </c>
      <c r="C43" s="14">
        <v>7584564.5553501239</v>
      </c>
      <c r="D43" s="14">
        <v>14073</v>
      </c>
      <c r="E43" s="14">
        <v>2764717.7996789617</v>
      </c>
      <c r="F43" s="14">
        <v>1170</v>
      </c>
      <c r="G43" s="14">
        <v>11502901.15756545</v>
      </c>
      <c r="H43" s="14">
        <v>30425.870788175205</v>
      </c>
      <c r="I43" s="14">
        <v>141</v>
      </c>
      <c r="J43" s="14">
        <v>188554.69417781947</v>
      </c>
      <c r="K43" s="14">
        <v>554.41666666666663</v>
      </c>
      <c r="L43" s="14">
        <v>3065</v>
      </c>
      <c r="M43" s="14">
        <v>71762.901505411588</v>
      </c>
      <c r="N43" s="14">
        <v>201.91666666666666</v>
      </c>
      <c r="O43" s="14">
        <v>961</v>
      </c>
      <c r="P43" s="14">
        <v>0</v>
      </c>
      <c r="Q43" s="14">
        <v>114</v>
      </c>
      <c r="R43">
        <v>16.5</v>
      </c>
      <c r="S43">
        <v>99.2</v>
      </c>
      <c r="T43">
        <v>30</v>
      </c>
      <c r="U43">
        <v>21</v>
      </c>
      <c r="V43">
        <v>6573.9</v>
      </c>
      <c r="W43">
        <v>5391.3</v>
      </c>
      <c r="X43">
        <v>197.3</v>
      </c>
      <c r="Y43">
        <v>154.1</v>
      </c>
    </row>
    <row r="44" spans="1:25" x14ac:dyDescent="0.2">
      <c r="A44" s="3">
        <v>39264</v>
      </c>
      <c r="B44" s="14">
        <v>26665076.48</v>
      </c>
      <c r="C44" s="14">
        <v>9633065.2150188014</v>
      </c>
      <c r="D44" s="14">
        <v>14073</v>
      </c>
      <c r="E44" s="14">
        <v>3255526.0785252163</v>
      </c>
      <c r="F44" s="14">
        <v>1170</v>
      </c>
      <c r="G44" s="14">
        <v>11365199.405090475</v>
      </c>
      <c r="H44" s="14">
        <v>35515.821387265918</v>
      </c>
      <c r="I44" s="14">
        <v>141</v>
      </c>
      <c r="J44" s="14">
        <v>176769.67861896279</v>
      </c>
      <c r="K44" s="14">
        <v>554.41666666666663</v>
      </c>
      <c r="L44" s="14">
        <v>3065</v>
      </c>
      <c r="M44" s="14">
        <v>71146.255030553759</v>
      </c>
      <c r="N44" s="14">
        <v>201.91666666666666</v>
      </c>
      <c r="O44" s="14">
        <v>961</v>
      </c>
      <c r="P44" s="14">
        <v>0</v>
      </c>
      <c r="Q44" s="14">
        <v>114</v>
      </c>
      <c r="R44">
        <v>3.2</v>
      </c>
      <c r="S44">
        <v>106.1</v>
      </c>
      <c r="T44">
        <v>31</v>
      </c>
      <c r="U44">
        <v>22</v>
      </c>
      <c r="V44">
        <v>6640.2</v>
      </c>
      <c r="W44">
        <v>5513.8</v>
      </c>
      <c r="X44">
        <v>197</v>
      </c>
      <c r="Y44">
        <v>156.19999999999999</v>
      </c>
    </row>
    <row r="45" spans="1:25" x14ac:dyDescent="0.2">
      <c r="A45" s="3">
        <v>39295</v>
      </c>
      <c r="B45" s="14">
        <v>28987687.620000001</v>
      </c>
      <c r="C45" s="14">
        <v>9448310.9761422984</v>
      </c>
      <c r="D45" s="14">
        <v>14073</v>
      </c>
      <c r="E45" s="14">
        <v>3214603.5672376985</v>
      </c>
      <c r="F45" s="14">
        <v>1170</v>
      </c>
      <c r="G45" s="14">
        <v>11859992.409892462</v>
      </c>
      <c r="H45" s="14">
        <v>33623.46626022565</v>
      </c>
      <c r="I45" s="14">
        <v>141</v>
      </c>
      <c r="J45" s="14">
        <v>6781.4978338675573</v>
      </c>
      <c r="K45" s="14">
        <v>554.41666666666663</v>
      </c>
      <c r="L45" s="14">
        <v>3065</v>
      </c>
      <c r="M45" s="14">
        <v>63589.773575942432</v>
      </c>
      <c r="N45" s="14">
        <v>201.91666666666666</v>
      </c>
      <c r="O45" s="14">
        <v>961</v>
      </c>
      <c r="P45" s="14">
        <v>0</v>
      </c>
      <c r="Q45" s="14">
        <v>114</v>
      </c>
      <c r="R45">
        <v>5.2</v>
      </c>
      <c r="S45">
        <v>141</v>
      </c>
      <c r="T45">
        <v>31</v>
      </c>
      <c r="U45">
        <v>22</v>
      </c>
      <c r="V45">
        <v>6663.5</v>
      </c>
      <c r="W45">
        <v>5582.2</v>
      </c>
      <c r="X45">
        <v>197.3</v>
      </c>
      <c r="Y45">
        <v>160.9</v>
      </c>
    </row>
    <row r="46" spans="1:25" x14ac:dyDescent="0.2">
      <c r="A46" s="3">
        <v>39326</v>
      </c>
      <c r="B46" s="14">
        <v>24657693.260000002</v>
      </c>
      <c r="C46" s="14">
        <v>11114671.902050965</v>
      </c>
      <c r="D46" s="14">
        <v>14073</v>
      </c>
      <c r="E46" s="14">
        <v>3384865.1258919551</v>
      </c>
      <c r="F46" s="14">
        <v>1170</v>
      </c>
      <c r="G46" s="14">
        <v>11503917.310486196</v>
      </c>
      <c r="H46" s="14">
        <v>34730.84597679515</v>
      </c>
      <c r="I46" s="14">
        <v>141</v>
      </c>
      <c r="J46" s="14">
        <v>358387.3594986872</v>
      </c>
      <c r="K46" s="14">
        <v>554.41666666666663</v>
      </c>
      <c r="L46" s="14">
        <v>3065</v>
      </c>
      <c r="M46" s="14">
        <v>66240.983772869775</v>
      </c>
      <c r="N46" s="14">
        <v>201.91666666666666</v>
      </c>
      <c r="O46" s="14">
        <v>961</v>
      </c>
      <c r="P46" s="14">
        <v>351.48938851142549</v>
      </c>
      <c r="Q46" s="14">
        <v>114</v>
      </c>
      <c r="R46">
        <v>36.9</v>
      </c>
      <c r="S46">
        <v>47.5</v>
      </c>
      <c r="T46">
        <v>30</v>
      </c>
      <c r="U46">
        <v>19</v>
      </c>
      <c r="V46">
        <v>6635.5</v>
      </c>
      <c r="W46">
        <v>5544.2</v>
      </c>
      <c r="X46">
        <v>198.6</v>
      </c>
      <c r="Y46">
        <v>162.80000000000001</v>
      </c>
    </row>
    <row r="47" spans="1:25" x14ac:dyDescent="0.2">
      <c r="A47" s="3">
        <v>39356</v>
      </c>
      <c r="B47" s="14">
        <v>24044266.68</v>
      </c>
      <c r="C47" s="14">
        <v>9249061.9829749055</v>
      </c>
      <c r="D47" s="14">
        <v>14073</v>
      </c>
      <c r="E47" s="14">
        <v>3213006.2733908924</v>
      </c>
      <c r="F47" s="14">
        <v>1170</v>
      </c>
      <c r="G47" s="14">
        <v>12890345.252440041</v>
      </c>
      <c r="H47" s="14">
        <v>32084.355410704768</v>
      </c>
      <c r="I47" s="14">
        <v>141</v>
      </c>
      <c r="J47" s="14">
        <v>176936.29889394829</v>
      </c>
      <c r="K47" s="14">
        <v>554.41666666666663</v>
      </c>
      <c r="L47" s="14">
        <v>3065</v>
      </c>
      <c r="M47" s="14">
        <v>68054.298209853558</v>
      </c>
      <c r="N47" s="14">
        <v>201.91666666666666</v>
      </c>
      <c r="O47" s="14">
        <v>961</v>
      </c>
      <c r="P47" s="14">
        <v>33460.949482021759</v>
      </c>
      <c r="Q47" s="14">
        <v>114</v>
      </c>
      <c r="R47">
        <v>137.69999999999999</v>
      </c>
      <c r="S47">
        <v>19.8</v>
      </c>
      <c r="T47">
        <v>31</v>
      </c>
      <c r="U47">
        <v>22</v>
      </c>
      <c r="V47">
        <v>6631.9</v>
      </c>
      <c r="W47">
        <v>5479.1</v>
      </c>
      <c r="X47">
        <v>201.6</v>
      </c>
      <c r="Y47">
        <v>163.19999999999999</v>
      </c>
    </row>
    <row r="48" spans="1:25" x14ac:dyDescent="0.2">
      <c r="A48" s="3">
        <v>39387</v>
      </c>
      <c r="B48" s="14">
        <v>24615024.460000001</v>
      </c>
      <c r="C48" s="14">
        <v>7892168.3121277345</v>
      </c>
      <c r="D48" s="14">
        <v>14073</v>
      </c>
      <c r="E48" s="14">
        <v>2713027.3981968309</v>
      </c>
      <c r="F48" s="14">
        <v>1170</v>
      </c>
      <c r="G48" s="14">
        <v>11811804.575601345</v>
      </c>
      <c r="H48" s="14">
        <v>30502.922491758985</v>
      </c>
      <c r="I48" s="14">
        <v>141</v>
      </c>
      <c r="J48" s="14">
        <v>182678.84738814511</v>
      </c>
      <c r="K48" s="14">
        <v>554.41666666666663</v>
      </c>
      <c r="L48" s="14">
        <v>3065</v>
      </c>
      <c r="M48" s="14">
        <v>55425.707554602253</v>
      </c>
      <c r="N48" s="14">
        <v>201.91666666666666</v>
      </c>
      <c r="O48" s="14">
        <v>961</v>
      </c>
      <c r="P48" s="14">
        <v>52823.380758122941</v>
      </c>
      <c r="Q48" s="14">
        <v>114</v>
      </c>
      <c r="R48">
        <v>462.5</v>
      </c>
      <c r="S48">
        <v>0</v>
      </c>
      <c r="T48">
        <v>30</v>
      </c>
      <c r="U48">
        <v>22</v>
      </c>
      <c r="V48">
        <v>6616.9</v>
      </c>
      <c r="W48">
        <v>5395.6</v>
      </c>
      <c r="X48">
        <v>202.7</v>
      </c>
      <c r="Y48">
        <v>160.5</v>
      </c>
    </row>
    <row r="49" spans="1:25" x14ac:dyDescent="0.2">
      <c r="A49" s="3">
        <v>39417</v>
      </c>
      <c r="B49" s="14">
        <v>26626013.140000001</v>
      </c>
      <c r="C49" s="14">
        <v>8745675.2409786023</v>
      </c>
      <c r="D49" s="14">
        <v>14073</v>
      </c>
      <c r="E49" s="14">
        <v>2742258.6296923473</v>
      </c>
      <c r="F49" s="14">
        <v>1170</v>
      </c>
      <c r="G49" s="14">
        <v>11256422.334612111</v>
      </c>
      <c r="H49" s="14">
        <v>30589.999241633646</v>
      </c>
      <c r="I49" s="14">
        <v>141</v>
      </c>
      <c r="J49" s="14">
        <v>176775.23243944798</v>
      </c>
      <c r="K49" s="14">
        <v>554.41666666666663</v>
      </c>
      <c r="L49" s="14">
        <v>3065</v>
      </c>
      <c r="M49" s="14">
        <v>54616.664212271506</v>
      </c>
      <c r="N49" s="14">
        <v>201.91666666666666</v>
      </c>
      <c r="O49" s="14">
        <v>961</v>
      </c>
      <c r="P49" s="14">
        <v>55963.454453930171</v>
      </c>
      <c r="Q49" s="14">
        <v>114</v>
      </c>
      <c r="R49">
        <v>630.70000000000005</v>
      </c>
      <c r="S49">
        <v>0</v>
      </c>
      <c r="T49">
        <v>31</v>
      </c>
      <c r="U49">
        <v>19</v>
      </c>
      <c r="V49">
        <v>6626.1</v>
      </c>
      <c r="W49">
        <v>5374.1</v>
      </c>
      <c r="X49">
        <v>201.4</v>
      </c>
      <c r="Y49">
        <v>159</v>
      </c>
    </row>
    <row r="50" spans="1:25" x14ac:dyDescent="0.2">
      <c r="A50" s="3">
        <v>39448</v>
      </c>
      <c r="B50" s="14">
        <v>26834623.800000001</v>
      </c>
      <c r="C50" s="14">
        <v>11251406</v>
      </c>
      <c r="D50" s="14">
        <v>14182</v>
      </c>
      <c r="E50" s="14">
        <v>3333443.2</v>
      </c>
      <c r="F50" s="14">
        <v>1181</v>
      </c>
      <c r="G50" s="14">
        <v>11250200.545853611</v>
      </c>
      <c r="H50" s="14">
        <v>30766.283046644716</v>
      </c>
      <c r="I50" s="14">
        <v>144</v>
      </c>
      <c r="J50" s="14">
        <v>178803.69310048668</v>
      </c>
      <c r="K50" s="14">
        <v>597.33333333333337</v>
      </c>
      <c r="L50" s="14">
        <v>3080</v>
      </c>
      <c r="M50" s="14">
        <v>86389.836816490119</v>
      </c>
      <c r="N50" s="14">
        <v>206.66666666666666</v>
      </c>
      <c r="O50" s="14">
        <v>961</v>
      </c>
      <c r="P50" s="14">
        <v>53137.372000000003</v>
      </c>
      <c r="Q50" s="14">
        <v>109</v>
      </c>
      <c r="R50">
        <v>623.5</v>
      </c>
      <c r="S50">
        <v>0</v>
      </c>
      <c r="T50">
        <v>31</v>
      </c>
      <c r="U50">
        <v>22</v>
      </c>
      <c r="V50">
        <v>6579.6</v>
      </c>
      <c r="W50">
        <v>5323.9</v>
      </c>
      <c r="X50">
        <v>199.2</v>
      </c>
      <c r="Y50">
        <v>157.19999999999999</v>
      </c>
    </row>
    <row r="51" spans="1:25" x14ac:dyDescent="0.2">
      <c r="A51" s="3">
        <v>39479</v>
      </c>
      <c r="B51" s="14">
        <v>25912689.399999999</v>
      </c>
      <c r="C51" s="14">
        <v>10289558</v>
      </c>
      <c r="D51" s="14">
        <v>14182</v>
      </c>
      <c r="E51" s="14">
        <v>2959506</v>
      </c>
      <c r="F51" s="14">
        <v>1181</v>
      </c>
      <c r="G51" s="14">
        <v>11521422.596621815</v>
      </c>
      <c r="H51" s="14">
        <v>29202.731739352497</v>
      </c>
      <c r="I51" s="14">
        <v>144</v>
      </c>
      <c r="J51" s="14">
        <v>190641.71199541935</v>
      </c>
      <c r="K51" s="14">
        <v>597.33333333333337</v>
      </c>
      <c r="L51" s="14">
        <v>3080</v>
      </c>
      <c r="M51" s="14">
        <v>60773.259926233426</v>
      </c>
      <c r="N51" s="14">
        <v>206.66666666666666</v>
      </c>
      <c r="O51" s="14">
        <v>961</v>
      </c>
      <c r="P51" s="14">
        <v>56977.118000000002</v>
      </c>
      <c r="Q51" s="14">
        <v>109</v>
      </c>
      <c r="R51">
        <v>674.7</v>
      </c>
      <c r="S51">
        <v>0</v>
      </c>
      <c r="T51">
        <v>29</v>
      </c>
      <c r="U51">
        <v>20</v>
      </c>
      <c r="V51">
        <v>6560.8</v>
      </c>
      <c r="W51">
        <v>5303.7</v>
      </c>
      <c r="X51">
        <v>197.4</v>
      </c>
      <c r="Y51">
        <v>155.6</v>
      </c>
    </row>
    <row r="52" spans="1:25" x14ac:dyDescent="0.2">
      <c r="A52" s="3">
        <v>39508</v>
      </c>
      <c r="B52" s="14">
        <v>25612511.399999999</v>
      </c>
      <c r="C52" s="14">
        <v>8964162</v>
      </c>
      <c r="D52" s="14">
        <v>14182</v>
      </c>
      <c r="E52" s="14">
        <v>3254045</v>
      </c>
      <c r="F52" s="14">
        <v>1181</v>
      </c>
      <c r="G52" s="14">
        <v>11360529.451283518</v>
      </c>
      <c r="H52" s="14">
        <v>28983.278696222347</v>
      </c>
      <c r="I52" s="14">
        <v>144</v>
      </c>
      <c r="J52" s="14">
        <v>172758.86821261572</v>
      </c>
      <c r="K52" s="14">
        <v>597.33333333333337</v>
      </c>
      <c r="L52" s="14">
        <v>3080</v>
      </c>
      <c r="M52" s="14">
        <v>64297.07238114324</v>
      </c>
      <c r="N52" s="14">
        <v>206.66666666666666</v>
      </c>
      <c r="O52" s="14">
        <v>961</v>
      </c>
      <c r="P52" s="14">
        <v>53208.811000000002</v>
      </c>
      <c r="Q52" s="14">
        <v>109</v>
      </c>
      <c r="R52">
        <v>610.20000000000005</v>
      </c>
      <c r="S52">
        <v>0</v>
      </c>
      <c r="T52">
        <v>31</v>
      </c>
      <c r="U52">
        <v>21</v>
      </c>
      <c r="V52">
        <v>6547.6</v>
      </c>
      <c r="W52">
        <v>5278.9</v>
      </c>
      <c r="X52">
        <v>196.8</v>
      </c>
      <c r="Y52">
        <v>154.30000000000001</v>
      </c>
    </row>
    <row r="53" spans="1:25" x14ac:dyDescent="0.2">
      <c r="A53" s="3">
        <v>39539</v>
      </c>
      <c r="B53" s="14">
        <v>22532227.5</v>
      </c>
      <c r="C53" s="14">
        <v>10440956</v>
      </c>
      <c r="D53" s="14">
        <v>14182</v>
      </c>
      <c r="E53" s="14">
        <v>2982983.6</v>
      </c>
      <c r="F53" s="14">
        <v>1181</v>
      </c>
      <c r="G53" s="14">
        <v>11218059.359671723</v>
      </c>
      <c r="H53" s="14">
        <v>29341.637766652362</v>
      </c>
      <c r="I53" s="14">
        <v>144</v>
      </c>
      <c r="J53" s="14">
        <v>178721.69004676014</v>
      </c>
      <c r="K53" s="14">
        <v>597.33333333333337</v>
      </c>
      <c r="L53" s="14">
        <v>3080</v>
      </c>
      <c r="M53" s="14">
        <v>66019.090600152704</v>
      </c>
      <c r="N53" s="14">
        <v>206.66666666666666</v>
      </c>
      <c r="O53" s="14">
        <v>961</v>
      </c>
      <c r="P53" s="14">
        <v>52135.698000000004</v>
      </c>
      <c r="Q53" s="14">
        <v>109</v>
      </c>
      <c r="R53">
        <v>253.9</v>
      </c>
      <c r="S53">
        <v>0</v>
      </c>
      <c r="T53">
        <v>30</v>
      </c>
      <c r="U53">
        <v>20</v>
      </c>
      <c r="V53">
        <v>6580.2</v>
      </c>
      <c r="W53">
        <v>5310.6</v>
      </c>
      <c r="X53">
        <v>197.5</v>
      </c>
      <c r="Y53">
        <v>153.1</v>
      </c>
    </row>
    <row r="54" spans="1:25" x14ac:dyDescent="0.2">
      <c r="A54" s="3">
        <v>39569</v>
      </c>
      <c r="B54" s="14">
        <v>22515732.100000001</v>
      </c>
      <c r="C54" s="14">
        <v>7823719</v>
      </c>
      <c r="D54" s="14">
        <v>14182</v>
      </c>
      <c r="E54" s="14">
        <v>2293553.6</v>
      </c>
      <c r="F54" s="14">
        <v>1181</v>
      </c>
      <c r="G54" s="14">
        <v>10854711.869453192</v>
      </c>
      <c r="H54" s="14">
        <v>40241.450908844759</v>
      </c>
      <c r="I54" s="14">
        <v>144</v>
      </c>
      <c r="J54" s="14">
        <v>184667.65435633168</v>
      </c>
      <c r="K54" s="14">
        <v>597.33333333333337</v>
      </c>
      <c r="L54" s="14">
        <v>3080</v>
      </c>
      <c r="M54" s="14">
        <v>63207.302819066674</v>
      </c>
      <c r="N54" s="14">
        <v>206.66666666666666</v>
      </c>
      <c r="O54" s="14">
        <v>961</v>
      </c>
      <c r="P54" s="14">
        <v>56041.542000000016</v>
      </c>
      <c r="Q54" s="14">
        <v>109</v>
      </c>
      <c r="R54">
        <v>193.5</v>
      </c>
      <c r="S54">
        <v>2.5</v>
      </c>
      <c r="T54">
        <v>31</v>
      </c>
      <c r="U54">
        <v>21</v>
      </c>
      <c r="V54">
        <v>6640.6</v>
      </c>
      <c r="W54">
        <v>5370.3</v>
      </c>
      <c r="X54">
        <v>198.8</v>
      </c>
      <c r="Y54">
        <v>154</v>
      </c>
    </row>
    <row r="55" spans="1:25" x14ac:dyDescent="0.2">
      <c r="A55" s="3">
        <v>39600</v>
      </c>
      <c r="B55" s="14">
        <v>24821126.100000001</v>
      </c>
      <c r="C55" s="14">
        <v>7223673</v>
      </c>
      <c r="D55" s="14">
        <v>14182</v>
      </c>
      <c r="E55" s="14">
        <v>2462618.4</v>
      </c>
      <c r="F55" s="14">
        <v>1181</v>
      </c>
      <c r="G55" s="14">
        <v>11552545.905143619</v>
      </c>
      <c r="H55" s="14">
        <v>33708.684624928981</v>
      </c>
      <c r="I55" s="14">
        <v>144</v>
      </c>
      <c r="J55" s="14">
        <v>184667.6543563318</v>
      </c>
      <c r="K55" s="14">
        <v>597.33333333333337</v>
      </c>
      <c r="L55" s="14">
        <v>3080</v>
      </c>
      <c r="M55" s="14">
        <v>63142.824406527361</v>
      </c>
      <c r="N55" s="14">
        <v>206.66666666666666</v>
      </c>
      <c r="O55" s="14">
        <v>961</v>
      </c>
      <c r="P55" s="14">
        <v>54262.986999999965</v>
      </c>
      <c r="Q55" s="14">
        <v>109</v>
      </c>
      <c r="R55">
        <v>22.7</v>
      </c>
      <c r="S55">
        <v>71.5</v>
      </c>
      <c r="T55">
        <v>30</v>
      </c>
      <c r="U55">
        <v>21</v>
      </c>
      <c r="V55">
        <v>6712.3</v>
      </c>
      <c r="W55">
        <v>5458.4</v>
      </c>
      <c r="X55">
        <v>202.5</v>
      </c>
      <c r="Y55">
        <v>157.30000000000001</v>
      </c>
    </row>
    <row r="56" spans="1:25" x14ac:dyDescent="0.2">
      <c r="A56" s="3">
        <v>39630</v>
      </c>
      <c r="B56" s="14">
        <v>28570814.5</v>
      </c>
      <c r="C56" s="14">
        <v>9325409</v>
      </c>
      <c r="D56" s="14">
        <v>14182</v>
      </c>
      <c r="E56" s="14">
        <v>2695120</v>
      </c>
      <c r="F56" s="14">
        <v>1181</v>
      </c>
      <c r="G56" s="14">
        <v>11703757.96049241</v>
      </c>
      <c r="H56" s="14">
        <v>32415.745370821431</v>
      </c>
      <c r="I56" s="14">
        <v>144</v>
      </c>
      <c r="J56" s="14">
        <v>195997.10497184843</v>
      </c>
      <c r="K56" s="14">
        <v>597.33333333333337</v>
      </c>
      <c r="L56" s="14">
        <v>3080</v>
      </c>
      <c r="M56" s="14">
        <v>67882.387123866763</v>
      </c>
      <c r="N56" s="14">
        <v>206.66666666666666</v>
      </c>
      <c r="O56" s="14">
        <v>961</v>
      </c>
      <c r="P56" s="14">
        <v>56802.183000000019</v>
      </c>
      <c r="Q56" s="14">
        <v>109</v>
      </c>
      <c r="R56">
        <v>1</v>
      </c>
      <c r="S56">
        <v>111</v>
      </c>
      <c r="T56">
        <v>31</v>
      </c>
      <c r="U56">
        <v>22</v>
      </c>
      <c r="V56">
        <v>6755.7</v>
      </c>
      <c r="W56">
        <v>5533.6</v>
      </c>
      <c r="X56">
        <v>204.9</v>
      </c>
      <c r="Y56">
        <v>161.6</v>
      </c>
    </row>
    <row r="57" spans="1:25" x14ac:dyDescent="0.2">
      <c r="A57" s="3">
        <v>39661</v>
      </c>
      <c r="B57" s="14">
        <v>26538105.300000001</v>
      </c>
      <c r="C57" s="14">
        <v>10504335</v>
      </c>
      <c r="D57" s="14">
        <v>14182</v>
      </c>
      <c r="E57" s="14">
        <v>2689041.8</v>
      </c>
      <c r="F57" s="14">
        <v>1181</v>
      </c>
      <c r="G57" s="14">
        <v>9832203.1673823819</v>
      </c>
      <c r="H57" s="14">
        <v>33385.642561439963</v>
      </c>
      <c r="I57" s="14">
        <v>144</v>
      </c>
      <c r="J57" s="14">
        <v>132657.85828800453</v>
      </c>
      <c r="K57" s="14">
        <v>597.33333333333337</v>
      </c>
      <c r="L57" s="14">
        <v>3080</v>
      </c>
      <c r="M57" s="14">
        <v>64972.137726500601</v>
      </c>
      <c r="N57" s="14">
        <v>206.66666666666666</v>
      </c>
      <c r="O57" s="14">
        <v>961</v>
      </c>
      <c r="P57" s="14">
        <v>46037.738000000012</v>
      </c>
      <c r="Q57" s="14">
        <v>109</v>
      </c>
      <c r="R57">
        <v>12.7</v>
      </c>
      <c r="S57">
        <v>64</v>
      </c>
      <c r="T57">
        <v>31</v>
      </c>
      <c r="U57">
        <v>20</v>
      </c>
      <c r="V57">
        <v>6761.2</v>
      </c>
      <c r="W57">
        <v>5592.4</v>
      </c>
      <c r="X57">
        <v>206</v>
      </c>
      <c r="Y57">
        <v>165.1</v>
      </c>
    </row>
    <row r="58" spans="1:25" x14ac:dyDescent="0.2">
      <c r="A58" s="3">
        <v>39692</v>
      </c>
      <c r="B58" s="14">
        <v>24402815.399999999</v>
      </c>
      <c r="C58" s="14">
        <v>9651619</v>
      </c>
      <c r="D58" s="14">
        <v>14182</v>
      </c>
      <c r="E58" s="14">
        <v>2936461.4</v>
      </c>
      <c r="F58" s="14">
        <v>1181</v>
      </c>
      <c r="G58" s="14">
        <v>11382968.833094761</v>
      </c>
      <c r="H58" s="14">
        <v>32352.659358422799</v>
      </c>
      <c r="I58" s="14">
        <v>144</v>
      </c>
      <c r="J58" s="14">
        <v>176328.03645386011</v>
      </c>
      <c r="K58" s="14">
        <v>597.33333333333337</v>
      </c>
      <c r="L58" s="14">
        <v>3080</v>
      </c>
      <c r="M58" s="14">
        <v>63095.197335241879</v>
      </c>
      <c r="N58" s="14">
        <v>206.66666666666666</v>
      </c>
      <c r="O58" s="14">
        <v>961</v>
      </c>
      <c r="P58" s="14">
        <v>54094.733999999997</v>
      </c>
      <c r="Q58" s="14">
        <v>109</v>
      </c>
      <c r="R58">
        <v>59</v>
      </c>
      <c r="S58">
        <v>26.7</v>
      </c>
      <c r="T58">
        <v>30</v>
      </c>
      <c r="U58">
        <v>21</v>
      </c>
      <c r="V58">
        <v>6735.2</v>
      </c>
      <c r="W58">
        <v>5556.1</v>
      </c>
      <c r="X58">
        <v>203.6</v>
      </c>
      <c r="Y58">
        <v>164.2</v>
      </c>
    </row>
    <row r="59" spans="1:25" x14ac:dyDescent="0.2">
      <c r="A59" s="3">
        <v>39722</v>
      </c>
      <c r="B59" s="14">
        <v>23564590.800000001</v>
      </c>
      <c r="C59" s="14">
        <v>8617677</v>
      </c>
      <c r="D59" s="14">
        <v>14182</v>
      </c>
      <c r="E59" s="14">
        <v>2727526.8</v>
      </c>
      <c r="F59" s="14">
        <v>1181</v>
      </c>
      <c r="G59" s="14">
        <v>12345673.860578299</v>
      </c>
      <c r="H59" s="14">
        <v>31565.406203700237</v>
      </c>
      <c r="I59" s="14">
        <v>144</v>
      </c>
      <c r="J59" s="14">
        <v>196590.13875369774</v>
      </c>
      <c r="K59" s="14">
        <v>597.33333333333337</v>
      </c>
      <c r="L59" s="14">
        <v>3080</v>
      </c>
      <c r="M59" s="14">
        <v>64400.64919057161</v>
      </c>
      <c r="N59" s="14">
        <v>206.66666666666666</v>
      </c>
      <c r="O59" s="14">
        <v>961</v>
      </c>
      <c r="P59" s="14">
        <v>54590.766999999934</v>
      </c>
      <c r="Q59" s="14">
        <v>109</v>
      </c>
      <c r="R59">
        <v>278.60000000000002</v>
      </c>
      <c r="S59">
        <v>0</v>
      </c>
      <c r="T59">
        <v>31</v>
      </c>
      <c r="U59">
        <v>22</v>
      </c>
      <c r="V59">
        <v>6734.5</v>
      </c>
      <c r="W59">
        <v>5512.3</v>
      </c>
      <c r="X59">
        <v>202.6</v>
      </c>
      <c r="Y59">
        <v>162.6</v>
      </c>
    </row>
    <row r="60" spans="1:25" x14ac:dyDescent="0.2">
      <c r="A60" s="3">
        <v>39753</v>
      </c>
      <c r="B60" s="14">
        <v>24501133</v>
      </c>
      <c r="C60" s="14">
        <v>7007222</v>
      </c>
      <c r="D60" s="14">
        <v>14182</v>
      </c>
      <c r="E60" s="14">
        <v>2428056.6</v>
      </c>
      <c r="F60" s="14">
        <v>1181</v>
      </c>
      <c r="G60" s="14">
        <v>12868285.02347552</v>
      </c>
      <c r="H60" s="14">
        <v>33774.641637891822</v>
      </c>
      <c r="I60" s="14">
        <v>144</v>
      </c>
      <c r="J60" s="14">
        <v>192649.44240862667</v>
      </c>
      <c r="K60" s="14">
        <v>597.33333333333337</v>
      </c>
      <c r="L60" s="14">
        <v>3080</v>
      </c>
      <c r="M60" s="14">
        <v>41981.675895600703</v>
      </c>
      <c r="N60" s="14">
        <v>206.66666666666666</v>
      </c>
      <c r="O60" s="14">
        <v>961</v>
      </c>
      <c r="P60" s="14">
        <v>58965.310000000056</v>
      </c>
      <c r="Q60" s="14">
        <v>109</v>
      </c>
      <c r="R60">
        <v>451.6</v>
      </c>
      <c r="S60">
        <v>0</v>
      </c>
      <c r="T60">
        <v>30</v>
      </c>
      <c r="U60">
        <v>20</v>
      </c>
      <c r="V60">
        <v>6693.5</v>
      </c>
      <c r="W60">
        <v>5407.2</v>
      </c>
      <c r="X60">
        <v>199.3</v>
      </c>
      <c r="Y60">
        <v>157.5</v>
      </c>
    </row>
    <row r="61" spans="1:25" x14ac:dyDescent="0.2">
      <c r="A61" s="3">
        <v>39783</v>
      </c>
      <c r="B61" s="14">
        <v>27248631</v>
      </c>
      <c r="C61" s="14">
        <v>10337644</v>
      </c>
      <c r="D61" s="14">
        <v>14182</v>
      </c>
      <c r="E61" s="14">
        <v>3160654.4</v>
      </c>
      <c r="F61" s="14">
        <v>1181</v>
      </c>
      <c r="G61" s="14">
        <v>12973451.161656648</v>
      </c>
      <c r="H61" s="14">
        <v>30961.838085078078</v>
      </c>
      <c r="I61" s="14">
        <v>144</v>
      </c>
      <c r="J61" s="14">
        <v>202244.83538505575</v>
      </c>
      <c r="K61" s="14">
        <v>597.33333333333337</v>
      </c>
      <c r="L61" s="14">
        <v>3080</v>
      </c>
      <c r="M61" s="14">
        <v>62172.961670960976</v>
      </c>
      <c r="N61" s="14">
        <v>206.66666666666666</v>
      </c>
      <c r="O61" s="14">
        <v>961</v>
      </c>
      <c r="P61" s="14">
        <v>57480.469000000041</v>
      </c>
      <c r="Q61" s="14">
        <v>109</v>
      </c>
      <c r="R61">
        <v>654.6</v>
      </c>
      <c r="S61">
        <v>0</v>
      </c>
      <c r="T61">
        <v>31</v>
      </c>
      <c r="U61">
        <v>21</v>
      </c>
      <c r="V61">
        <v>6670.1</v>
      </c>
      <c r="W61">
        <v>5368</v>
      </c>
      <c r="X61">
        <v>198.1</v>
      </c>
      <c r="Y61">
        <v>155.9</v>
      </c>
    </row>
    <row r="62" spans="1:25" x14ac:dyDescent="0.2">
      <c r="A62" s="3">
        <v>39814</v>
      </c>
      <c r="B62" s="14">
        <v>28176601.800000001</v>
      </c>
      <c r="C62" s="14">
        <v>12875072</v>
      </c>
      <c r="D62" s="14">
        <v>14248</v>
      </c>
      <c r="E62" s="14">
        <v>3040431.6</v>
      </c>
      <c r="F62" s="14">
        <v>1209</v>
      </c>
      <c r="G62" s="14">
        <v>9320590.8381524943</v>
      </c>
      <c r="H62" s="14">
        <v>30236.311824133802</v>
      </c>
      <c r="I62" s="14">
        <v>131</v>
      </c>
      <c r="J62" s="14">
        <v>167075.89111556447</v>
      </c>
      <c r="K62" s="14">
        <v>638.16666666666663</v>
      </c>
      <c r="L62" s="14">
        <v>3088</v>
      </c>
      <c r="M62" s="14">
        <v>61278.041511594616</v>
      </c>
      <c r="N62" s="14">
        <v>188.08333333333334</v>
      </c>
      <c r="O62" s="14">
        <v>961</v>
      </c>
      <c r="P62" s="14">
        <v>51481.603000000003</v>
      </c>
      <c r="Q62" s="14">
        <v>19</v>
      </c>
      <c r="R62">
        <v>830.2</v>
      </c>
      <c r="S62">
        <v>0</v>
      </c>
      <c r="T62">
        <v>31</v>
      </c>
      <c r="U62">
        <v>21</v>
      </c>
      <c r="V62">
        <v>6572.3</v>
      </c>
      <c r="W62">
        <v>5275.1</v>
      </c>
      <c r="X62">
        <v>194.2</v>
      </c>
      <c r="Y62">
        <v>152.30000000000001</v>
      </c>
    </row>
    <row r="63" spans="1:25" x14ac:dyDescent="0.2">
      <c r="A63" s="3">
        <v>39845</v>
      </c>
      <c r="B63" s="14">
        <v>24278506.899999999</v>
      </c>
      <c r="C63" s="14">
        <v>9132583</v>
      </c>
      <c r="D63" s="14">
        <v>14248</v>
      </c>
      <c r="E63" s="14">
        <v>2530581</v>
      </c>
      <c r="F63" s="14">
        <v>1209</v>
      </c>
      <c r="G63" s="14">
        <v>9298511.8481725324</v>
      </c>
      <c r="H63" s="14">
        <v>29429.625868368235</v>
      </c>
      <c r="I63" s="14">
        <v>131</v>
      </c>
      <c r="J63" s="14">
        <v>128247.27321309283</v>
      </c>
      <c r="K63" s="14">
        <v>638.16666666666663</v>
      </c>
      <c r="L63" s="14">
        <v>3088</v>
      </c>
      <c r="M63" s="14">
        <v>57395.075190094482</v>
      </c>
      <c r="N63" s="14">
        <v>188.08333333333334</v>
      </c>
      <c r="O63" s="14">
        <v>961</v>
      </c>
      <c r="P63" s="14">
        <v>44867.879000000001</v>
      </c>
      <c r="Q63" s="14">
        <v>19</v>
      </c>
      <c r="R63">
        <v>606.4</v>
      </c>
      <c r="S63">
        <v>0</v>
      </c>
      <c r="T63">
        <v>28</v>
      </c>
      <c r="U63">
        <v>19</v>
      </c>
      <c r="V63">
        <v>6499.2</v>
      </c>
      <c r="W63">
        <v>5201</v>
      </c>
      <c r="X63">
        <v>189.9</v>
      </c>
      <c r="Y63">
        <v>148</v>
      </c>
    </row>
    <row r="64" spans="1:25" x14ac:dyDescent="0.2">
      <c r="A64" s="3">
        <v>39873</v>
      </c>
      <c r="B64" s="14">
        <v>24782457.600000001</v>
      </c>
      <c r="C64" s="14">
        <v>12753132</v>
      </c>
      <c r="D64" s="14">
        <v>14248</v>
      </c>
      <c r="E64" s="14">
        <v>3677588.4</v>
      </c>
      <c r="F64" s="14">
        <v>1209</v>
      </c>
      <c r="G64" s="14">
        <v>13748275.947704934</v>
      </c>
      <c r="H64" s="14">
        <v>29395.687828158287</v>
      </c>
      <c r="I64" s="14">
        <v>131</v>
      </c>
      <c r="J64" s="14">
        <v>220415.6661895219</v>
      </c>
      <c r="K64" s="14">
        <v>638.16666666666663</v>
      </c>
      <c r="L64" s="14">
        <v>3088</v>
      </c>
      <c r="M64" s="14">
        <v>57610.508436778298</v>
      </c>
      <c r="N64" s="14">
        <v>188.08333333333334</v>
      </c>
      <c r="O64" s="14">
        <v>961</v>
      </c>
      <c r="P64" s="14">
        <v>59089.97600000001</v>
      </c>
      <c r="Q64" s="14">
        <v>19</v>
      </c>
      <c r="R64">
        <v>533.79999999999995</v>
      </c>
      <c r="S64">
        <v>0</v>
      </c>
      <c r="T64">
        <v>31</v>
      </c>
      <c r="U64">
        <v>22</v>
      </c>
      <c r="V64">
        <v>6425.4</v>
      </c>
      <c r="W64">
        <v>5125</v>
      </c>
      <c r="X64">
        <v>185.8</v>
      </c>
      <c r="Y64">
        <v>142.4</v>
      </c>
    </row>
    <row r="65" spans="1:25" x14ac:dyDescent="0.2">
      <c r="A65" s="3">
        <v>39904</v>
      </c>
      <c r="B65" s="14">
        <v>22158416.699999999</v>
      </c>
      <c r="C65" s="14">
        <v>6744050</v>
      </c>
      <c r="D65" s="14">
        <v>14248</v>
      </c>
      <c r="E65" s="14">
        <v>2211244.6</v>
      </c>
      <c r="F65" s="14">
        <v>1209</v>
      </c>
      <c r="G65" s="14">
        <v>8360444.0822597556</v>
      </c>
      <c r="H65" s="14">
        <v>29217.31561682199</v>
      </c>
      <c r="I65" s="14">
        <v>131</v>
      </c>
      <c r="J65" s="14">
        <v>150011.72287432011</v>
      </c>
      <c r="K65" s="14">
        <v>638.16666666666663</v>
      </c>
      <c r="L65" s="14">
        <v>3088</v>
      </c>
      <c r="M65" s="14">
        <v>61383.382946941492</v>
      </c>
      <c r="N65" s="14">
        <v>188.08333333333334</v>
      </c>
      <c r="O65" s="14">
        <v>961</v>
      </c>
      <c r="P65" s="14">
        <v>46774.920999999973</v>
      </c>
      <c r="Q65" s="14">
        <v>19</v>
      </c>
      <c r="R65">
        <v>305.8</v>
      </c>
      <c r="S65">
        <v>1.2</v>
      </c>
      <c r="T65">
        <v>30</v>
      </c>
      <c r="U65">
        <v>20</v>
      </c>
      <c r="V65">
        <v>6423.1</v>
      </c>
      <c r="W65">
        <v>5119.3999999999996</v>
      </c>
      <c r="X65">
        <v>181.5</v>
      </c>
      <c r="Y65">
        <v>137.6</v>
      </c>
    </row>
    <row r="66" spans="1:25" x14ac:dyDescent="0.2">
      <c r="A66" s="3">
        <v>39934</v>
      </c>
      <c r="B66" s="14">
        <v>21554380.100000001</v>
      </c>
      <c r="C66" s="14">
        <v>7891599</v>
      </c>
      <c r="D66" s="14">
        <v>14248</v>
      </c>
      <c r="E66" s="14">
        <v>2657783.2000000002</v>
      </c>
      <c r="F66" s="14">
        <v>1209</v>
      </c>
      <c r="G66" s="14">
        <v>11281896.824315298</v>
      </c>
      <c r="H66" s="14">
        <v>30425.703048525458</v>
      </c>
      <c r="I66" s="14">
        <v>131</v>
      </c>
      <c r="J66" s="14">
        <v>225697.15430861723</v>
      </c>
      <c r="K66" s="14">
        <v>638.16666666666663</v>
      </c>
      <c r="L66" s="14">
        <v>3088</v>
      </c>
      <c r="M66" s="14">
        <v>60816.230314533837</v>
      </c>
      <c r="N66" s="14">
        <v>188.08333333333334</v>
      </c>
      <c r="O66" s="14">
        <v>961</v>
      </c>
      <c r="P66" s="14">
        <v>35458.408000000025</v>
      </c>
      <c r="Q66" s="14">
        <v>19</v>
      </c>
      <c r="R66">
        <v>158.80000000000001</v>
      </c>
      <c r="S66">
        <v>6.9</v>
      </c>
      <c r="T66">
        <v>31</v>
      </c>
      <c r="U66">
        <v>20</v>
      </c>
      <c r="V66">
        <v>6447.5</v>
      </c>
      <c r="W66">
        <v>5157.3</v>
      </c>
      <c r="X66">
        <v>181.1</v>
      </c>
      <c r="Y66">
        <v>137.69999999999999</v>
      </c>
    </row>
    <row r="67" spans="1:25" x14ac:dyDescent="0.2">
      <c r="A67" s="3">
        <v>39965</v>
      </c>
      <c r="B67" s="14">
        <v>22809700.899999999</v>
      </c>
      <c r="C67" s="14">
        <v>6395586</v>
      </c>
      <c r="D67" s="14">
        <v>14248</v>
      </c>
      <c r="E67" s="14">
        <v>2644412</v>
      </c>
      <c r="F67" s="14">
        <v>1209</v>
      </c>
      <c r="G67" s="14">
        <v>10741084.282087982</v>
      </c>
      <c r="H67" s="14">
        <v>29379.344808794984</v>
      </c>
      <c r="I67" s="14">
        <v>131</v>
      </c>
      <c r="J67" s="14">
        <v>173330.12157648616</v>
      </c>
      <c r="K67" s="14">
        <v>638.16666666666663</v>
      </c>
      <c r="L67" s="14">
        <v>3088</v>
      </c>
      <c r="M67" s="14">
        <v>60074.76365903236</v>
      </c>
      <c r="N67" s="14">
        <v>188.08333333333334</v>
      </c>
      <c r="O67" s="14">
        <v>961</v>
      </c>
      <c r="P67" s="14">
        <v>81867.06799999997</v>
      </c>
      <c r="Q67" s="14">
        <v>19</v>
      </c>
      <c r="R67">
        <v>49.3</v>
      </c>
      <c r="S67">
        <v>34.200000000000003</v>
      </c>
      <c r="T67">
        <v>30</v>
      </c>
      <c r="U67">
        <v>22</v>
      </c>
      <c r="V67">
        <v>6497.3</v>
      </c>
      <c r="W67">
        <v>5215.6000000000004</v>
      </c>
      <c r="X67">
        <v>184.3</v>
      </c>
      <c r="Y67">
        <v>141.30000000000001</v>
      </c>
    </row>
    <row r="68" spans="1:25" x14ac:dyDescent="0.2">
      <c r="A68" s="3">
        <v>39995</v>
      </c>
      <c r="B68" s="14">
        <v>24213473.600000001</v>
      </c>
      <c r="C68" s="14">
        <v>8518522</v>
      </c>
      <c r="D68" s="14">
        <v>14248</v>
      </c>
      <c r="E68" s="14">
        <v>2895802.2</v>
      </c>
      <c r="F68" s="14">
        <v>1209</v>
      </c>
      <c r="G68" s="14">
        <v>11638396.886916686</v>
      </c>
      <c r="H68" s="14">
        <v>29245.407650105593</v>
      </c>
      <c r="I68" s="14">
        <v>131</v>
      </c>
      <c r="J68" s="14">
        <v>189387.13875369797</v>
      </c>
      <c r="K68" s="14">
        <v>638.16666666666663</v>
      </c>
      <c r="L68" s="14">
        <v>3088</v>
      </c>
      <c r="M68" s="14">
        <v>62902.314256894737</v>
      </c>
      <c r="N68" s="14">
        <v>188.08333333333334</v>
      </c>
      <c r="O68" s="14">
        <v>961</v>
      </c>
      <c r="P68" s="14">
        <v>52602.404000000039</v>
      </c>
      <c r="Q68" s="14">
        <v>19</v>
      </c>
      <c r="R68">
        <v>6.2</v>
      </c>
      <c r="S68">
        <v>43.7</v>
      </c>
      <c r="T68">
        <v>31</v>
      </c>
      <c r="U68">
        <v>22</v>
      </c>
      <c r="V68">
        <v>6534.5</v>
      </c>
      <c r="W68">
        <v>5294</v>
      </c>
      <c r="X68">
        <v>188.8</v>
      </c>
      <c r="Y68">
        <v>145.80000000000001</v>
      </c>
    </row>
    <row r="69" spans="1:25" x14ac:dyDescent="0.2">
      <c r="A69" s="3">
        <v>40026</v>
      </c>
      <c r="B69" s="14">
        <v>26831981</v>
      </c>
      <c r="C69" s="14">
        <v>11581095</v>
      </c>
      <c r="D69" s="14">
        <v>14248</v>
      </c>
      <c r="E69" s="14">
        <v>3291721.6</v>
      </c>
      <c r="F69" s="14">
        <v>1209</v>
      </c>
      <c r="G69" s="14">
        <v>10439847.291344594</v>
      </c>
      <c r="H69" s="14">
        <v>30277.136872503521</v>
      </c>
      <c r="I69" s="14">
        <v>131</v>
      </c>
      <c r="J69" s="14">
        <v>182217.95228552353</v>
      </c>
      <c r="K69" s="14">
        <v>638.16666666666663</v>
      </c>
      <c r="L69" s="14">
        <v>3088</v>
      </c>
      <c r="M69" s="14">
        <v>61271.621904761902</v>
      </c>
      <c r="N69" s="14">
        <v>188.08333333333334</v>
      </c>
      <c r="O69" s="14">
        <v>961</v>
      </c>
      <c r="P69" s="14">
        <v>58734.377999999968</v>
      </c>
      <c r="Q69" s="14">
        <v>19</v>
      </c>
      <c r="R69">
        <v>9.8000000000000007</v>
      </c>
      <c r="S69">
        <v>91</v>
      </c>
      <c r="T69">
        <v>31</v>
      </c>
      <c r="U69">
        <v>20</v>
      </c>
      <c r="V69">
        <v>6559.1</v>
      </c>
      <c r="W69">
        <v>5345.8</v>
      </c>
      <c r="X69">
        <v>192.7</v>
      </c>
      <c r="Y69">
        <v>148.69999999999999</v>
      </c>
    </row>
    <row r="70" spans="1:25" x14ac:dyDescent="0.2">
      <c r="A70" s="3">
        <v>40057</v>
      </c>
      <c r="B70" s="14">
        <v>22526996.600000001</v>
      </c>
      <c r="C70" s="14">
        <v>9412243</v>
      </c>
      <c r="D70" s="14">
        <v>14248</v>
      </c>
      <c r="E70" s="14">
        <v>2299133</v>
      </c>
      <c r="F70" s="14">
        <v>1209</v>
      </c>
      <c r="G70" s="14">
        <v>8024435.5810668916</v>
      </c>
      <c r="H70" s="14">
        <v>39621.945944280153</v>
      </c>
      <c r="I70" s="14">
        <v>131</v>
      </c>
      <c r="J70" s="14">
        <v>134990.26137990272</v>
      </c>
      <c r="K70" s="14">
        <v>638.16666666666663</v>
      </c>
      <c r="L70" s="14">
        <v>3088</v>
      </c>
      <c r="M70" s="14">
        <v>58528.878028151572</v>
      </c>
      <c r="N70" s="14">
        <v>188.08333333333334</v>
      </c>
      <c r="O70" s="14">
        <v>961</v>
      </c>
      <c r="P70" s="14">
        <v>1338.5480000000098</v>
      </c>
      <c r="Q70" s="14">
        <v>19</v>
      </c>
      <c r="R70">
        <v>55.2</v>
      </c>
      <c r="S70">
        <v>20.9</v>
      </c>
      <c r="T70">
        <v>30</v>
      </c>
      <c r="U70">
        <v>21</v>
      </c>
      <c r="V70">
        <v>6543.1</v>
      </c>
      <c r="W70">
        <v>5347.8</v>
      </c>
      <c r="X70">
        <v>191.6</v>
      </c>
      <c r="Y70">
        <v>147.4</v>
      </c>
    </row>
    <row r="71" spans="1:25" x14ac:dyDescent="0.2">
      <c r="A71" s="3">
        <v>40087</v>
      </c>
      <c r="B71" s="14">
        <v>22778839.100000001</v>
      </c>
      <c r="C71" s="14">
        <v>9213383</v>
      </c>
      <c r="D71" s="14">
        <v>14248</v>
      </c>
      <c r="E71" s="14">
        <v>3076919.8</v>
      </c>
      <c r="F71" s="14">
        <v>1209</v>
      </c>
      <c r="G71" s="14">
        <v>12391551.51226262</v>
      </c>
      <c r="H71" s="14">
        <v>32301.376270832494</v>
      </c>
      <c r="I71" s="14">
        <v>131</v>
      </c>
      <c r="J71" s="14">
        <v>176989.57705887966</v>
      </c>
      <c r="K71" s="14">
        <v>638.16666666666663</v>
      </c>
      <c r="L71" s="14">
        <v>3088</v>
      </c>
      <c r="M71" s="14">
        <v>54092.908563412551</v>
      </c>
      <c r="N71" s="14">
        <v>188.08333333333334</v>
      </c>
      <c r="O71" s="14">
        <v>961</v>
      </c>
      <c r="P71" s="14">
        <v>75521.713999999978</v>
      </c>
      <c r="Q71" s="14">
        <v>19</v>
      </c>
      <c r="R71">
        <v>287.8</v>
      </c>
      <c r="S71">
        <v>0</v>
      </c>
      <c r="T71">
        <v>31</v>
      </c>
      <c r="U71">
        <v>21</v>
      </c>
      <c r="V71">
        <v>6545.5</v>
      </c>
      <c r="W71">
        <v>5314.9</v>
      </c>
      <c r="X71">
        <v>192.3</v>
      </c>
      <c r="Y71">
        <v>147.6</v>
      </c>
    </row>
    <row r="72" spans="1:25" x14ac:dyDescent="0.2">
      <c r="A72" s="3">
        <v>40118</v>
      </c>
      <c r="B72" s="14">
        <v>22681845.800000001</v>
      </c>
      <c r="C72" s="14">
        <v>6505659</v>
      </c>
      <c r="D72" s="14">
        <v>14248</v>
      </c>
      <c r="E72" s="14">
        <v>2203657.7999999998</v>
      </c>
      <c r="F72" s="14">
        <v>1209</v>
      </c>
      <c r="G72" s="14">
        <v>9224200.6319305226</v>
      </c>
      <c r="H72" s="14">
        <v>28647.35494152972</v>
      </c>
      <c r="I72" s="14">
        <v>131</v>
      </c>
      <c r="J72" s="14">
        <v>189683.09428380569</v>
      </c>
      <c r="K72" s="14">
        <v>638.16666666666663</v>
      </c>
      <c r="L72" s="14">
        <v>3088</v>
      </c>
      <c r="M72" s="14">
        <v>39449.181244870735</v>
      </c>
      <c r="N72" s="14">
        <v>188.08333333333334</v>
      </c>
      <c r="O72" s="14">
        <v>961</v>
      </c>
      <c r="P72" s="14">
        <v>6733.445000000007</v>
      </c>
      <c r="Q72" s="14">
        <v>19</v>
      </c>
      <c r="R72">
        <v>361.2</v>
      </c>
      <c r="S72">
        <v>0</v>
      </c>
      <c r="T72">
        <v>30</v>
      </c>
      <c r="U72">
        <v>21</v>
      </c>
      <c r="V72">
        <v>6539.6</v>
      </c>
      <c r="W72">
        <v>5267.8</v>
      </c>
      <c r="X72">
        <v>191.3</v>
      </c>
      <c r="Y72">
        <v>145.9</v>
      </c>
    </row>
    <row r="73" spans="1:25" x14ac:dyDescent="0.2">
      <c r="A73" s="3">
        <v>40148</v>
      </c>
      <c r="B73" s="14">
        <v>26176555.699999999</v>
      </c>
      <c r="C73" s="14">
        <v>10573461</v>
      </c>
      <c r="D73" s="14">
        <v>14248</v>
      </c>
      <c r="E73" s="14">
        <v>3289633</v>
      </c>
      <c r="F73" s="14">
        <v>1209</v>
      </c>
      <c r="G73" s="14">
        <v>12745995.713999435</v>
      </c>
      <c r="H73" s="14">
        <v>28127.789325945771</v>
      </c>
      <c r="I73" s="14">
        <v>131</v>
      </c>
      <c r="J73" s="14">
        <v>226300.1582212043</v>
      </c>
      <c r="K73" s="14">
        <v>638.16666666666663</v>
      </c>
      <c r="L73" s="14">
        <v>3088</v>
      </c>
      <c r="M73" s="14">
        <v>49913.762689569659</v>
      </c>
      <c r="N73" s="14">
        <v>188.08333333333334</v>
      </c>
      <c r="O73" s="14">
        <v>961</v>
      </c>
      <c r="P73" s="14">
        <v>130058.58300000004</v>
      </c>
      <c r="Q73" s="14">
        <v>19</v>
      </c>
      <c r="R73">
        <v>631.29999999999995</v>
      </c>
      <c r="S73">
        <v>0</v>
      </c>
      <c r="T73">
        <v>31</v>
      </c>
      <c r="U73">
        <v>21</v>
      </c>
      <c r="V73">
        <v>6542.2</v>
      </c>
      <c r="W73">
        <v>5254.5</v>
      </c>
      <c r="X73">
        <v>189.8</v>
      </c>
      <c r="Y73">
        <v>144.30000000000001</v>
      </c>
    </row>
    <row r="74" spans="1:25" x14ac:dyDescent="0.2">
      <c r="A74" s="3">
        <v>40179</v>
      </c>
      <c r="B74" s="14">
        <v>26810992.800000001</v>
      </c>
      <c r="C74" s="14">
        <v>11502148</v>
      </c>
      <c r="D74" s="14">
        <v>14278</v>
      </c>
      <c r="E74" s="14">
        <v>2905978.4</v>
      </c>
      <c r="F74" s="14">
        <v>1209</v>
      </c>
      <c r="G74" s="14">
        <v>8557493.489550529</v>
      </c>
      <c r="H74" s="14">
        <v>24438.566889869791</v>
      </c>
      <c r="I74" s="14">
        <v>125</v>
      </c>
      <c r="J74" s="14">
        <v>218457.8417787957</v>
      </c>
      <c r="K74" s="14">
        <v>589.83333333333337</v>
      </c>
      <c r="L74" s="14">
        <v>3074</v>
      </c>
      <c r="M74" s="14">
        <v>54942.979769061931</v>
      </c>
      <c r="N74" s="14">
        <v>209</v>
      </c>
      <c r="O74" s="14">
        <v>862</v>
      </c>
      <c r="P74" s="14">
        <v>-1942.0439999999999</v>
      </c>
      <c r="Q74" s="14">
        <v>19</v>
      </c>
      <c r="R74">
        <v>720</v>
      </c>
      <c r="S74">
        <v>0</v>
      </c>
      <c r="T74">
        <v>31</v>
      </c>
      <c r="U74">
        <v>20</v>
      </c>
      <c r="V74">
        <v>6502.5</v>
      </c>
      <c r="W74">
        <v>5212.8</v>
      </c>
      <c r="X74">
        <v>187.8</v>
      </c>
      <c r="Y74">
        <v>142.69999999999999</v>
      </c>
    </row>
    <row r="75" spans="1:25" x14ac:dyDescent="0.2">
      <c r="A75" s="3">
        <v>40210</v>
      </c>
      <c r="B75" s="14">
        <v>23866440.699999999</v>
      </c>
      <c r="C75" s="14">
        <v>9646070</v>
      </c>
      <c r="D75" s="14">
        <v>14278</v>
      </c>
      <c r="E75" s="14">
        <v>2890130.2</v>
      </c>
      <c r="F75" s="14">
        <v>1209</v>
      </c>
      <c r="G75" s="14">
        <v>9923450.0584979467</v>
      </c>
      <c r="H75" s="14">
        <v>34509.122729022289</v>
      </c>
      <c r="I75" s="14">
        <v>125</v>
      </c>
      <c r="J75" s="14">
        <v>-523125.7387155263</v>
      </c>
      <c r="K75" s="14">
        <v>589.83333333333337</v>
      </c>
      <c r="L75" s="14">
        <v>3074</v>
      </c>
      <c r="M75" s="14">
        <v>64529.825933676868</v>
      </c>
      <c r="N75" s="14">
        <v>209</v>
      </c>
      <c r="O75" s="14">
        <v>862</v>
      </c>
      <c r="P75" s="14">
        <v>19098.025000000001</v>
      </c>
      <c r="Q75" s="14">
        <v>19</v>
      </c>
      <c r="R75">
        <v>598.29999999999995</v>
      </c>
      <c r="S75">
        <v>0</v>
      </c>
      <c r="T75">
        <v>28</v>
      </c>
      <c r="U75">
        <v>19</v>
      </c>
      <c r="V75">
        <v>6470.2</v>
      </c>
      <c r="W75">
        <v>5186</v>
      </c>
      <c r="X75">
        <v>186.2</v>
      </c>
      <c r="Y75">
        <v>141.19999999999999</v>
      </c>
    </row>
    <row r="76" spans="1:25" x14ac:dyDescent="0.2">
      <c r="A76" s="3">
        <v>40238</v>
      </c>
      <c r="B76" s="14">
        <v>24268317.300000001</v>
      </c>
      <c r="C76" s="14">
        <v>12642541</v>
      </c>
      <c r="D76" s="14">
        <v>14278</v>
      </c>
      <c r="E76" s="14">
        <v>3313639.8</v>
      </c>
      <c r="F76" s="14">
        <v>1209</v>
      </c>
      <c r="G76" s="14">
        <v>11833191.497089416</v>
      </c>
      <c r="H76" s="14">
        <v>24733.750973089886</v>
      </c>
      <c r="I76" s="14">
        <v>125</v>
      </c>
      <c r="J76" s="14">
        <v>780667.53955530107</v>
      </c>
      <c r="K76" s="14">
        <v>589.83333333333337</v>
      </c>
      <c r="L76" s="14">
        <v>3074</v>
      </c>
      <c r="M76" s="14">
        <v>53699.445697681083</v>
      </c>
      <c r="N76" s="14">
        <v>209</v>
      </c>
      <c r="O76" s="14">
        <v>862</v>
      </c>
      <c r="P76" s="14">
        <v>138495.78899999999</v>
      </c>
      <c r="Q76" s="14">
        <v>19</v>
      </c>
      <c r="R76">
        <v>422.8</v>
      </c>
      <c r="S76">
        <v>0</v>
      </c>
      <c r="T76">
        <v>31</v>
      </c>
      <c r="U76">
        <v>23</v>
      </c>
      <c r="V76">
        <v>6448.9</v>
      </c>
      <c r="W76">
        <v>5159.6000000000004</v>
      </c>
      <c r="X76">
        <v>186.9</v>
      </c>
      <c r="Y76">
        <v>140.4</v>
      </c>
    </row>
    <row r="77" spans="1:25" x14ac:dyDescent="0.2">
      <c r="A77" s="3">
        <v>40269</v>
      </c>
      <c r="B77" s="14">
        <v>21343054.399999999</v>
      </c>
      <c r="C77" s="14">
        <v>5559899</v>
      </c>
      <c r="D77" s="14">
        <v>14278</v>
      </c>
      <c r="E77" s="14">
        <v>2154659.7999999998</v>
      </c>
      <c r="F77" s="14">
        <v>1209</v>
      </c>
      <c r="G77" s="14">
        <v>9593944.400706172</v>
      </c>
      <c r="H77" s="14">
        <v>32130.43705840873</v>
      </c>
      <c r="I77" s="14">
        <v>125</v>
      </c>
      <c r="J77" s="14">
        <v>199463.30556350795</v>
      </c>
      <c r="K77" s="14">
        <v>589.83333333333337</v>
      </c>
      <c r="L77" s="14">
        <v>3074</v>
      </c>
      <c r="M77" s="14">
        <v>57672.382469224154</v>
      </c>
      <c r="N77" s="14">
        <v>209</v>
      </c>
      <c r="O77" s="14">
        <v>862</v>
      </c>
      <c r="P77" s="14">
        <v>26251.387000000017</v>
      </c>
      <c r="Q77" s="14">
        <v>19</v>
      </c>
      <c r="R77">
        <v>225.1</v>
      </c>
      <c r="S77">
        <v>0</v>
      </c>
      <c r="T77">
        <v>30</v>
      </c>
      <c r="U77">
        <v>20</v>
      </c>
      <c r="V77">
        <v>6480.4</v>
      </c>
      <c r="W77">
        <v>5180.2</v>
      </c>
      <c r="X77">
        <v>187.7</v>
      </c>
      <c r="Y77">
        <v>139.19999999999999</v>
      </c>
    </row>
    <row r="78" spans="1:25" x14ac:dyDescent="0.2">
      <c r="A78" s="3">
        <v>40299</v>
      </c>
      <c r="B78" s="14">
        <v>23010297.600000001</v>
      </c>
      <c r="C78" s="14">
        <v>7601939</v>
      </c>
      <c r="D78" s="14">
        <v>14278</v>
      </c>
      <c r="E78" s="14">
        <v>2824013.2</v>
      </c>
      <c r="F78" s="14">
        <v>1209</v>
      </c>
      <c r="G78" s="14">
        <v>11834729.156503482</v>
      </c>
      <c r="H78" s="14">
        <v>35874.37111392145</v>
      </c>
      <c r="I78" s="14">
        <v>125</v>
      </c>
      <c r="J78" s="14">
        <v>137214.17644813436</v>
      </c>
      <c r="K78" s="14">
        <v>589.83333333333337</v>
      </c>
      <c r="L78" s="14">
        <v>3074</v>
      </c>
      <c r="M78" s="14">
        <v>63366.000220918002</v>
      </c>
      <c r="N78" s="14">
        <v>209</v>
      </c>
      <c r="O78" s="14">
        <v>862</v>
      </c>
      <c r="P78" s="14">
        <v>76563.214999999997</v>
      </c>
      <c r="Q78" s="14">
        <v>19</v>
      </c>
      <c r="R78">
        <v>107.9</v>
      </c>
      <c r="S78">
        <v>45.7</v>
      </c>
      <c r="T78">
        <v>31</v>
      </c>
      <c r="U78">
        <v>20</v>
      </c>
      <c r="V78">
        <v>6546</v>
      </c>
      <c r="W78">
        <v>5249.5</v>
      </c>
      <c r="X78">
        <v>191.3</v>
      </c>
      <c r="Y78">
        <v>143</v>
      </c>
    </row>
    <row r="79" spans="1:25" x14ac:dyDescent="0.2">
      <c r="A79" s="3">
        <v>40330</v>
      </c>
      <c r="B79" s="14">
        <v>24560033.199999999</v>
      </c>
      <c r="C79" s="14">
        <v>8708259</v>
      </c>
      <c r="D79" s="14">
        <v>14278</v>
      </c>
      <c r="E79" s="14">
        <v>3318837</v>
      </c>
      <c r="F79" s="14">
        <v>1209</v>
      </c>
      <c r="G79" s="14">
        <v>12495415.726397842</v>
      </c>
      <c r="H79" s="14">
        <v>22678.305393606133</v>
      </c>
      <c r="I79" s="14">
        <v>125</v>
      </c>
      <c r="J79" s="14">
        <v>10156.208834568388</v>
      </c>
      <c r="K79" s="14">
        <v>589.83333333333337</v>
      </c>
      <c r="L79" s="14">
        <v>3074</v>
      </c>
      <c r="M79" s="14">
        <v>34628.880723606941</v>
      </c>
      <c r="N79" s="14">
        <v>209</v>
      </c>
      <c r="O79" s="14">
        <v>862</v>
      </c>
      <c r="P79" s="14">
        <v>57527.075999999972</v>
      </c>
      <c r="Q79" s="14">
        <v>19</v>
      </c>
      <c r="R79">
        <v>21.7</v>
      </c>
      <c r="S79">
        <v>58.7</v>
      </c>
      <c r="T79">
        <v>30</v>
      </c>
      <c r="U79">
        <v>22</v>
      </c>
      <c r="V79">
        <v>6648.7</v>
      </c>
      <c r="W79">
        <v>5359.8</v>
      </c>
      <c r="X79">
        <v>196.7</v>
      </c>
      <c r="Y79">
        <v>149.30000000000001</v>
      </c>
    </row>
    <row r="80" spans="1:25" x14ac:dyDescent="0.2">
      <c r="A80" s="3">
        <v>40360</v>
      </c>
      <c r="B80" s="14">
        <v>28917504.5</v>
      </c>
      <c r="C80" s="14">
        <v>11781043</v>
      </c>
      <c r="D80" s="14">
        <v>14278</v>
      </c>
      <c r="E80" s="14">
        <v>2986494.6</v>
      </c>
      <c r="F80" s="14">
        <v>1209</v>
      </c>
      <c r="G80" s="14">
        <v>11513840.211817916</v>
      </c>
      <c r="H80" s="14">
        <v>45006.296688449569</v>
      </c>
      <c r="I80" s="14">
        <v>125</v>
      </c>
      <c r="J80" s="14">
        <v>258761.23857184104</v>
      </c>
      <c r="K80" s="14">
        <v>589.83333333333337</v>
      </c>
      <c r="L80" s="14">
        <v>3074</v>
      </c>
      <c r="M80" s="14">
        <v>79761.411086420921</v>
      </c>
      <c r="N80" s="14">
        <v>209</v>
      </c>
      <c r="O80" s="14">
        <v>862</v>
      </c>
      <c r="P80" s="14">
        <v>43651.167000000016</v>
      </c>
      <c r="Q80" s="14">
        <v>19</v>
      </c>
      <c r="R80">
        <v>1.8</v>
      </c>
      <c r="S80">
        <v>164.9</v>
      </c>
      <c r="T80">
        <v>31</v>
      </c>
      <c r="U80">
        <v>21</v>
      </c>
      <c r="V80">
        <v>6707.8</v>
      </c>
      <c r="W80">
        <v>5456</v>
      </c>
      <c r="X80">
        <v>198.6</v>
      </c>
      <c r="Y80">
        <v>154.30000000000001</v>
      </c>
    </row>
    <row r="81" spans="1:25" x14ac:dyDescent="0.2">
      <c r="A81" s="3">
        <v>40391</v>
      </c>
      <c r="B81" s="14">
        <v>28083810.199999999</v>
      </c>
      <c r="C81" s="14">
        <v>12335453</v>
      </c>
      <c r="D81" s="14">
        <v>14278</v>
      </c>
      <c r="E81" s="14">
        <v>3272307</v>
      </c>
      <c r="F81" s="14">
        <v>1209</v>
      </c>
      <c r="G81" s="14">
        <v>8751935.1560966186</v>
      </c>
      <c r="H81" s="14">
        <v>32339.565117367394</v>
      </c>
      <c r="I81" s="14">
        <v>125</v>
      </c>
      <c r="J81" s="14">
        <v>131157.90453276876</v>
      </c>
      <c r="K81" s="14">
        <v>589.83333333333337</v>
      </c>
      <c r="L81" s="14">
        <v>3074</v>
      </c>
      <c r="M81" s="14">
        <v>59273.674727167767</v>
      </c>
      <c r="N81" s="14">
        <v>209</v>
      </c>
      <c r="O81" s="14">
        <v>862</v>
      </c>
      <c r="P81" s="14">
        <v>46606.165000000037</v>
      </c>
      <c r="Q81" s="14">
        <v>19</v>
      </c>
      <c r="R81">
        <v>2.1</v>
      </c>
      <c r="S81">
        <v>138.80000000000001</v>
      </c>
      <c r="T81">
        <v>31</v>
      </c>
      <c r="U81">
        <v>21</v>
      </c>
      <c r="V81">
        <v>6731.7</v>
      </c>
      <c r="W81">
        <v>5503.9</v>
      </c>
      <c r="X81">
        <v>197.7</v>
      </c>
      <c r="Y81">
        <v>155.9</v>
      </c>
    </row>
    <row r="82" spans="1:25" x14ac:dyDescent="0.2">
      <c r="A82" s="3">
        <v>40422</v>
      </c>
      <c r="B82" s="14">
        <v>22872345.300000001</v>
      </c>
      <c r="C82" s="14">
        <v>9784286</v>
      </c>
      <c r="D82" s="14">
        <v>14278</v>
      </c>
      <c r="E82" s="14">
        <v>3084929.4</v>
      </c>
      <c r="F82" s="14">
        <v>1209</v>
      </c>
      <c r="G82" s="14">
        <v>11370699.450774707</v>
      </c>
      <c r="H82" s="14">
        <v>31314.919828493126</v>
      </c>
      <c r="I82" s="14">
        <v>125</v>
      </c>
      <c r="J82" s="14">
        <v>168096.01347319805</v>
      </c>
      <c r="K82" s="14">
        <v>589.83333333333337</v>
      </c>
      <c r="L82" s="14">
        <v>3074</v>
      </c>
      <c r="M82" s="14">
        <v>61285.833031565802</v>
      </c>
      <c r="N82" s="14">
        <v>209</v>
      </c>
      <c r="O82" s="14">
        <v>862</v>
      </c>
      <c r="P82" s="14">
        <v>25613.580999999947</v>
      </c>
      <c r="Q82" s="14">
        <v>19</v>
      </c>
      <c r="R82">
        <v>78.099999999999994</v>
      </c>
      <c r="S82">
        <v>31.5</v>
      </c>
      <c r="T82">
        <v>30</v>
      </c>
      <c r="U82">
        <v>21</v>
      </c>
      <c r="V82">
        <v>6683.6</v>
      </c>
      <c r="W82">
        <v>5453.3</v>
      </c>
      <c r="X82">
        <v>193.1</v>
      </c>
      <c r="Y82">
        <v>153.4</v>
      </c>
    </row>
    <row r="83" spans="1:25" x14ac:dyDescent="0.2">
      <c r="A83" s="3">
        <v>40452</v>
      </c>
      <c r="B83" s="14">
        <v>22409417.899999999</v>
      </c>
      <c r="C83" s="14">
        <v>7117856</v>
      </c>
      <c r="D83" s="14">
        <v>14278</v>
      </c>
      <c r="E83" s="14">
        <v>2504248.6</v>
      </c>
      <c r="F83" s="14">
        <v>1209</v>
      </c>
      <c r="G83" s="14">
        <v>10432213.013665669</v>
      </c>
      <c r="H83" s="14">
        <v>28911.231150830568</v>
      </c>
      <c r="I83" s="14">
        <v>125</v>
      </c>
      <c r="J83" s="14">
        <v>161484.92060436914</v>
      </c>
      <c r="K83" s="14">
        <v>589.83333333333337</v>
      </c>
      <c r="L83" s="14">
        <v>3074</v>
      </c>
      <c r="M83" s="14">
        <v>59294.311240785282</v>
      </c>
      <c r="N83" s="14">
        <v>209</v>
      </c>
      <c r="O83" s="14">
        <v>862</v>
      </c>
      <c r="P83" s="14">
        <v>101212.63900000002</v>
      </c>
      <c r="Q83" s="14">
        <v>19</v>
      </c>
      <c r="R83">
        <v>241.6</v>
      </c>
      <c r="S83">
        <v>0</v>
      </c>
      <c r="T83">
        <v>31</v>
      </c>
      <c r="U83">
        <v>20</v>
      </c>
      <c r="V83">
        <v>6667</v>
      </c>
      <c r="W83">
        <v>5408.6</v>
      </c>
      <c r="X83">
        <v>192.8</v>
      </c>
      <c r="Y83">
        <v>151.1</v>
      </c>
    </row>
    <row r="84" spans="1:25" x14ac:dyDescent="0.2">
      <c r="A84" s="3">
        <v>40483</v>
      </c>
      <c r="B84" s="14">
        <v>23099859.100000001</v>
      </c>
      <c r="C84" s="14">
        <v>6902559</v>
      </c>
      <c r="D84" s="14">
        <v>14278</v>
      </c>
      <c r="E84" s="14">
        <v>2566699.6</v>
      </c>
      <c r="F84" s="14">
        <v>1209</v>
      </c>
      <c r="G84" s="14">
        <v>11133206.211914159</v>
      </c>
      <c r="H84" s="14">
        <v>29219.015237602918</v>
      </c>
      <c r="I84" s="14">
        <v>125</v>
      </c>
      <c r="J84" s="14">
        <v>201604.59002983361</v>
      </c>
      <c r="K84" s="14">
        <v>589.83333333333337</v>
      </c>
      <c r="L84" s="14">
        <v>3074</v>
      </c>
      <c r="M84" s="14">
        <v>65284.123572707198</v>
      </c>
      <c r="N84" s="14">
        <v>209</v>
      </c>
      <c r="O84" s="14">
        <v>862</v>
      </c>
      <c r="P84" s="14">
        <v>67267.79700000002</v>
      </c>
      <c r="Q84" s="14">
        <v>19</v>
      </c>
      <c r="R84">
        <v>405.3</v>
      </c>
      <c r="S84">
        <v>0</v>
      </c>
      <c r="T84">
        <v>30</v>
      </c>
      <c r="U84">
        <v>22</v>
      </c>
      <c r="V84">
        <v>6643.7</v>
      </c>
      <c r="W84">
        <v>5349.4</v>
      </c>
      <c r="X84">
        <v>192.8</v>
      </c>
      <c r="Y84">
        <v>146.6</v>
      </c>
    </row>
    <row r="85" spans="1:25" x14ac:dyDescent="0.2">
      <c r="A85" s="3">
        <v>40513</v>
      </c>
      <c r="B85" s="14">
        <v>26229120.800000001</v>
      </c>
      <c r="C85" s="14">
        <v>10469150</v>
      </c>
      <c r="D85" s="14">
        <v>14278</v>
      </c>
      <c r="E85" s="14">
        <v>3064357</v>
      </c>
      <c r="F85" s="14">
        <v>1209</v>
      </c>
      <c r="G85" s="14">
        <v>12284015.681647576</v>
      </c>
      <c r="H85" s="14">
        <v>27735.417819338141</v>
      </c>
      <c r="I85" s="14">
        <v>125</v>
      </c>
      <c r="J85" s="14">
        <v>223235.68953902414</v>
      </c>
      <c r="K85" s="14">
        <v>589.83333333333337</v>
      </c>
      <c r="L85" s="14">
        <v>3074</v>
      </c>
      <c r="M85" s="14">
        <v>55703.381880088571</v>
      </c>
      <c r="N85" s="14">
        <v>209</v>
      </c>
      <c r="O85" s="14">
        <v>862</v>
      </c>
      <c r="P85" s="14">
        <v>68385.72100000002</v>
      </c>
      <c r="Q85" s="14">
        <v>19</v>
      </c>
      <c r="R85">
        <v>676.2</v>
      </c>
      <c r="S85">
        <v>0</v>
      </c>
      <c r="T85">
        <v>31</v>
      </c>
      <c r="U85">
        <v>21</v>
      </c>
      <c r="V85">
        <v>6658.9</v>
      </c>
      <c r="W85">
        <v>5352.4</v>
      </c>
      <c r="X85">
        <v>193.3</v>
      </c>
      <c r="Y85">
        <v>144.30000000000001</v>
      </c>
    </row>
    <row r="86" spans="1:25" x14ac:dyDescent="0.2">
      <c r="A86" s="3">
        <v>40544</v>
      </c>
      <c r="B86" s="14">
        <v>26754133.010000002</v>
      </c>
      <c r="C86" s="14">
        <v>12577271</v>
      </c>
      <c r="D86" s="91">
        <v>14296</v>
      </c>
      <c r="E86" s="14">
        <v>3134367</v>
      </c>
      <c r="F86" s="91">
        <v>1208</v>
      </c>
      <c r="G86" s="14">
        <v>8755235.597825041</v>
      </c>
      <c r="H86" s="14">
        <v>22741</v>
      </c>
      <c r="I86" s="91">
        <v>126</v>
      </c>
      <c r="J86" s="14">
        <v>225219.29544798387</v>
      </c>
      <c r="K86" s="14">
        <v>543</v>
      </c>
      <c r="L86" s="14">
        <v>3074</v>
      </c>
      <c r="M86" s="14">
        <v>62081.90895967665</v>
      </c>
      <c r="N86" s="14">
        <v>178</v>
      </c>
      <c r="O86" s="14">
        <v>862</v>
      </c>
      <c r="P86" s="14">
        <v>65881.731</v>
      </c>
      <c r="Q86" s="14">
        <v>19</v>
      </c>
      <c r="R86">
        <v>775.3</v>
      </c>
      <c r="S86">
        <v>0</v>
      </c>
      <c r="T86">
        <v>31</v>
      </c>
      <c r="U86">
        <v>20</v>
      </c>
      <c r="V86">
        <v>6637.6</v>
      </c>
      <c r="W86">
        <v>5316.6</v>
      </c>
      <c r="X86">
        <v>192.9</v>
      </c>
      <c r="Y86">
        <v>142.5</v>
      </c>
    </row>
    <row r="87" spans="1:25" x14ac:dyDescent="0.2">
      <c r="A87" s="3">
        <v>40575</v>
      </c>
      <c r="B87" s="14">
        <v>23916650.199999999</v>
      </c>
      <c r="C87" s="14">
        <v>10025762</v>
      </c>
      <c r="D87" s="91">
        <v>14300</v>
      </c>
      <c r="E87" s="14">
        <v>2946582</v>
      </c>
      <c r="F87" s="91">
        <v>1214</v>
      </c>
      <c r="G87" s="14">
        <v>10268426.397940528</v>
      </c>
      <c r="H87" s="14">
        <v>28065</v>
      </c>
      <c r="I87" s="91">
        <v>126</v>
      </c>
      <c r="J87" s="14">
        <v>226365.82619574631</v>
      </c>
      <c r="K87" s="14">
        <v>543</v>
      </c>
      <c r="L87" s="14">
        <v>3074</v>
      </c>
      <c r="M87" s="14">
        <v>55363.495043787902</v>
      </c>
      <c r="N87" s="14">
        <v>175</v>
      </c>
      <c r="O87" s="14">
        <v>862</v>
      </c>
      <c r="P87" s="14">
        <v>60901.712999999989</v>
      </c>
      <c r="Q87" s="14">
        <v>19</v>
      </c>
      <c r="R87">
        <v>654.20000000000005</v>
      </c>
      <c r="S87">
        <v>0</v>
      </c>
      <c r="T87">
        <v>28</v>
      </c>
      <c r="U87">
        <v>19</v>
      </c>
      <c r="V87">
        <v>6616.7</v>
      </c>
      <c r="W87">
        <v>5289.1</v>
      </c>
      <c r="X87">
        <v>191.2</v>
      </c>
      <c r="Y87">
        <v>141.4</v>
      </c>
    </row>
    <row r="88" spans="1:25" x14ac:dyDescent="0.2">
      <c r="A88" s="3">
        <v>40603</v>
      </c>
      <c r="B88" s="14">
        <v>25112956.91</v>
      </c>
      <c r="C88" s="14">
        <v>7801094.7728116363</v>
      </c>
      <c r="D88" s="91">
        <v>14302</v>
      </c>
      <c r="E88" s="14">
        <v>3803924.2098287195</v>
      </c>
      <c r="F88" s="91">
        <v>1212</v>
      </c>
      <c r="G88" s="14">
        <v>12095748.813826947</v>
      </c>
      <c r="H88" s="14">
        <v>27543</v>
      </c>
      <c r="I88" s="91">
        <v>126</v>
      </c>
      <c r="J88" s="14">
        <v>194490.12447364535</v>
      </c>
      <c r="K88" s="14">
        <v>543</v>
      </c>
      <c r="L88" s="14">
        <v>3074</v>
      </c>
      <c r="M88" s="14">
        <v>53525.597043415473</v>
      </c>
      <c r="N88" s="14">
        <v>178</v>
      </c>
      <c r="O88" s="14">
        <v>862</v>
      </c>
      <c r="P88" s="14">
        <v>64212.969438356071</v>
      </c>
      <c r="Q88" s="14">
        <v>19</v>
      </c>
      <c r="R88">
        <v>572.79999999999995</v>
      </c>
      <c r="S88">
        <v>0</v>
      </c>
      <c r="T88">
        <v>31</v>
      </c>
      <c r="U88">
        <v>23</v>
      </c>
      <c r="V88">
        <v>6593.3</v>
      </c>
      <c r="W88">
        <v>5280.1</v>
      </c>
      <c r="X88">
        <v>191.1</v>
      </c>
      <c r="Y88">
        <v>141.9</v>
      </c>
    </row>
    <row r="89" spans="1:25" x14ac:dyDescent="0.2">
      <c r="A89" s="3">
        <v>40634</v>
      </c>
      <c r="B89" s="14">
        <v>22170184.399999999</v>
      </c>
      <c r="C89" s="14">
        <v>9978377.2271883674</v>
      </c>
      <c r="D89" s="91">
        <v>14281</v>
      </c>
      <c r="E89" s="14">
        <v>1745054.4901712798</v>
      </c>
      <c r="F89" s="91">
        <v>1211</v>
      </c>
      <c r="G89" s="14">
        <v>8895938.624725651</v>
      </c>
      <c r="H89" s="14">
        <v>27827</v>
      </c>
      <c r="I89" s="91">
        <v>126</v>
      </c>
      <c r="J89" s="14">
        <v>179280.43774365808</v>
      </c>
      <c r="K89" s="14">
        <v>543</v>
      </c>
      <c r="L89" s="14">
        <v>3074</v>
      </c>
      <c r="M89" s="14">
        <v>51861.432308908668</v>
      </c>
      <c r="N89" s="14">
        <v>158</v>
      </c>
      <c r="O89" s="14">
        <v>862</v>
      </c>
      <c r="P89" s="14">
        <v>64086.071561643941</v>
      </c>
      <c r="Q89" s="14">
        <v>19</v>
      </c>
      <c r="R89">
        <v>332.3</v>
      </c>
      <c r="S89">
        <v>0</v>
      </c>
      <c r="T89">
        <v>30</v>
      </c>
      <c r="U89">
        <v>19</v>
      </c>
      <c r="V89">
        <v>6625.9</v>
      </c>
      <c r="W89">
        <v>5317.8</v>
      </c>
      <c r="X89">
        <v>191.8</v>
      </c>
      <c r="Y89">
        <v>143</v>
      </c>
    </row>
    <row r="90" spans="1:25" x14ac:dyDescent="0.2">
      <c r="A90" s="3">
        <v>40664</v>
      </c>
      <c r="B90" s="14">
        <v>22025936.43</v>
      </c>
      <c r="C90" s="14">
        <v>7284269</v>
      </c>
      <c r="D90" s="91">
        <v>14273</v>
      </c>
      <c r="E90" s="14">
        <v>2782350</v>
      </c>
      <c r="F90" s="91">
        <v>1206</v>
      </c>
      <c r="G90" s="14">
        <v>10582950.060436921</v>
      </c>
      <c r="H90" s="14">
        <v>26766</v>
      </c>
      <c r="I90" s="91">
        <v>126</v>
      </c>
      <c r="J90" s="14">
        <v>158907.97209123278</v>
      </c>
      <c r="K90" s="14">
        <v>543</v>
      </c>
      <c r="L90" s="14">
        <v>3074</v>
      </c>
      <c r="M90" s="14">
        <v>63068.747858723858</v>
      </c>
      <c r="N90" s="14">
        <v>199</v>
      </c>
      <c r="O90" s="14">
        <v>862</v>
      </c>
      <c r="P90" s="14">
        <v>67664.810999999987</v>
      </c>
      <c r="Q90" s="14">
        <v>19</v>
      </c>
      <c r="R90">
        <v>134.1</v>
      </c>
      <c r="S90">
        <v>13</v>
      </c>
      <c r="T90">
        <v>31</v>
      </c>
      <c r="U90">
        <v>21</v>
      </c>
      <c r="V90">
        <v>6690.7</v>
      </c>
      <c r="W90">
        <v>5405.5</v>
      </c>
      <c r="X90">
        <v>194.5</v>
      </c>
      <c r="Y90">
        <v>147.6</v>
      </c>
    </row>
    <row r="91" spans="1:25" x14ac:dyDescent="0.2">
      <c r="A91" s="3">
        <v>40695</v>
      </c>
      <c r="B91" s="14">
        <v>23510291.600000001</v>
      </c>
      <c r="C91" s="14">
        <v>8287997</v>
      </c>
      <c r="D91" s="91">
        <v>14306</v>
      </c>
      <c r="E91" s="14">
        <v>2983189.2000000011</v>
      </c>
      <c r="F91" s="91">
        <v>1209</v>
      </c>
      <c r="G91" s="14">
        <v>11277299.017515156</v>
      </c>
      <c r="H91" s="14">
        <v>30189</v>
      </c>
      <c r="I91" s="91">
        <v>126</v>
      </c>
      <c r="J91" s="14">
        <v>146321.25695313257</v>
      </c>
      <c r="K91" s="14">
        <v>543</v>
      </c>
      <c r="L91" s="14">
        <v>3074</v>
      </c>
      <c r="M91" s="14">
        <v>60028.706091810251</v>
      </c>
      <c r="N91" s="14">
        <v>169</v>
      </c>
      <c r="O91" s="14">
        <v>862</v>
      </c>
      <c r="P91" s="14">
        <v>68733.040000000037</v>
      </c>
      <c r="Q91" s="14">
        <v>19</v>
      </c>
      <c r="R91">
        <v>19</v>
      </c>
      <c r="S91">
        <v>52.2</v>
      </c>
      <c r="T91">
        <v>30</v>
      </c>
      <c r="U91">
        <v>22</v>
      </c>
      <c r="V91">
        <v>6787.8</v>
      </c>
      <c r="W91">
        <v>5496</v>
      </c>
      <c r="X91">
        <v>198.5</v>
      </c>
      <c r="Y91">
        <v>153</v>
      </c>
    </row>
    <row r="92" spans="1:25" x14ac:dyDescent="0.2">
      <c r="A92" s="3">
        <v>40725</v>
      </c>
      <c r="B92" s="14">
        <v>28730630.149999999</v>
      </c>
      <c r="C92" s="14">
        <v>11223301</v>
      </c>
      <c r="D92" s="91">
        <v>14276</v>
      </c>
      <c r="E92" s="14">
        <v>3193794.2000000011</v>
      </c>
      <c r="F92" s="91">
        <v>1201</v>
      </c>
      <c r="G92" s="14">
        <v>13413041.141179875</v>
      </c>
      <c r="H92" s="14">
        <v>28893</v>
      </c>
      <c r="I92" s="91">
        <v>124</v>
      </c>
      <c r="J92" s="14">
        <v>126729.72639784426</v>
      </c>
      <c r="K92" s="14">
        <v>543</v>
      </c>
      <c r="L92" s="14">
        <v>3074</v>
      </c>
      <c r="M92" s="14">
        <v>55879.779809450498</v>
      </c>
      <c r="N92" s="14">
        <v>167</v>
      </c>
      <c r="O92" s="14">
        <v>862</v>
      </c>
      <c r="P92" s="14">
        <v>77778.684000000008</v>
      </c>
      <c r="Q92" s="14">
        <v>19</v>
      </c>
      <c r="R92">
        <v>0</v>
      </c>
      <c r="S92">
        <v>198.5</v>
      </c>
      <c r="T92">
        <v>31</v>
      </c>
      <c r="U92">
        <v>20</v>
      </c>
      <c r="V92">
        <v>6831.4</v>
      </c>
      <c r="W92">
        <v>5593.1</v>
      </c>
      <c r="X92">
        <v>201.2</v>
      </c>
      <c r="Y92">
        <v>158.9</v>
      </c>
    </row>
    <row r="93" spans="1:25" x14ac:dyDescent="0.2">
      <c r="A93" s="3">
        <v>40756</v>
      </c>
      <c r="B93" s="14">
        <v>26889917</v>
      </c>
      <c r="C93" s="14">
        <v>13718082</v>
      </c>
      <c r="D93" s="91">
        <v>14282</v>
      </c>
      <c r="E93" s="14">
        <v>3495281.5999999978</v>
      </c>
      <c r="F93" s="91">
        <v>1200</v>
      </c>
      <c r="G93" s="14">
        <v>7271916.4209412001</v>
      </c>
      <c r="H93" s="14">
        <v>32076</v>
      </c>
      <c r="I93" s="91">
        <v>122</v>
      </c>
      <c r="J93" s="14">
        <v>128360.5381580214</v>
      </c>
      <c r="K93" s="14">
        <v>543</v>
      </c>
      <c r="L93" s="14">
        <v>3074</v>
      </c>
      <c r="M93" s="14">
        <v>55522.826195746311</v>
      </c>
      <c r="N93" s="14">
        <v>185</v>
      </c>
      <c r="O93" s="14">
        <v>862</v>
      </c>
      <c r="P93" s="14">
        <v>51030.099999999977</v>
      </c>
      <c r="Q93" s="14">
        <v>19</v>
      </c>
      <c r="R93">
        <v>0</v>
      </c>
      <c r="S93">
        <v>122.2</v>
      </c>
      <c r="T93">
        <v>31</v>
      </c>
      <c r="U93">
        <v>22</v>
      </c>
      <c r="V93">
        <v>6845.5</v>
      </c>
      <c r="W93">
        <v>5646.1</v>
      </c>
      <c r="X93">
        <v>202.6</v>
      </c>
      <c r="Y93">
        <v>162.1</v>
      </c>
    </row>
    <row r="94" spans="1:25" x14ac:dyDescent="0.2">
      <c r="A94" s="3">
        <v>40787</v>
      </c>
      <c r="B94" s="14">
        <v>23087927.379999999</v>
      </c>
      <c r="C94" s="14">
        <v>9589941</v>
      </c>
      <c r="D94" s="91">
        <v>14296</v>
      </c>
      <c r="E94" s="14">
        <v>2794331.6000000015</v>
      </c>
      <c r="F94" s="91">
        <v>1201</v>
      </c>
      <c r="G94" s="14">
        <v>10268353.331825629</v>
      </c>
      <c r="H94" s="14">
        <v>29157</v>
      </c>
      <c r="I94" s="91">
        <v>122</v>
      </c>
      <c r="J94" s="14">
        <v>153788.01193340402</v>
      </c>
      <c r="K94" s="14">
        <v>543</v>
      </c>
      <c r="L94" s="14">
        <v>3074</v>
      </c>
      <c r="M94" s="14">
        <v>54889.416899239761</v>
      </c>
      <c r="N94" s="14">
        <v>174</v>
      </c>
      <c r="O94" s="14">
        <v>862</v>
      </c>
      <c r="P94" s="14">
        <v>64034.58600000001</v>
      </c>
      <c r="Q94" s="14">
        <v>19</v>
      </c>
      <c r="R94">
        <v>48.2</v>
      </c>
      <c r="S94">
        <v>39.700000000000003</v>
      </c>
      <c r="T94">
        <v>30</v>
      </c>
      <c r="U94">
        <v>21</v>
      </c>
      <c r="V94">
        <v>6799.8</v>
      </c>
      <c r="W94">
        <v>5620.8</v>
      </c>
      <c r="X94">
        <v>202.2</v>
      </c>
      <c r="Y94">
        <v>161.5</v>
      </c>
    </row>
    <row r="95" spans="1:25" x14ac:dyDescent="0.2">
      <c r="A95" s="3">
        <v>40817</v>
      </c>
      <c r="B95" s="14">
        <v>22204246.190000001</v>
      </c>
      <c r="C95" s="14">
        <v>7244981.400000006</v>
      </c>
      <c r="D95" s="91">
        <v>14359</v>
      </c>
      <c r="E95" s="14">
        <v>2725277.3999999985</v>
      </c>
      <c r="F95" s="91">
        <v>1214</v>
      </c>
      <c r="G95" s="14">
        <v>11179212.990568761</v>
      </c>
      <c r="H95" s="14">
        <v>29487</v>
      </c>
      <c r="I95" s="91">
        <v>124</v>
      </c>
      <c r="J95" s="14">
        <v>176571.59051101911</v>
      </c>
      <c r="K95" s="14">
        <v>543</v>
      </c>
      <c r="L95" s="14">
        <v>3074</v>
      </c>
      <c r="M95" s="14">
        <v>57135.060340679483</v>
      </c>
      <c r="N95" s="14">
        <v>176</v>
      </c>
      <c r="O95" s="14">
        <v>862</v>
      </c>
      <c r="P95" s="14">
        <v>67619.837999999989</v>
      </c>
      <c r="Q95" s="14">
        <v>19</v>
      </c>
      <c r="R95">
        <v>235.5</v>
      </c>
      <c r="S95">
        <v>2.4</v>
      </c>
      <c r="T95">
        <v>31</v>
      </c>
      <c r="U95">
        <v>20</v>
      </c>
      <c r="V95">
        <v>6773.1</v>
      </c>
      <c r="W95">
        <v>5541.4</v>
      </c>
      <c r="X95">
        <v>201.5</v>
      </c>
      <c r="Y95">
        <v>159.80000000000001</v>
      </c>
    </row>
    <row r="96" spans="1:25" x14ac:dyDescent="0.2">
      <c r="A96" s="3">
        <v>40848</v>
      </c>
      <c r="B96" s="14">
        <v>22232614.329999998</v>
      </c>
      <c r="C96" s="14">
        <v>7212046</v>
      </c>
      <c r="D96" s="91">
        <v>14384</v>
      </c>
      <c r="E96" s="14">
        <v>2516329.4000000022</v>
      </c>
      <c r="F96" s="91">
        <v>1218</v>
      </c>
      <c r="G96" s="14">
        <v>10554749.762198053</v>
      </c>
      <c r="H96" s="14">
        <v>25018</v>
      </c>
      <c r="I96" s="91">
        <v>124</v>
      </c>
      <c r="J96" s="14">
        <v>203598.20835338277</v>
      </c>
      <c r="K96" s="14">
        <v>543</v>
      </c>
      <c r="L96" s="14">
        <v>3074</v>
      </c>
      <c r="M96" s="14">
        <v>60327.307188913459</v>
      </c>
      <c r="N96" s="14">
        <v>172</v>
      </c>
      <c r="O96" s="14">
        <v>862</v>
      </c>
      <c r="P96" s="14">
        <v>68260.643999999971</v>
      </c>
      <c r="Q96" s="14">
        <v>19</v>
      </c>
      <c r="R96">
        <v>342.1</v>
      </c>
      <c r="S96">
        <v>0</v>
      </c>
      <c r="T96">
        <v>30</v>
      </c>
      <c r="U96">
        <v>22</v>
      </c>
      <c r="V96">
        <v>6744.9</v>
      </c>
      <c r="W96">
        <v>5456.6</v>
      </c>
      <c r="X96">
        <v>199.2</v>
      </c>
      <c r="Y96">
        <v>155.5</v>
      </c>
    </row>
    <row r="97" spans="1:25" x14ac:dyDescent="0.2">
      <c r="A97" s="3">
        <v>40878</v>
      </c>
      <c r="B97" s="14">
        <v>23823799.440000001</v>
      </c>
      <c r="C97" s="14">
        <v>8770158</v>
      </c>
      <c r="D97" s="91">
        <v>14369</v>
      </c>
      <c r="E97" s="14">
        <v>2821435.5999999978</v>
      </c>
      <c r="F97" s="91">
        <v>1214</v>
      </c>
      <c r="G97" s="14">
        <v>10399119.254354738</v>
      </c>
      <c r="H97" s="14">
        <v>29683</v>
      </c>
      <c r="I97" s="91">
        <v>125</v>
      </c>
      <c r="J97" s="14">
        <v>216675.29333076719</v>
      </c>
      <c r="K97" s="14">
        <v>543</v>
      </c>
      <c r="L97" s="14">
        <v>3074</v>
      </c>
      <c r="M97" s="14">
        <v>57557.734096814529</v>
      </c>
      <c r="N97" s="14">
        <v>178</v>
      </c>
      <c r="O97" s="14">
        <v>862</v>
      </c>
      <c r="P97" s="14">
        <v>68451.459000000032</v>
      </c>
      <c r="Q97" s="14">
        <v>19</v>
      </c>
      <c r="R97">
        <v>534</v>
      </c>
      <c r="S97">
        <v>0</v>
      </c>
      <c r="T97">
        <v>31</v>
      </c>
      <c r="U97">
        <v>20</v>
      </c>
      <c r="V97">
        <v>6744.4</v>
      </c>
      <c r="W97">
        <v>5422</v>
      </c>
      <c r="X97">
        <v>196.9</v>
      </c>
      <c r="Y97">
        <v>152.1</v>
      </c>
    </row>
    <row r="98" spans="1:25" x14ac:dyDescent="0.2">
      <c r="A98" s="3">
        <v>40909</v>
      </c>
      <c r="B98" s="14">
        <v>24438579.219999999</v>
      </c>
      <c r="C98" s="14">
        <v>11939064</v>
      </c>
      <c r="D98" s="14">
        <v>14389</v>
      </c>
      <c r="E98" s="14">
        <v>2998324.2</v>
      </c>
      <c r="F98" s="14">
        <v>1222</v>
      </c>
      <c r="G98" s="14">
        <v>7977982.6210181899</v>
      </c>
      <c r="H98" s="14">
        <v>25916.974999999999</v>
      </c>
      <c r="I98" s="14">
        <v>125</v>
      </c>
      <c r="J98" s="14">
        <v>228987.66403618516</v>
      </c>
      <c r="K98" s="14">
        <v>538.85599999999999</v>
      </c>
      <c r="L98" s="14">
        <v>3074</v>
      </c>
      <c r="M98" s="14">
        <v>57770.309594841696</v>
      </c>
      <c r="N98" s="14">
        <v>175</v>
      </c>
      <c r="O98" s="14">
        <v>862</v>
      </c>
      <c r="P98" s="14">
        <v>66252.966</v>
      </c>
      <c r="Q98" s="14">
        <v>19</v>
      </c>
    </row>
    <row r="99" spans="1:25" x14ac:dyDescent="0.2">
      <c r="A99" s="3">
        <v>40940</v>
      </c>
      <c r="B99" s="14">
        <v>22357441</v>
      </c>
      <c r="C99" s="14">
        <v>9424811</v>
      </c>
      <c r="D99" s="14">
        <v>14389</v>
      </c>
      <c r="E99" s="14">
        <v>3082598.2</v>
      </c>
      <c r="F99" s="14">
        <v>1222</v>
      </c>
      <c r="G99" s="14">
        <v>8749359.0630353205</v>
      </c>
      <c r="H99" s="14">
        <v>25422</v>
      </c>
      <c r="I99" s="14">
        <v>125</v>
      </c>
      <c r="J99" s="14">
        <v>226180.66393994808</v>
      </c>
      <c r="K99" s="14">
        <v>539</v>
      </c>
      <c r="L99" s="14">
        <v>3074</v>
      </c>
      <c r="M99" s="14">
        <v>58591.416321816971</v>
      </c>
      <c r="N99" s="14">
        <v>175</v>
      </c>
      <c r="O99" s="14">
        <v>862</v>
      </c>
      <c r="P99" s="14">
        <v>65521.15800000001</v>
      </c>
      <c r="Q99" s="14">
        <v>19</v>
      </c>
    </row>
    <row r="100" spans="1:25" x14ac:dyDescent="0.2">
      <c r="A100" s="3">
        <v>40969</v>
      </c>
      <c r="B100" s="14">
        <v>22091943</v>
      </c>
      <c r="C100" s="14">
        <v>8815778</v>
      </c>
      <c r="D100" s="14">
        <v>14376</v>
      </c>
      <c r="E100" s="14">
        <v>2651742.1999999993</v>
      </c>
      <c r="F100" s="14">
        <v>1222</v>
      </c>
      <c r="G100" s="14">
        <v>9020864.1191415656</v>
      </c>
      <c r="H100" s="14">
        <v>25463</v>
      </c>
      <c r="I100" s="14">
        <v>124</v>
      </c>
      <c r="J100" s="14">
        <v>190386.1487826003</v>
      </c>
      <c r="K100" s="14">
        <v>539</v>
      </c>
      <c r="L100" s="14">
        <v>3074</v>
      </c>
      <c r="M100" s="14">
        <v>53428.08237898181</v>
      </c>
      <c r="N100" s="14">
        <v>171</v>
      </c>
      <c r="O100" s="14">
        <v>862</v>
      </c>
      <c r="P100" s="14">
        <v>71159.587</v>
      </c>
      <c r="Q100" s="14">
        <v>19</v>
      </c>
    </row>
    <row r="101" spans="1:25" x14ac:dyDescent="0.2">
      <c r="A101" s="3">
        <v>41000</v>
      </c>
      <c r="B101" s="14">
        <v>20724816</v>
      </c>
      <c r="C101" s="14">
        <v>6699236</v>
      </c>
      <c r="D101" s="14">
        <v>14390</v>
      </c>
      <c r="E101" s="14">
        <v>2612933.4000000004</v>
      </c>
      <c r="F101" s="14">
        <v>1224</v>
      </c>
      <c r="G101" s="14">
        <v>10431300.613896642</v>
      </c>
      <c r="H101" s="14">
        <v>27871</v>
      </c>
      <c r="I101" s="14">
        <v>124</v>
      </c>
      <c r="J101" s="14">
        <v>188393.89221441629</v>
      </c>
      <c r="K101" s="14">
        <v>547</v>
      </c>
      <c r="L101" s="14">
        <v>3074</v>
      </c>
      <c r="M101" s="14">
        <v>58347.287845250685</v>
      </c>
      <c r="N101" s="14">
        <v>178</v>
      </c>
      <c r="O101" s="14">
        <v>862</v>
      </c>
      <c r="P101" s="14">
        <v>65925.001999999979</v>
      </c>
      <c r="Q101" s="14">
        <v>19</v>
      </c>
    </row>
    <row r="102" spans="1:25" x14ac:dyDescent="0.2">
      <c r="A102" s="3">
        <v>41030</v>
      </c>
      <c r="B102" s="14">
        <v>21709399</v>
      </c>
      <c r="C102" s="14">
        <v>8539446</v>
      </c>
      <c r="D102" s="14">
        <v>14383</v>
      </c>
      <c r="E102" s="14">
        <v>2631153.1999999993</v>
      </c>
      <c r="F102" s="14">
        <v>1225</v>
      </c>
      <c r="G102" s="14">
        <v>9634843.5930131879</v>
      </c>
      <c r="H102" s="14">
        <v>24751</v>
      </c>
      <c r="I102" s="14">
        <v>124</v>
      </c>
      <c r="J102" s="14">
        <v>153231.15946492157</v>
      </c>
      <c r="K102" s="14">
        <v>539</v>
      </c>
      <c r="L102" s="14">
        <v>3074</v>
      </c>
      <c r="M102" s="14">
        <v>57553.798671927652</v>
      </c>
      <c r="N102" s="14">
        <v>174</v>
      </c>
      <c r="O102" s="14">
        <v>862</v>
      </c>
      <c r="P102" s="14">
        <v>72269.841000000015</v>
      </c>
      <c r="Q102" s="14">
        <v>19</v>
      </c>
    </row>
    <row r="103" spans="1:25" x14ac:dyDescent="0.2">
      <c r="A103" s="3">
        <v>41061</v>
      </c>
      <c r="B103" s="14">
        <v>23432389</v>
      </c>
      <c r="C103" s="14">
        <v>9078526</v>
      </c>
      <c r="D103" s="14">
        <v>14415</v>
      </c>
      <c r="E103" s="14">
        <v>3140937</v>
      </c>
      <c r="F103" s="14">
        <v>1226</v>
      </c>
      <c r="G103" s="14">
        <v>11010220</v>
      </c>
      <c r="H103" s="14">
        <v>28490</v>
      </c>
      <c r="I103" s="14">
        <v>124</v>
      </c>
      <c r="J103" s="14">
        <v>297197</v>
      </c>
      <c r="K103" s="14">
        <v>551</v>
      </c>
      <c r="L103" s="14">
        <v>3092</v>
      </c>
      <c r="M103" s="14">
        <v>58590</v>
      </c>
      <c r="N103" s="14">
        <v>175</v>
      </c>
      <c r="O103" s="14">
        <v>840</v>
      </c>
      <c r="P103" s="14">
        <v>69035</v>
      </c>
      <c r="Q103" s="14">
        <v>20</v>
      </c>
    </row>
    <row r="104" spans="1:25" x14ac:dyDescent="0.2">
      <c r="A104" s="3">
        <v>41091</v>
      </c>
      <c r="B104" s="14">
        <v>28258831</v>
      </c>
      <c r="C104" s="14">
        <v>10260846</v>
      </c>
      <c r="D104" s="14">
        <v>14420</v>
      </c>
      <c r="E104" s="14">
        <v>2966173</v>
      </c>
      <c r="F104" s="14">
        <v>1226</v>
      </c>
      <c r="G104" s="14">
        <v>11022340</v>
      </c>
      <c r="H104" s="14">
        <v>26941</v>
      </c>
      <c r="I104" s="14">
        <v>124</v>
      </c>
      <c r="J104" s="14">
        <v>129329</v>
      </c>
      <c r="K104" s="14">
        <v>551</v>
      </c>
      <c r="L104" s="14">
        <v>3100</v>
      </c>
      <c r="M104" s="14">
        <v>55386</v>
      </c>
      <c r="N104" s="14">
        <v>173</v>
      </c>
      <c r="O104" s="14">
        <v>803</v>
      </c>
      <c r="P104" s="14">
        <v>68349</v>
      </c>
      <c r="Q104" s="14">
        <v>19</v>
      </c>
    </row>
    <row r="105" spans="1:25" x14ac:dyDescent="0.2">
      <c r="A105" s="3">
        <v>41122</v>
      </c>
      <c r="B105" s="14">
        <v>26212307</v>
      </c>
      <c r="C105" s="14">
        <v>13894799</v>
      </c>
      <c r="D105" s="14">
        <v>14428</v>
      </c>
      <c r="E105" s="14">
        <v>3452522</v>
      </c>
      <c r="F105" s="14">
        <v>1224</v>
      </c>
      <c r="G105" s="14">
        <v>10374650</v>
      </c>
      <c r="H105" s="14">
        <v>26867</v>
      </c>
      <c r="I105" s="14">
        <v>124</v>
      </c>
      <c r="J105" s="14">
        <v>113027</v>
      </c>
      <c r="K105" s="14">
        <v>577</v>
      </c>
      <c r="L105" s="14">
        <v>3109</v>
      </c>
      <c r="M105" s="14">
        <v>55263</v>
      </c>
      <c r="N105" s="14">
        <v>170</v>
      </c>
      <c r="O105" s="14">
        <v>765</v>
      </c>
      <c r="P105" s="14">
        <v>54435</v>
      </c>
      <c r="Q105" s="14">
        <v>19</v>
      </c>
    </row>
    <row r="106" spans="1:25" x14ac:dyDescent="0.2">
      <c r="A106" s="3">
        <v>41153</v>
      </c>
      <c r="B106" s="14">
        <v>22084880</v>
      </c>
      <c r="C106" s="14">
        <v>9031822</v>
      </c>
      <c r="D106" s="14">
        <v>14430</v>
      </c>
      <c r="E106" s="14">
        <v>2741320</v>
      </c>
      <c r="F106" s="14">
        <v>1227</v>
      </c>
      <c r="G106" s="14">
        <v>6764435</v>
      </c>
      <c r="H106" s="14">
        <v>29974</v>
      </c>
      <c r="I106" s="14">
        <v>124</v>
      </c>
      <c r="J106" s="14">
        <v>163019</v>
      </c>
      <c r="K106" s="14">
        <v>577</v>
      </c>
      <c r="L106" s="14">
        <v>3109</v>
      </c>
      <c r="M106" s="14">
        <v>50878</v>
      </c>
      <c r="N106" s="14">
        <v>154</v>
      </c>
      <c r="O106" s="14">
        <v>742</v>
      </c>
      <c r="P106" s="14">
        <v>63981</v>
      </c>
      <c r="Q106" s="14">
        <v>19</v>
      </c>
    </row>
    <row r="107" spans="1:25" x14ac:dyDescent="0.2">
      <c r="A107" s="3">
        <v>41183</v>
      </c>
      <c r="B107" s="14">
        <v>21320759</v>
      </c>
      <c r="C107" s="14">
        <v>7480407</v>
      </c>
      <c r="D107" s="14">
        <v>14434</v>
      </c>
      <c r="E107" s="14">
        <v>2912030</v>
      </c>
      <c r="F107" s="14">
        <v>1231</v>
      </c>
      <c r="G107" s="14">
        <v>10059523</v>
      </c>
      <c r="H107" s="14">
        <v>27299</v>
      </c>
      <c r="I107" s="14">
        <v>123</v>
      </c>
      <c r="J107" s="14">
        <v>41223</v>
      </c>
      <c r="K107" s="14">
        <v>555</v>
      </c>
      <c r="L107" s="14">
        <v>3109</v>
      </c>
      <c r="M107" s="14">
        <v>48895</v>
      </c>
      <c r="N107" s="14">
        <v>150</v>
      </c>
      <c r="O107" s="14">
        <v>690</v>
      </c>
      <c r="P107" s="14">
        <v>69252</v>
      </c>
      <c r="Q107" s="14">
        <v>19</v>
      </c>
    </row>
    <row r="108" spans="1:25" x14ac:dyDescent="0.2">
      <c r="A108" s="3">
        <v>41214</v>
      </c>
      <c r="B108" s="14">
        <v>22286946</v>
      </c>
      <c r="C108" s="14">
        <v>7595339</v>
      </c>
      <c r="D108" s="14">
        <v>14445</v>
      </c>
      <c r="E108" s="14">
        <v>2418950</v>
      </c>
      <c r="F108" s="14">
        <v>1227</v>
      </c>
      <c r="G108" s="14">
        <v>10834433</v>
      </c>
      <c r="H108" s="14">
        <v>27130</v>
      </c>
      <c r="I108" s="14">
        <v>123</v>
      </c>
      <c r="J108" s="14">
        <v>426700</v>
      </c>
      <c r="K108" s="14">
        <v>555</v>
      </c>
      <c r="L108" s="14">
        <v>3109</v>
      </c>
      <c r="M108" s="14">
        <v>51638</v>
      </c>
      <c r="N108" s="14">
        <v>147</v>
      </c>
      <c r="O108" s="14">
        <v>681</v>
      </c>
      <c r="P108" s="14">
        <v>72234</v>
      </c>
      <c r="Q108" s="14">
        <v>19</v>
      </c>
    </row>
    <row r="109" spans="1:25" x14ac:dyDescent="0.2">
      <c r="A109" s="3">
        <v>41244</v>
      </c>
      <c r="B109" s="14">
        <v>22984872</v>
      </c>
      <c r="C109" s="14">
        <v>9421859</v>
      </c>
      <c r="D109" s="14">
        <v>14439</v>
      </c>
      <c r="E109" s="14">
        <v>2952731</v>
      </c>
      <c r="F109" s="14">
        <v>1228</v>
      </c>
      <c r="G109" s="14">
        <v>9322694</v>
      </c>
      <c r="H109" s="14">
        <v>23628</v>
      </c>
      <c r="I109" s="14">
        <v>123</v>
      </c>
      <c r="J109" s="14">
        <v>235872</v>
      </c>
      <c r="K109" s="14">
        <v>555</v>
      </c>
      <c r="L109" s="14">
        <v>3109</v>
      </c>
      <c r="M109" s="14">
        <v>48520</v>
      </c>
      <c r="N109" s="14">
        <v>151</v>
      </c>
      <c r="O109" s="14">
        <v>681</v>
      </c>
      <c r="P109" s="14">
        <v>63051</v>
      </c>
      <c r="Q109" s="14">
        <v>20</v>
      </c>
    </row>
    <row r="110" spans="1:25" x14ac:dyDescent="0.2">
      <c r="A110" s="3">
        <v>41275</v>
      </c>
      <c r="B110" s="14">
        <v>24374246</v>
      </c>
      <c r="C110" s="14">
        <v>11932318</v>
      </c>
      <c r="D110" s="14">
        <v>14464</v>
      </c>
      <c r="E110" s="14">
        <v>2957682</v>
      </c>
      <c r="F110" s="14">
        <v>1227</v>
      </c>
      <c r="G110" s="14">
        <v>6858545</v>
      </c>
      <c r="H110" s="14">
        <v>26410.023999999998</v>
      </c>
      <c r="I110" s="14">
        <v>122</v>
      </c>
      <c r="J110" s="14">
        <v>249413</v>
      </c>
      <c r="K110" s="14">
        <v>555</v>
      </c>
      <c r="L110" s="14">
        <v>3109</v>
      </c>
      <c r="M110" s="14">
        <v>45859</v>
      </c>
      <c r="N110" s="14">
        <v>148.86799999999999</v>
      </c>
      <c r="O110" s="14">
        <v>681</v>
      </c>
      <c r="P110" s="14">
        <v>70119</v>
      </c>
      <c r="Q110" s="14">
        <v>20</v>
      </c>
    </row>
    <row r="111" spans="1:25" x14ac:dyDescent="0.2">
      <c r="A111" s="3">
        <v>41306</v>
      </c>
      <c r="B111" s="14">
        <v>21873734</v>
      </c>
      <c r="C111" s="14">
        <v>9144571</v>
      </c>
      <c r="D111" s="14">
        <v>14472</v>
      </c>
      <c r="E111" s="14">
        <v>2505135</v>
      </c>
      <c r="F111" s="14">
        <v>1226</v>
      </c>
      <c r="G111" s="14">
        <v>9462218</v>
      </c>
      <c r="H111" s="14">
        <v>24850.394000000004</v>
      </c>
      <c r="I111" s="14">
        <v>122</v>
      </c>
      <c r="J111" s="14">
        <v>212688</v>
      </c>
      <c r="K111" s="14">
        <v>543.90999999999985</v>
      </c>
      <c r="L111" s="14">
        <v>3109</v>
      </c>
      <c r="M111" s="14">
        <v>45673</v>
      </c>
      <c r="N111" s="14">
        <v>149</v>
      </c>
      <c r="O111" s="14">
        <v>681</v>
      </c>
      <c r="P111" s="14">
        <v>64857</v>
      </c>
      <c r="Q111" s="14">
        <v>20</v>
      </c>
    </row>
    <row r="112" spans="1:25" x14ac:dyDescent="0.2">
      <c r="A112" s="3">
        <v>41334</v>
      </c>
      <c r="B112" s="14">
        <v>22563589</v>
      </c>
      <c r="C112" s="14">
        <v>10022886</v>
      </c>
      <c r="D112" s="14">
        <v>14472</v>
      </c>
      <c r="E112" s="14">
        <v>3095149</v>
      </c>
      <c r="F112" s="14">
        <v>1226</v>
      </c>
      <c r="G112" s="14">
        <v>7849788</v>
      </c>
      <c r="H112" s="14">
        <v>24856.112999999994</v>
      </c>
      <c r="I112" s="14">
        <v>122</v>
      </c>
      <c r="J112" s="14">
        <v>163416</v>
      </c>
      <c r="K112" s="14">
        <v>566.94599999999991</v>
      </c>
      <c r="L112" s="14">
        <v>3109</v>
      </c>
      <c r="M112" s="14">
        <v>45487</v>
      </c>
      <c r="N112" s="14">
        <v>149.91800000000001</v>
      </c>
      <c r="O112" s="14">
        <v>681</v>
      </c>
      <c r="P112" s="14">
        <v>64857</v>
      </c>
      <c r="Q112" s="14">
        <v>20</v>
      </c>
    </row>
    <row r="113" spans="1:17" x14ac:dyDescent="0.2">
      <c r="A113" s="3">
        <v>41365</v>
      </c>
      <c r="B113" s="14">
        <v>19968547</v>
      </c>
      <c r="C113" s="14">
        <v>8236395</v>
      </c>
      <c r="D113" s="14">
        <v>14470</v>
      </c>
      <c r="E113" s="14">
        <v>2587081</v>
      </c>
      <c r="F113" s="14">
        <v>1214</v>
      </c>
      <c r="G113" s="14">
        <v>7951174</v>
      </c>
      <c r="H113" s="14">
        <v>23225.37200000001</v>
      </c>
      <c r="I113" s="14">
        <v>122</v>
      </c>
      <c r="J113" s="14">
        <v>137841</v>
      </c>
      <c r="K113" s="14">
        <v>555.42800000000034</v>
      </c>
      <c r="L113" s="14">
        <v>3109</v>
      </c>
      <c r="M113" s="14">
        <v>50055</v>
      </c>
      <c r="N113" s="14">
        <v>151.51799999999997</v>
      </c>
      <c r="O113" s="14">
        <v>681</v>
      </c>
      <c r="P113" s="14">
        <v>64857</v>
      </c>
      <c r="Q113" s="14">
        <v>20</v>
      </c>
    </row>
    <row r="114" spans="1:17" x14ac:dyDescent="0.2">
      <c r="A114" s="3">
        <v>41395</v>
      </c>
      <c r="B114" s="14">
        <v>20139232</v>
      </c>
      <c r="C114" s="14">
        <v>7541616</v>
      </c>
      <c r="D114" s="14">
        <v>14463</v>
      </c>
      <c r="E114" s="14">
        <v>2576251</v>
      </c>
      <c r="F114" s="14">
        <v>1218</v>
      </c>
      <c r="G114" s="14">
        <v>8909564</v>
      </c>
      <c r="H114" s="14">
        <v>23917.600999999991</v>
      </c>
      <c r="I114" s="14">
        <v>122</v>
      </c>
      <c r="J114" s="14">
        <v>150797</v>
      </c>
      <c r="K114" s="14">
        <v>548.16199999999981</v>
      </c>
      <c r="L114" s="14">
        <v>3109</v>
      </c>
      <c r="M114" s="14">
        <v>54490</v>
      </c>
      <c r="N114" s="14">
        <v>167.19299999999998</v>
      </c>
      <c r="O114" s="14">
        <v>718</v>
      </c>
      <c r="P114" s="14">
        <v>64857</v>
      </c>
      <c r="Q114" s="14">
        <v>20</v>
      </c>
    </row>
    <row r="115" spans="1:17" x14ac:dyDescent="0.2">
      <c r="A115" s="3">
        <v>41426</v>
      </c>
      <c r="B115" s="14">
        <v>20955328</v>
      </c>
      <c r="C115" s="14">
        <v>7758464</v>
      </c>
      <c r="D115" s="14">
        <v>14469</v>
      </c>
      <c r="E115" s="14">
        <v>2638084</v>
      </c>
      <c r="F115" s="14">
        <v>1222</v>
      </c>
      <c r="G115" s="14">
        <v>9000969</v>
      </c>
      <c r="H115" s="14">
        <v>24241.303000000011</v>
      </c>
      <c r="I115" s="14">
        <v>122</v>
      </c>
      <c r="J115" s="14">
        <v>130942</v>
      </c>
      <c r="K115" s="14">
        <v>548.16199999999981</v>
      </c>
      <c r="L115" s="14">
        <v>3101</v>
      </c>
      <c r="M115" s="14">
        <v>56159</v>
      </c>
      <c r="N115" s="14">
        <v>166.81799999999998</v>
      </c>
      <c r="O115" s="14">
        <v>718</v>
      </c>
      <c r="P115" s="14">
        <v>64857</v>
      </c>
      <c r="Q115" s="14">
        <v>20</v>
      </c>
    </row>
    <row r="116" spans="1:17" x14ac:dyDescent="0.2">
      <c r="A116" s="3">
        <v>41456</v>
      </c>
      <c r="B116" s="14">
        <v>25663821</v>
      </c>
      <c r="C116" s="14">
        <v>11361464</v>
      </c>
      <c r="D116" s="14">
        <v>14492</v>
      </c>
      <c r="E116" s="14">
        <v>3223643</v>
      </c>
      <c r="F116" s="14">
        <v>1220</v>
      </c>
      <c r="G116" s="14">
        <v>10216661</v>
      </c>
      <c r="H116" s="14">
        <v>24659.457999999981</v>
      </c>
      <c r="I116" s="14">
        <v>122</v>
      </c>
      <c r="J116" s="14">
        <v>164244</v>
      </c>
      <c r="K116" s="14">
        <v>569.19500000000062</v>
      </c>
      <c r="L116" s="14">
        <v>3101</v>
      </c>
      <c r="M116" s="14">
        <v>55679</v>
      </c>
      <c r="N116" s="14">
        <v>168.39300000000003</v>
      </c>
      <c r="O116" s="14">
        <v>718</v>
      </c>
      <c r="P116" s="14">
        <v>64857</v>
      </c>
      <c r="Q116" s="14">
        <v>20</v>
      </c>
    </row>
    <row r="117" spans="1:17" x14ac:dyDescent="0.2">
      <c r="A117" s="3">
        <v>41487</v>
      </c>
      <c r="B117" s="14">
        <v>23495213</v>
      </c>
      <c r="C117" s="14">
        <v>12348851</v>
      </c>
      <c r="D117" s="14">
        <v>14489</v>
      </c>
      <c r="E117" s="14">
        <v>2819771</v>
      </c>
      <c r="F117" s="14">
        <v>1221</v>
      </c>
      <c r="G117" s="14">
        <v>6332708</v>
      </c>
      <c r="H117" s="14">
        <v>24667.390999999996</v>
      </c>
      <c r="I117" s="14">
        <v>122</v>
      </c>
      <c r="J117" s="14">
        <v>104587</v>
      </c>
      <c r="K117" s="14">
        <v>555.17299999999977</v>
      </c>
      <c r="L117" s="14">
        <v>3101</v>
      </c>
      <c r="M117" s="14">
        <v>54965</v>
      </c>
      <c r="N117" s="14">
        <v>167.46799999999996</v>
      </c>
      <c r="O117" s="14">
        <v>718</v>
      </c>
      <c r="P117" s="14">
        <v>64857</v>
      </c>
      <c r="Q117" s="14">
        <v>20</v>
      </c>
    </row>
    <row r="118" spans="1:17" x14ac:dyDescent="0.2">
      <c r="A118" s="3">
        <v>41518</v>
      </c>
      <c r="B118" s="14">
        <v>20279620</v>
      </c>
      <c r="C118" s="14">
        <v>8394402</v>
      </c>
      <c r="D118" s="14">
        <v>14499</v>
      </c>
      <c r="E118" s="14">
        <v>2580694</v>
      </c>
      <c r="F118" s="14">
        <v>1219</v>
      </c>
      <c r="G118" s="14">
        <v>8516883</v>
      </c>
      <c r="H118" s="14">
        <v>24826.42600000001</v>
      </c>
      <c r="I118" s="14">
        <v>123</v>
      </c>
      <c r="J118" s="14">
        <v>168690</v>
      </c>
      <c r="K118" s="14">
        <v>555.17299999999977</v>
      </c>
      <c r="L118" s="14">
        <v>3101</v>
      </c>
      <c r="M118" s="14">
        <v>55399</v>
      </c>
      <c r="N118" s="14">
        <v>166.84300000000007</v>
      </c>
      <c r="O118" s="14">
        <v>718</v>
      </c>
      <c r="P118" s="14">
        <v>65016</v>
      </c>
      <c r="Q118" s="14">
        <v>20</v>
      </c>
    </row>
    <row r="119" spans="1:17" x14ac:dyDescent="0.2">
      <c r="A119" s="3">
        <v>41548</v>
      </c>
      <c r="B119" s="14">
        <v>20272272</v>
      </c>
      <c r="C119" s="14">
        <v>7406401</v>
      </c>
      <c r="D119" s="14">
        <v>14496</v>
      </c>
      <c r="E119" s="14">
        <v>2445852</v>
      </c>
      <c r="F119" s="14">
        <v>1220</v>
      </c>
      <c r="G119" s="14">
        <v>9600771</v>
      </c>
      <c r="H119" s="14">
        <v>25418.945000000014</v>
      </c>
      <c r="I119" s="14">
        <v>124</v>
      </c>
      <c r="J119" s="14">
        <v>221025</v>
      </c>
      <c r="K119" s="14">
        <v>555.17299999999977</v>
      </c>
      <c r="L119" s="14">
        <v>3101</v>
      </c>
      <c r="M119" s="14">
        <v>54010</v>
      </c>
      <c r="N119" s="14">
        <v>165.54299999999989</v>
      </c>
      <c r="O119" s="14">
        <v>718</v>
      </c>
      <c r="P119" s="14">
        <v>69820</v>
      </c>
      <c r="Q119" s="14">
        <v>20</v>
      </c>
    </row>
    <row r="120" spans="1:17" x14ac:dyDescent="0.2">
      <c r="A120" s="3">
        <v>41579</v>
      </c>
      <c r="B120" s="14">
        <v>21513247</v>
      </c>
      <c r="C120" s="14">
        <v>8262135</v>
      </c>
      <c r="D120" s="14">
        <v>14504</v>
      </c>
      <c r="E120" s="14">
        <v>2809717</v>
      </c>
      <c r="F120" s="14">
        <v>1220</v>
      </c>
      <c r="G120" s="14">
        <v>8556721</v>
      </c>
      <c r="H120" s="14">
        <v>23921.35</v>
      </c>
      <c r="I120" s="14">
        <v>124</v>
      </c>
      <c r="J120" s="14">
        <v>254746</v>
      </c>
      <c r="K120" s="14">
        <v>555.17300000000068</v>
      </c>
      <c r="L120" s="14">
        <v>3101</v>
      </c>
      <c r="M120" s="14">
        <v>55807</v>
      </c>
      <c r="N120" s="14">
        <v>164.84300000000007</v>
      </c>
      <c r="O120" s="14">
        <v>718</v>
      </c>
      <c r="P120" s="14">
        <v>73102</v>
      </c>
      <c r="Q120" s="14">
        <v>20</v>
      </c>
    </row>
    <row r="121" spans="1:17" x14ac:dyDescent="0.2">
      <c r="A121" s="3">
        <v>41609</v>
      </c>
      <c r="B121" s="14">
        <v>23919119</v>
      </c>
      <c r="C121" s="14">
        <v>11092367</v>
      </c>
      <c r="D121" s="14">
        <v>14517</v>
      </c>
      <c r="E121" s="14">
        <v>3099272</v>
      </c>
      <c r="F121" s="14">
        <v>1218</v>
      </c>
      <c r="G121" s="14">
        <v>8160851</v>
      </c>
      <c r="H121" s="14">
        <v>23511.427999999978</v>
      </c>
      <c r="I121" s="14">
        <v>124</v>
      </c>
      <c r="J121" s="14">
        <v>263869</v>
      </c>
      <c r="K121" s="14">
        <v>555.17299999999977</v>
      </c>
      <c r="L121" s="14">
        <v>3101</v>
      </c>
      <c r="M121" s="14">
        <v>54027</v>
      </c>
      <c r="N121" s="14">
        <v>166.46800000000007</v>
      </c>
      <c r="O121" s="14">
        <v>718</v>
      </c>
      <c r="P121" s="14">
        <v>67746</v>
      </c>
      <c r="Q121" s="14">
        <v>20</v>
      </c>
    </row>
    <row r="122" spans="1:17" x14ac:dyDescent="0.2">
      <c r="A122" s="3">
        <v>41640</v>
      </c>
      <c r="B122" s="14">
        <v>25927894</v>
      </c>
      <c r="C122" s="14">
        <v>12181580</v>
      </c>
      <c r="D122" s="14">
        <v>14529</v>
      </c>
      <c r="E122" s="14">
        <v>2957676</v>
      </c>
      <c r="F122" s="14">
        <v>1222</v>
      </c>
      <c r="G122" s="14">
        <v>9537236</v>
      </c>
      <c r="H122" s="14">
        <v>23443.330999999998</v>
      </c>
      <c r="I122" s="14">
        <v>121</v>
      </c>
      <c r="J122" s="14">
        <v>187058</v>
      </c>
      <c r="K122" s="14">
        <v>555.173</v>
      </c>
      <c r="L122" s="14">
        <v>3101</v>
      </c>
      <c r="M122" s="14">
        <v>55833</v>
      </c>
      <c r="N122" s="14">
        <v>168.143</v>
      </c>
      <c r="O122" s="14">
        <v>718</v>
      </c>
      <c r="P122" s="14">
        <v>63256</v>
      </c>
      <c r="Q122" s="14">
        <v>21</v>
      </c>
    </row>
    <row r="123" spans="1:17" x14ac:dyDescent="0.2">
      <c r="A123" s="3">
        <v>41671</v>
      </c>
      <c r="B123" s="14">
        <v>22750416</v>
      </c>
      <c r="C123" s="14">
        <v>10046155</v>
      </c>
      <c r="D123" s="14">
        <v>14529</v>
      </c>
      <c r="E123" s="14">
        <v>2960878</v>
      </c>
      <c r="F123" s="14">
        <v>1220</v>
      </c>
      <c r="G123" s="14">
        <v>7862620</v>
      </c>
      <c r="H123" s="14">
        <v>23106.195</v>
      </c>
      <c r="I123" s="14">
        <v>120</v>
      </c>
      <c r="J123" s="14">
        <v>216051</v>
      </c>
      <c r="K123" s="14">
        <v>555.173</v>
      </c>
      <c r="L123" s="14">
        <v>3101</v>
      </c>
      <c r="M123" s="14">
        <v>54878</v>
      </c>
      <c r="N123" s="14">
        <v>166.16799999999998</v>
      </c>
      <c r="O123" s="14">
        <v>718</v>
      </c>
      <c r="P123" s="14">
        <v>58879</v>
      </c>
      <c r="Q123" s="14">
        <v>21</v>
      </c>
    </row>
    <row r="124" spans="1:17" x14ac:dyDescent="0.2">
      <c r="A124" s="3">
        <v>41699</v>
      </c>
      <c r="B124" s="14">
        <v>23245195</v>
      </c>
      <c r="C124" s="14">
        <v>10162684</v>
      </c>
      <c r="D124" s="14">
        <v>14543</v>
      </c>
      <c r="E124" s="14">
        <v>3039252</v>
      </c>
      <c r="F124" s="14">
        <v>1218</v>
      </c>
      <c r="G124" s="14">
        <v>8966242</v>
      </c>
      <c r="H124" s="14">
        <v>24180.276999999998</v>
      </c>
      <c r="I124" s="14">
        <v>122</v>
      </c>
      <c r="J124" s="14">
        <v>186011</v>
      </c>
      <c r="K124" s="14">
        <v>555.173</v>
      </c>
      <c r="L124" s="14">
        <v>3101</v>
      </c>
      <c r="M124" s="14">
        <v>50164</v>
      </c>
      <c r="N124" s="14">
        <v>165.24299999999999</v>
      </c>
      <c r="O124" s="14">
        <v>715</v>
      </c>
      <c r="P124" s="14">
        <v>62884</v>
      </c>
      <c r="Q124" s="14">
        <v>21</v>
      </c>
    </row>
    <row r="125" spans="1:17" x14ac:dyDescent="0.2">
      <c r="A125" s="3">
        <v>41730</v>
      </c>
      <c r="B125" s="14">
        <v>19823790</v>
      </c>
      <c r="C125" s="14">
        <v>8128963</v>
      </c>
      <c r="D125" s="14">
        <v>14537</v>
      </c>
      <c r="E125" s="14">
        <v>2506140</v>
      </c>
      <c r="F125" s="14">
        <v>1215</v>
      </c>
      <c r="G125" s="14">
        <v>7970556</v>
      </c>
      <c r="H125" s="14">
        <v>23173.335000000003</v>
      </c>
      <c r="I125" s="14">
        <v>123</v>
      </c>
      <c r="J125" s="14">
        <v>143097</v>
      </c>
      <c r="K125" s="14">
        <v>555.173</v>
      </c>
      <c r="L125" s="14">
        <v>3101</v>
      </c>
      <c r="M125" s="14">
        <v>55002</v>
      </c>
      <c r="N125" s="14">
        <v>165.36800000000005</v>
      </c>
      <c r="O125" s="14">
        <v>715</v>
      </c>
      <c r="P125" s="14">
        <v>62108</v>
      </c>
      <c r="Q125" s="14">
        <v>21</v>
      </c>
    </row>
    <row r="126" spans="1:17" x14ac:dyDescent="0.2">
      <c r="A126" s="3">
        <v>41760</v>
      </c>
      <c r="B126" s="14">
        <v>19470042</v>
      </c>
      <c r="C126" s="14">
        <v>7332346</v>
      </c>
      <c r="D126" s="14">
        <v>14523</v>
      </c>
      <c r="E126" s="14">
        <v>2681682</v>
      </c>
      <c r="F126" s="14">
        <v>1217</v>
      </c>
      <c r="G126" s="14">
        <v>8760708</v>
      </c>
      <c r="H126" s="14">
        <v>23261.691999999995</v>
      </c>
      <c r="I126" s="14">
        <v>123</v>
      </c>
      <c r="J126" s="14">
        <v>163924</v>
      </c>
      <c r="K126" s="14">
        <v>555.17299999999977</v>
      </c>
      <c r="L126" s="14">
        <v>3112</v>
      </c>
      <c r="M126" s="14">
        <v>54007</v>
      </c>
      <c r="N126" s="14">
        <v>165.09299999999996</v>
      </c>
      <c r="O126" s="14">
        <v>715</v>
      </c>
      <c r="P126" s="14">
        <v>70904</v>
      </c>
      <c r="Q126" s="14">
        <v>21</v>
      </c>
    </row>
    <row r="127" spans="1:17" x14ac:dyDescent="0.2">
      <c r="A127" s="3">
        <v>41791</v>
      </c>
      <c r="B127" s="14">
        <v>21680494</v>
      </c>
      <c r="C127" s="14">
        <v>8343961</v>
      </c>
      <c r="D127" s="14">
        <v>14524</v>
      </c>
      <c r="E127" s="14">
        <v>3251319</v>
      </c>
      <c r="F127" s="14">
        <v>1220</v>
      </c>
      <c r="G127" s="14">
        <v>8894955</v>
      </c>
      <c r="H127" s="14">
        <v>23365.831000000006</v>
      </c>
      <c r="I127" s="14">
        <v>123</v>
      </c>
      <c r="J127" s="14">
        <v>165937</v>
      </c>
      <c r="K127" s="14">
        <v>555.17300000000023</v>
      </c>
      <c r="L127" s="14">
        <v>3112</v>
      </c>
      <c r="M127" s="14">
        <v>56106</v>
      </c>
      <c r="N127" s="14">
        <v>164.74300000000005</v>
      </c>
      <c r="O127" s="14">
        <v>715</v>
      </c>
      <c r="P127" s="14">
        <v>78374</v>
      </c>
      <c r="Q127" s="14">
        <v>21</v>
      </c>
    </row>
    <row r="128" spans="1:17" x14ac:dyDescent="0.2">
      <c r="A128" s="3">
        <v>41821</v>
      </c>
      <c r="B128" s="14">
        <v>23150553</v>
      </c>
      <c r="C128" s="14">
        <v>10344440</v>
      </c>
      <c r="D128" s="14">
        <v>14542</v>
      </c>
      <c r="E128" s="14">
        <v>2662943</v>
      </c>
      <c r="F128" s="14">
        <v>1214</v>
      </c>
      <c r="G128" s="14">
        <v>7906453</v>
      </c>
      <c r="H128" s="14">
        <v>23922.438999999998</v>
      </c>
      <c r="I128" s="14">
        <v>123</v>
      </c>
      <c r="J128" s="14">
        <v>92658</v>
      </c>
      <c r="K128" s="14">
        <v>555.17299999999977</v>
      </c>
      <c r="L128" s="14">
        <v>3112</v>
      </c>
      <c r="M128" s="14">
        <v>53299</v>
      </c>
      <c r="N128" s="14">
        <v>165.84300000000007</v>
      </c>
      <c r="O128" s="14">
        <v>712</v>
      </c>
      <c r="P128" s="14">
        <v>59394</v>
      </c>
      <c r="Q128" s="14">
        <v>21</v>
      </c>
    </row>
    <row r="129" spans="1:17" x14ac:dyDescent="0.2">
      <c r="A129" s="3">
        <v>41852</v>
      </c>
      <c r="B129" s="14">
        <v>22134951</v>
      </c>
      <c r="C129" s="14">
        <v>10493081</v>
      </c>
      <c r="D129" s="14">
        <v>14551</v>
      </c>
      <c r="E129" s="14">
        <v>2831291</v>
      </c>
      <c r="F129" s="14">
        <v>1213</v>
      </c>
      <c r="G129" s="14">
        <v>9488509</v>
      </c>
      <c r="H129" s="14">
        <v>23345.490999999998</v>
      </c>
      <c r="I129" s="14">
        <v>123</v>
      </c>
      <c r="J129" s="14">
        <v>137503</v>
      </c>
      <c r="K129" s="14">
        <v>555.17300000000023</v>
      </c>
      <c r="L129" s="14">
        <v>3112</v>
      </c>
      <c r="M129" s="14">
        <v>54879</v>
      </c>
      <c r="N129" s="14">
        <v>164.66799999999989</v>
      </c>
      <c r="O129" s="14">
        <v>712</v>
      </c>
      <c r="P129" s="14">
        <v>64653</v>
      </c>
      <c r="Q129" s="14">
        <v>21</v>
      </c>
    </row>
    <row r="130" spans="1:17" x14ac:dyDescent="0.2">
      <c r="A130" s="3">
        <v>41883</v>
      </c>
      <c r="B130" s="14">
        <v>20261054</v>
      </c>
      <c r="C130" s="14">
        <v>8718151</v>
      </c>
      <c r="D130" s="14">
        <v>14560</v>
      </c>
      <c r="E130" s="14">
        <v>2526942</v>
      </c>
      <c r="F130" s="14">
        <v>1214</v>
      </c>
      <c r="G130" s="14">
        <v>7451465</v>
      </c>
      <c r="H130" s="14">
        <v>23482.869999999992</v>
      </c>
      <c r="I130" s="14">
        <v>122</v>
      </c>
      <c r="J130" s="14">
        <v>154051</v>
      </c>
      <c r="K130" s="14">
        <v>555.17299999999977</v>
      </c>
      <c r="L130" s="14">
        <v>3112</v>
      </c>
      <c r="M130" s="14">
        <v>54775</v>
      </c>
      <c r="N130" s="14">
        <v>165.18299999999999</v>
      </c>
      <c r="O130" s="14">
        <v>710</v>
      </c>
      <c r="P130" s="14">
        <v>61027</v>
      </c>
      <c r="Q130" s="14">
        <v>20</v>
      </c>
    </row>
    <row r="131" spans="1:17" x14ac:dyDescent="0.2">
      <c r="A131" s="3">
        <v>41913</v>
      </c>
      <c r="B131" s="14">
        <v>19739352</v>
      </c>
      <c r="C131" s="14">
        <v>7416210</v>
      </c>
      <c r="D131" s="14">
        <v>14561</v>
      </c>
      <c r="E131" s="14">
        <v>2572742</v>
      </c>
      <c r="F131" s="14">
        <v>1215</v>
      </c>
      <c r="G131" s="14">
        <v>8460988</v>
      </c>
      <c r="H131" s="14">
        <v>23638.003000000004</v>
      </c>
      <c r="I131" s="14">
        <v>123</v>
      </c>
      <c r="J131" s="14">
        <v>215131</v>
      </c>
      <c r="K131" s="14">
        <v>555.17299999999977</v>
      </c>
      <c r="L131" s="14">
        <v>3112</v>
      </c>
      <c r="M131" s="14">
        <v>53809</v>
      </c>
      <c r="N131" s="14">
        <v>165.20800000000008</v>
      </c>
      <c r="O131" s="14">
        <v>710</v>
      </c>
      <c r="P131" s="14">
        <v>68533</v>
      </c>
      <c r="Q131" s="14">
        <v>20</v>
      </c>
    </row>
    <row r="132" spans="1:17" x14ac:dyDescent="0.2">
      <c r="A132" s="3">
        <v>41944</v>
      </c>
      <c r="B132" s="14">
        <v>21218467</v>
      </c>
      <c r="C132" s="14">
        <v>8467788</v>
      </c>
      <c r="D132" s="14">
        <v>14570</v>
      </c>
      <c r="E132" s="14">
        <v>2805857</v>
      </c>
      <c r="F132" s="14">
        <v>1211</v>
      </c>
      <c r="G132" s="14">
        <v>8348197</v>
      </c>
      <c r="H132" s="14">
        <v>22668.922999999988</v>
      </c>
      <c r="I132" s="14">
        <v>122</v>
      </c>
      <c r="J132" s="14">
        <v>269750</v>
      </c>
      <c r="K132" s="14">
        <v>555.17300000000068</v>
      </c>
      <c r="L132" s="14">
        <v>3112</v>
      </c>
      <c r="M132" s="14">
        <v>54996</v>
      </c>
      <c r="N132" s="14">
        <v>163.7829999999999</v>
      </c>
      <c r="O132" s="14">
        <v>710</v>
      </c>
      <c r="P132" s="14">
        <v>76174</v>
      </c>
      <c r="Q132" s="14">
        <v>20</v>
      </c>
    </row>
    <row r="133" spans="1:17" x14ac:dyDescent="0.2">
      <c r="A133" s="3">
        <v>41974</v>
      </c>
      <c r="B133" s="14">
        <v>22422354</v>
      </c>
      <c r="C133" s="14">
        <v>10190075</v>
      </c>
      <c r="D133" s="14">
        <v>14562</v>
      </c>
      <c r="E133" s="14">
        <v>2879012</v>
      </c>
      <c r="F133" s="14">
        <v>1208</v>
      </c>
      <c r="G133" s="14">
        <v>8153304</v>
      </c>
      <c r="H133" s="14">
        <v>22725.658000000021</v>
      </c>
      <c r="I133" s="14">
        <v>122</v>
      </c>
      <c r="J133" s="14">
        <v>238818</v>
      </c>
      <c r="K133" s="14">
        <v>555.17299999999977</v>
      </c>
      <c r="L133" s="14">
        <v>3112</v>
      </c>
      <c r="M133" s="14">
        <v>53332</v>
      </c>
      <c r="N133" s="14">
        <v>166.35799999999995</v>
      </c>
      <c r="O133" s="14">
        <v>710</v>
      </c>
      <c r="P133" s="14">
        <v>63080</v>
      </c>
      <c r="Q133" s="14">
        <v>20</v>
      </c>
    </row>
    <row r="134" spans="1:17" x14ac:dyDescent="0.2">
      <c r="A134" s="3">
        <v>42005</v>
      </c>
      <c r="B134" s="14">
        <v>24796362</v>
      </c>
      <c r="C134" s="14">
        <v>11493187</v>
      </c>
      <c r="D134" s="14">
        <v>14576</v>
      </c>
      <c r="E134" s="14">
        <v>3087389</v>
      </c>
      <c r="F134" s="14">
        <v>1214</v>
      </c>
      <c r="G134" s="14">
        <v>8920044</v>
      </c>
      <c r="H134" s="14">
        <v>22434.7</v>
      </c>
      <c r="I134" s="14">
        <v>120</v>
      </c>
      <c r="J134" s="14">
        <v>246219</v>
      </c>
      <c r="K134" s="14">
        <v>555.173</v>
      </c>
      <c r="L134" s="14">
        <v>3112</v>
      </c>
      <c r="M134" s="14">
        <v>54857</v>
      </c>
      <c r="N134" s="14">
        <v>163.05799999999999</v>
      </c>
      <c r="O134" s="14">
        <v>710</v>
      </c>
      <c r="P134" s="14">
        <v>68204</v>
      </c>
      <c r="Q134" s="14">
        <v>19</v>
      </c>
    </row>
    <row r="135" spans="1:17" x14ac:dyDescent="0.2">
      <c r="A135" s="3">
        <v>42036</v>
      </c>
      <c r="B135" s="14">
        <v>23252301</v>
      </c>
      <c r="C135" s="14">
        <v>10521437</v>
      </c>
      <c r="D135" s="14">
        <v>14571</v>
      </c>
      <c r="E135" s="14">
        <v>3019797</v>
      </c>
      <c r="F135" s="14">
        <v>1212</v>
      </c>
      <c r="G135" s="14">
        <v>8085696</v>
      </c>
      <c r="H135" s="14">
        <v>23060.542000000001</v>
      </c>
      <c r="I135" s="14">
        <v>120</v>
      </c>
      <c r="J135" s="14">
        <v>193443</v>
      </c>
      <c r="K135" s="14">
        <v>555.173</v>
      </c>
      <c r="L135" s="14">
        <v>3112</v>
      </c>
      <c r="M135" s="14">
        <v>54692</v>
      </c>
      <c r="N135" s="14">
        <v>163.43299999999999</v>
      </c>
      <c r="O135" s="14">
        <v>710</v>
      </c>
      <c r="P135" s="14">
        <v>59993</v>
      </c>
      <c r="Q135" s="14">
        <v>19</v>
      </c>
    </row>
    <row r="136" spans="1:17" x14ac:dyDescent="0.2">
      <c r="A136" s="3">
        <v>42064</v>
      </c>
      <c r="B136" s="14">
        <v>22863915</v>
      </c>
      <c r="C136" s="14">
        <v>10115222</v>
      </c>
      <c r="D136" s="14">
        <v>14573</v>
      </c>
      <c r="E136" s="14">
        <v>2861049</v>
      </c>
      <c r="F136" s="14">
        <v>1210</v>
      </c>
      <c r="G136" s="14">
        <v>8713601</v>
      </c>
      <c r="H136" s="14">
        <v>22071.488000000001</v>
      </c>
      <c r="I136" s="14">
        <v>119</v>
      </c>
      <c r="J136" s="14">
        <v>154408</v>
      </c>
      <c r="K136" s="14">
        <v>555.173</v>
      </c>
      <c r="L136" s="14">
        <v>3112</v>
      </c>
      <c r="M136" s="14">
        <v>49060</v>
      </c>
      <c r="N136" s="14">
        <v>163.33300000000003</v>
      </c>
      <c r="O136" s="14">
        <v>706</v>
      </c>
      <c r="P136" s="14">
        <v>57025</v>
      </c>
      <c r="Q136" s="14">
        <v>19</v>
      </c>
    </row>
    <row r="137" spans="1:17" x14ac:dyDescent="0.2">
      <c r="A137" s="3">
        <v>42095</v>
      </c>
      <c r="B137" s="14">
        <v>19118387</v>
      </c>
      <c r="C137" s="14">
        <v>7786329</v>
      </c>
      <c r="D137" s="14">
        <v>14564</v>
      </c>
      <c r="E137" s="14">
        <v>2608724</v>
      </c>
      <c r="F137" s="14">
        <v>1212</v>
      </c>
      <c r="G137" s="14">
        <v>7804489</v>
      </c>
      <c r="H137" s="14">
        <v>22316.790000000005</v>
      </c>
      <c r="I137" s="14">
        <v>120</v>
      </c>
      <c r="J137" s="14">
        <v>158048</v>
      </c>
      <c r="K137" s="14">
        <v>555.173</v>
      </c>
      <c r="L137" s="14">
        <v>3112</v>
      </c>
      <c r="M137" s="14">
        <v>54413</v>
      </c>
      <c r="N137" s="14">
        <v>162.90799999999996</v>
      </c>
      <c r="O137" s="14">
        <v>706</v>
      </c>
      <c r="P137" s="14">
        <v>64825</v>
      </c>
      <c r="Q137" s="14">
        <v>19</v>
      </c>
    </row>
    <row r="138" spans="1:17" x14ac:dyDescent="0.2">
      <c r="A138" s="3">
        <v>42125</v>
      </c>
      <c r="B138" s="14">
        <v>19277573</v>
      </c>
      <c r="C138" s="14">
        <v>7553392</v>
      </c>
      <c r="D138" s="14">
        <v>14551</v>
      </c>
      <c r="E138" s="14">
        <v>2598309</v>
      </c>
      <c r="F138" s="14">
        <v>1212</v>
      </c>
      <c r="G138" s="14">
        <v>8199369</v>
      </c>
      <c r="H138" s="14">
        <v>22008.712999999996</v>
      </c>
      <c r="I138" s="14">
        <v>120</v>
      </c>
      <c r="J138" s="14">
        <v>169258</v>
      </c>
      <c r="K138" s="14">
        <v>555.17299999999977</v>
      </c>
      <c r="L138" s="14">
        <v>3112</v>
      </c>
      <c r="M138" s="14">
        <v>53263</v>
      </c>
      <c r="N138" s="14">
        <v>163.20800000000008</v>
      </c>
      <c r="O138" s="14">
        <v>706</v>
      </c>
      <c r="P138" s="14">
        <v>72042</v>
      </c>
      <c r="Q138" s="14">
        <v>19</v>
      </c>
    </row>
    <row r="139" spans="1:17" x14ac:dyDescent="0.2">
      <c r="A139" s="3">
        <v>42156</v>
      </c>
      <c r="B139" s="14">
        <v>20030034</v>
      </c>
      <c r="C139" s="14">
        <v>8095433</v>
      </c>
      <c r="D139" s="14">
        <v>14562</v>
      </c>
      <c r="E139" s="14">
        <v>2756216</v>
      </c>
      <c r="F139" s="14">
        <v>1196</v>
      </c>
      <c r="G139" s="14">
        <v>7907068</v>
      </c>
      <c r="H139" s="14">
        <v>23005.436999999998</v>
      </c>
      <c r="I139" s="14">
        <v>119</v>
      </c>
      <c r="J139" s="14">
        <v>139190</v>
      </c>
      <c r="K139" s="14">
        <v>555.17300000000023</v>
      </c>
      <c r="L139" s="14">
        <v>3112</v>
      </c>
      <c r="M139" s="14">
        <v>54014</v>
      </c>
      <c r="N139" s="14">
        <v>162.50799999999992</v>
      </c>
      <c r="O139" s="14">
        <v>701</v>
      </c>
      <c r="P139" s="14">
        <v>71209</v>
      </c>
      <c r="Q139" s="14">
        <v>19</v>
      </c>
    </row>
    <row r="140" spans="1:17" x14ac:dyDescent="0.2">
      <c r="A140" s="3">
        <v>42186</v>
      </c>
      <c r="B140" s="14">
        <v>23323296</v>
      </c>
      <c r="C140" s="14">
        <v>10458985</v>
      </c>
      <c r="D140" s="14">
        <v>14580</v>
      </c>
      <c r="E140" s="14">
        <v>3267999</v>
      </c>
      <c r="F140" s="14">
        <v>1215</v>
      </c>
      <c r="G140" s="14">
        <v>8143830</v>
      </c>
      <c r="H140" s="14">
        <v>22694.680000000004</v>
      </c>
      <c r="I140" s="14">
        <v>120</v>
      </c>
      <c r="J140" s="14">
        <v>136454</v>
      </c>
      <c r="K140" s="14">
        <v>555.17299999999977</v>
      </c>
      <c r="L140" s="14">
        <v>3112</v>
      </c>
      <c r="M140" s="14">
        <v>53946</v>
      </c>
      <c r="N140" s="14">
        <v>161.45799999999997</v>
      </c>
      <c r="O140" s="14">
        <v>701</v>
      </c>
      <c r="P140" s="14">
        <v>71649</v>
      </c>
      <c r="Q140" s="14">
        <v>19</v>
      </c>
    </row>
    <row r="141" spans="1:17" x14ac:dyDescent="0.2">
      <c r="A141" s="3">
        <v>42217</v>
      </c>
      <c r="B141" s="14">
        <v>22898640</v>
      </c>
      <c r="C141" s="14">
        <v>11212688</v>
      </c>
      <c r="D141" s="14">
        <v>14592</v>
      </c>
      <c r="E141" s="14">
        <v>2560731</v>
      </c>
      <c r="F141" s="14">
        <v>1217</v>
      </c>
      <c r="G141" s="14">
        <v>8059390</v>
      </c>
      <c r="H141" s="14">
        <v>22831.026999999995</v>
      </c>
      <c r="I141" s="14">
        <v>120</v>
      </c>
      <c r="J141" s="14">
        <v>107471</v>
      </c>
      <c r="K141" s="14">
        <v>555.17300000000023</v>
      </c>
      <c r="L141" s="14">
        <v>3112</v>
      </c>
      <c r="M141" s="14">
        <v>53620</v>
      </c>
      <c r="N141" s="14">
        <v>163.65800000000013</v>
      </c>
      <c r="O141" s="14">
        <v>701</v>
      </c>
      <c r="P141" s="14">
        <v>55524</v>
      </c>
      <c r="Q141" s="14">
        <v>19</v>
      </c>
    </row>
    <row r="142" spans="1:17" x14ac:dyDescent="0.2">
      <c r="A142" s="3">
        <v>42248</v>
      </c>
      <c r="B142" s="14">
        <v>21853733</v>
      </c>
      <c r="C142" s="14">
        <v>9638426</v>
      </c>
      <c r="D142" s="14">
        <v>14608</v>
      </c>
      <c r="E142" s="14">
        <v>2818657</v>
      </c>
      <c r="F142" s="14">
        <v>1218</v>
      </c>
      <c r="G142" s="14">
        <v>8232222</v>
      </c>
      <c r="H142" s="14">
        <v>23257.673999999999</v>
      </c>
      <c r="I142" s="14">
        <v>120</v>
      </c>
      <c r="J142" s="14">
        <v>175014</v>
      </c>
      <c r="K142" s="14">
        <v>552.17299999999977</v>
      </c>
      <c r="L142" s="14">
        <v>3112</v>
      </c>
      <c r="M142" s="14">
        <v>53943</v>
      </c>
      <c r="N142" s="14">
        <v>163.08299999999986</v>
      </c>
      <c r="O142" s="14">
        <v>699</v>
      </c>
      <c r="P142" s="14">
        <v>66073</v>
      </c>
      <c r="Q142" s="14">
        <v>19</v>
      </c>
    </row>
    <row r="143" spans="1:17" x14ac:dyDescent="0.2">
      <c r="A143" s="3">
        <v>42278</v>
      </c>
      <c r="B143" s="14">
        <v>19316638</v>
      </c>
      <c r="C143" s="14">
        <v>7823254</v>
      </c>
      <c r="D143" s="14">
        <v>14608</v>
      </c>
      <c r="E143" s="14">
        <v>2436599</v>
      </c>
      <c r="F143" s="14">
        <v>1217</v>
      </c>
      <c r="G143" s="14">
        <v>7536774</v>
      </c>
      <c r="H143" s="14">
        <v>24004.944000000003</v>
      </c>
      <c r="I143" s="14">
        <v>120</v>
      </c>
      <c r="J143" s="14">
        <v>177208</v>
      </c>
      <c r="K143" s="14">
        <v>552.17299999999977</v>
      </c>
      <c r="L143" s="14">
        <v>3112</v>
      </c>
      <c r="M143" s="14">
        <v>53003</v>
      </c>
      <c r="N143" s="14">
        <v>162.65800000000013</v>
      </c>
      <c r="O143" s="14">
        <v>699</v>
      </c>
      <c r="P143" s="14">
        <v>59552</v>
      </c>
      <c r="Q143" s="14">
        <v>19</v>
      </c>
    </row>
    <row r="144" spans="1:17" x14ac:dyDescent="0.2">
      <c r="A144" s="3">
        <v>42309</v>
      </c>
      <c r="B144" s="14">
        <v>19451459</v>
      </c>
      <c r="C144" s="14">
        <v>7470678</v>
      </c>
      <c r="D144" s="14">
        <v>14621</v>
      </c>
      <c r="E144" s="14">
        <v>2563625</v>
      </c>
      <c r="F144" s="14">
        <v>1218</v>
      </c>
      <c r="G144" s="14">
        <v>8327797</v>
      </c>
      <c r="H144" s="14">
        <v>22218</v>
      </c>
      <c r="I144" s="14">
        <v>120</v>
      </c>
      <c r="J144" s="14">
        <v>266417</v>
      </c>
      <c r="K144" s="14">
        <v>552</v>
      </c>
      <c r="L144" s="14">
        <v>3112</v>
      </c>
      <c r="M144" s="14">
        <v>55068</v>
      </c>
      <c r="N144" s="14">
        <v>162</v>
      </c>
      <c r="O144" s="14">
        <v>699</v>
      </c>
      <c r="P144" s="14">
        <v>75689</v>
      </c>
      <c r="Q144" s="14">
        <v>19</v>
      </c>
    </row>
    <row r="145" spans="1:17" x14ac:dyDescent="0.2">
      <c r="A145" s="3">
        <v>42339</v>
      </c>
      <c r="B145" s="14">
        <v>20585911</v>
      </c>
      <c r="C145" s="14">
        <v>8785046</v>
      </c>
      <c r="D145" s="14">
        <v>14635</v>
      </c>
      <c r="E145" s="14">
        <v>2684015</v>
      </c>
      <c r="F145" s="14">
        <v>1218</v>
      </c>
      <c r="G145" s="14">
        <v>7839885</v>
      </c>
      <c r="H145" s="14">
        <v>21118</v>
      </c>
      <c r="I145" s="14">
        <v>120</v>
      </c>
      <c r="J145" s="14">
        <v>265400</v>
      </c>
      <c r="K145" s="14">
        <v>552</v>
      </c>
      <c r="L145" s="14">
        <v>3112</v>
      </c>
      <c r="M145" s="14">
        <v>52638</v>
      </c>
      <c r="N145" s="14">
        <v>164</v>
      </c>
      <c r="O145" s="14">
        <v>699</v>
      </c>
      <c r="P145" s="14">
        <v>68528</v>
      </c>
      <c r="Q145" s="14">
        <v>19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workbookViewId="0">
      <pane xSplit="1" ySplit="1" topLeftCell="B109" activePane="bottomRight" state="frozen"/>
      <selection activeCell="C121" sqref="C121"/>
      <selection pane="topRight" activeCell="C121" sqref="C121"/>
      <selection pane="bottomLeft" activeCell="C121" sqref="C121"/>
      <selection pane="bottomRight" activeCell="C121" sqref="C121"/>
    </sheetView>
  </sheetViews>
  <sheetFormatPr defaultRowHeight="12.75" x14ac:dyDescent="0.2"/>
  <cols>
    <col min="1" max="1" width="16.83203125" customWidth="1"/>
    <col min="2" max="2" width="15" style="9" customWidth="1"/>
    <col min="3" max="3" width="11.1640625" bestFit="1" customWidth="1"/>
    <col min="4" max="4" width="12.6640625" bestFit="1" customWidth="1"/>
    <col min="5" max="5" width="10.6640625" bestFit="1" customWidth="1"/>
    <col min="6" max="6" width="11" bestFit="1" customWidth="1"/>
    <col min="7" max="8" width="11.83203125" bestFit="1" customWidth="1"/>
    <col min="9" max="9" width="12.6640625" bestFit="1" customWidth="1"/>
    <col min="10" max="10" width="10.33203125" bestFit="1" customWidth="1"/>
    <col min="11" max="11" width="10.6640625" bestFit="1" customWidth="1"/>
    <col min="12" max="12" width="12.6640625" bestFit="1" customWidth="1"/>
    <col min="13" max="13" width="9.5" bestFit="1" customWidth="1"/>
    <col min="15" max="15" width="12.6640625" bestFit="1" customWidth="1"/>
    <col min="16" max="16" width="12" customWidth="1"/>
    <col min="17" max="17" width="12.6640625" bestFit="1" customWidth="1"/>
    <col min="20" max="20" width="11.6640625" bestFit="1" customWidth="1"/>
    <col min="21" max="21" width="9.6640625" bestFit="1" customWidth="1"/>
    <col min="24" max="24" width="11.6640625" bestFit="1" customWidth="1"/>
    <col min="25" max="25" width="11" bestFit="1" customWidth="1"/>
  </cols>
  <sheetData>
    <row r="1" spans="1: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25</v>
      </c>
      <c r="Y1" s="1" t="s">
        <v>26</v>
      </c>
    </row>
    <row r="2" spans="1:25" x14ac:dyDescent="0.2">
      <c r="A2" s="3">
        <v>37987</v>
      </c>
      <c r="B2" s="14">
        <v>18806957.469999999</v>
      </c>
      <c r="C2" s="14">
        <v>6525963.2830175925</v>
      </c>
      <c r="D2" s="14">
        <v>8064</v>
      </c>
      <c r="E2" s="14">
        <v>2095223.3566692341</v>
      </c>
      <c r="F2" s="14">
        <v>962</v>
      </c>
      <c r="G2" s="14">
        <v>13339045.86517005</v>
      </c>
      <c r="H2" s="14">
        <v>26071.639208803583</v>
      </c>
      <c r="I2" s="14">
        <v>72</v>
      </c>
      <c r="J2" s="14">
        <v>0</v>
      </c>
      <c r="K2" s="14">
        <v>136.16666666666666</v>
      </c>
      <c r="L2" s="14">
        <v>2015</v>
      </c>
      <c r="M2" s="14">
        <v>0</v>
      </c>
      <c r="N2" s="14">
        <v>1.1666666666666667</v>
      </c>
      <c r="O2" s="14">
        <v>46</v>
      </c>
      <c r="P2" s="14">
        <v>19015.854149856081</v>
      </c>
      <c r="Q2" s="14">
        <v>0</v>
      </c>
      <c r="R2">
        <v>849.1</v>
      </c>
      <c r="S2">
        <v>0</v>
      </c>
      <c r="T2">
        <v>31</v>
      </c>
      <c r="U2">
        <v>21</v>
      </c>
      <c r="V2">
        <v>6237.3</v>
      </c>
      <c r="W2">
        <v>5047.8999999999996</v>
      </c>
      <c r="X2">
        <v>187.5</v>
      </c>
      <c r="Y2">
        <v>142.80000000000001</v>
      </c>
    </row>
    <row r="3" spans="1:25" x14ac:dyDescent="0.2">
      <c r="A3" s="3">
        <v>38018</v>
      </c>
      <c r="B3" s="14">
        <v>16728596.939999999</v>
      </c>
      <c r="C3" s="14">
        <v>6401095.3970398055</v>
      </c>
      <c r="D3" s="14">
        <v>8064</v>
      </c>
      <c r="E3" s="14">
        <v>3042324.2353249439</v>
      </c>
      <c r="F3" s="14">
        <v>962</v>
      </c>
      <c r="G3" s="14">
        <v>8469153.4110809974</v>
      </c>
      <c r="H3" s="14">
        <v>26489.358720470853</v>
      </c>
      <c r="I3" s="14">
        <v>72</v>
      </c>
      <c r="J3" s="14">
        <v>0</v>
      </c>
      <c r="K3" s="14">
        <v>136.16666666666666</v>
      </c>
      <c r="L3" s="14">
        <v>2015</v>
      </c>
      <c r="M3" s="14">
        <v>0</v>
      </c>
      <c r="N3" s="14">
        <v>1.1666666666666667</v>
      </c>
      <c r="O3" s="14">
        <v>46</v>
      </c>
      <c r="P3" s="14">
        <v>27006.018913354368</v>
      </c>
      <c r="Q3" s="14">
        <v>0</v>
      </c>
      <c r="R3">
        <v>631.70000000000005</v>
      </c>
      <c r="S3">
        <v>0</v>
      </c>
      <c r="T3">
        <v>29</v>
      </c>
      <c r="U3">
        <v>20</v>
      </c>
      <c r="V3">
        <v>6219.9</v>
      </c>
      <c r="W3">
        <v>5032.3</v>
      </c>
      <c r="X3">
        <v>184.1</v>
      </c>
      <c r="Y3">
        <v>141.19999999999999</v>
      </c>
    </row>
    <row r="4" spans="1:25" x14ac:dyDescent="0.2">
      <c r="A4" s="3">
        <v>38047</v>
      </c>
      <c r="B4" s="14">
        <v>17064060.609999999</v>
      </c>
      <c r="C4" s="14">
        <v>7571899.003032147</v>
      </c>
      <c r="D4" s="14">
        <v>8064</v>
      </c>
      <c r="E4" s="14">
        <v>3176600.6631937693</v>
      </c>
      <c r="F4" s="14">
        <v>962</v>
      </c>
      <c r="G4" s="14">
        <v>7723835.3743923837</v>
      </c>
      <c r="H4" s="14">
        <v>25506.082688898303</v>
      </c>
      <c r="I4" s="14">
        <v>72</v>
      </c>
      <c r="J4" s="14">
        <v>0</v>
      </c>
      <c r="K4" s="14">
        <v>136.16666666666666</v>
      </c>
      <c r="L4" s="14">
        <v>2015</v>
      </c>
      <c r="M4" s="14">
        <v>0</v>
      </c>
      <c r="N4" s="14">
        <v>1.1666666666666667</v>
      </c>
      <c r="O4" s="14">
        <v>46</v>
      </c>
      <c r="P4" s="14">
        <v>21130.952143454375</v>
      </c>
      <c r="Q4" s="14">
        <v>0</v>
      </c>
      <c r="R4">
        <v>487.3</v>
      </c>
      <c r="S4">
        <v>0</v>
      </c>
      <c r="T4">
        <v>31</v>
      </c>
      <c r="U4">
        <v>23</v>
      </c>
      <c r="V4">
        <v>6188.1</v>
      </c>
      <c r="W4">
        <v>5015.7</v>
      </c>
      <c r="X4">
        <v>180.9</v>
      </c>
      <c r="Y4">
        <v>138.5</v>
      </c>
    </row>
    <row r="5" spans="1:25" x14ac:dyDescent="0.2">
      <c r="A5" s="3">
        <v>38078</v>
      </c>
      <c r="B5" s="14">
        <v>14401966.75</v>
      </c>
      <c r="C5" s="14">
        <v>2882536.0685449988</v>
      </c>
      <c r="D5" s="14">
        <v>8064</v>
      </c>
      <c r="E5" s="14">
        <v>1927909.1588162214</v>
      </c>
      <c r="F5" s="14">
        <v>962</v>
      </c>
      <c r="G5" s="14">
        <v>3429643.2440103106</v>
      </c>
      <c r="H5" s="14">
        <v>28683.971832894749</v>
      </c>
      <c r="I5" s="14">
        <v>72</v>
      </c>
      <c r="J5" s="14">
        <v>0</v>
      </c>
      <c r="K5" s="14">
        <v>136.16666666666666</v>
      </c>
      <c r="L5" s="14">
        <v>2015</v>
      </c>
      <c r="M5" s="14">
        <v>0</v>
      </c>
      <c r="N5" s="14">
        <v>1.1666666666666667</v>
      </c>
      <c r="O5" s="14">
        <v>46</v>
      </c>
      <c r="P5" s="14">
        <v>19086.020420660319</v>
      </c>
      <c r="Q5" s="14">
        <v>0</v>
      </c>
      <c r="R5">
        <v>331.5</v>
      </c>
      <c r="S5">
        <v>0</v>
      </c>
      <c r="T5">
        <v>30</v>
      </c>
      <c r="U5">
        <v>20</v>
      </c>
      <c r="V5">
        <v>6202.5</v>
      </c>
      <c r="W5">
        <v>5043.8999999999996</v>
      </c>
      <c r="X5">
        <v>180.5</v>
      </c>
      <c r="Y5">
        <v>138.4</v>
      </c>
    </row>
    <row r="6" spans="1:25" x14ac:dyDescent="0.2">
      <c r="A6" s="3">
        <v>38108</v>
      </c>
      <c r="B6" s="14">
        <v>14038636.800000001</v>
      </c>
      <c r="C6" s="14">
        <v>5653725.5790007887</v>
      </c>
      <c r="D6" s="14">
        <v>8064</v>
      </c>
      <c r="E6" s="14">
        <v>2317523.9745962489</v>
      </c>
      <c r="F6" s="14">
        <v>962</v>
      </c>
      <c r="G6" s="14">
        <v>6325128.7624126542</v>
      </c>
      <c r="H6" s="14">
        <v>24611.213159222767</v>
      </c>
      <c r="I6" s="14">
        <v>72</v>
      </c>
      <c r="J6" s="14">
        <v>0</v>
      </c>
      <c r="K6" s="14">
        <v>136.16666666666666</v>
      </c>
      <c r="L6" s="14">
        <v>2015</v>
      </c>
      <c r="M6" s="14">
        <v>0</v>
      </c>
      <c r="N6" s="14">
        <v>1.1666666666666667</v>
      </c>
      <c r="O6" s="14">
        <v>46</v>
      </c>
      <c r="P6" s="14">
        <v>21812.592246709075</v>
      </c>
      <c r="Q6" s="14">
        <v>0</v>
      </c>
      <c r="R6">
        <v>158.9</v>
      </c>
      <c r="S6">
        <v>8.6</v>
      </c>
      <c r="T6">
        <v>31</v>
      </c>
      <c r="U6">
        <v>20</v>
      </c>
      <c r="V6">
        <v>6249.6</v>
      </c>
      <c r="W6">
        <v>5103.7</v>
      </c>
      <c r="X6">
        <v>181.7</v>
      </c>
      <c r="Y6">
        <v>141.69999999999999</v>
      </c>
    </row>
    <row r="7" spans="1:25" x14ac:dyDescent="0.2">
      <c r="A7" s="3">
        <v>38139</v>
      </c>
      <c r="B7" s="14">
        <v>15205594.380000001</v>
      </c>
      <c r="C7" s="14">
        <v>2780108.2746155672</v>
      </c>
      <c r="D7" s="14">
        <v>8064</v>
      </c>
      <c r="E7" s="14">
        <v>1953537.0730346625</v>
      </c>
      <c r="F7" s="14">
        <v>962</v>
      </c>
      <c r="G7" s="14">
        <v>3413001.3092707037</v>
      </c>
      <c r="H7" s="14">
        <v>31088.31605305327</v>
      </c>
      <c r="I7" s="14">
        <v>72</v>
      </c>
      <c r="J7" s="14">
        <v>0</v>
      </c>
      <c r="K7" s="14">
        <v>136.16666666666666</v>
      </c>
      <c r="L7" s="14">
        <v>2015</v>
      </c>
      <c r="M7" s="14">
        <v>1886.5900400495216</v>
      </c>
      <c r="N7" s="14">
        <v>1.1666666666666667</v>
      </c>
      <c r="O7" s="14">
        <v>46</v>
      </c>
      <c r="P7" s="14">
        <v>20449.306852458798</v>
      </c>
      <c r="Q7" s="14">
        <v>0</v>
      </c>
      <c r="R7">
        <v>44.2</v>
      </c>
      <c r="S7">
        <v>31.6</v>
      </c>
      <c r="T7">
        <v>30</v>
      </c>
      <c r="U7">
        <v>22</v>
      </c>
      <c r="V7">
        <v>6331.5</v>
      </c>
      <c r="W7">
        <v>5208.5</v>
      </c>
      <c r="X7">
        <v>183.9</v>
      </c>
      <c r="Y7">
        <v>145.19999999999999</v>
      </c>
    </row>
    <row r="8" spans="1:25" x14ac:dyDescent="0.2">
      <c r="A8" s="3">
        <v>38169</v>
      </c>
      <c r="B8" s="14">
        <v>16676622.880000001</v>
      </c>
      <c r="C8" s="14">
        <v>5965104.1634576079</v>
      </c>
      <c r="D8" s="14">
        <v>8064</v>
      </c>
      <c r="E8" s="14">
        <v>2155406.8794430844</v>
      </c>
      <c r="F8" s="14">
        <v>962</v>
      </c>
      <c r="G8" s="14">
        <v>4718637.4039322771</v>
      </c>
      <c r="H8" s="14">
        <v>28029.996132767978</v>
      </c>
      <c r="I8" s="14">
        <v>72</v>
      </c>
      <c r="J8" s="14">
        <v>0</v>
      </c>
      <c r="K8" s="14">
        <v>136.16666666666666</v>
      </c>
      <c r="L8" s="14">
        <v>2015</v>
      </c>
      <c r="M8" s="14">
        <v>366.69245630440417</v>
      </c>
      <c r="N8" s="14">
        <v>1.1666666666666667</v>
      </c>
      <c r="O8" s="14">
        <v>46</v>
      </c>
      <c r="P8" s="14">
        <v>19767.664674107727</v>
      </c>
      <c r="Q8" s="14">
        <v>0</v>
      </c>
      <c r="R8">
        <v>3.6</v>
      </c>
      <c r="S8">
        <v>86.4</v>
      </c>
      <c r="T8">
        <v>31</v>
      </c>
      <c r="U8">
        <v>21</v>
      </c>
      <c r="V8">
        <v>6395.3</v>
      </c>
      <c r="W8">
        <v>5296.2</v>
      </c>
      <c r="X8">
        <v>187.8</v>
      </c>
      <c r="Y8">
        <v>152.1</v>
      </c>
    </row>
    <row r="9" spans="1:25" x14ac:dyDescent="0.2">
      <c r="A9" s="3">
        <v>38200</v>
      </c>
      <c r="B9" s="14">
        <v>16320112.43</v>
      </c>
      <c r="C9" s="14">
        <v>5983429.339422008</v>
      </c>
      <c r="D9" s="14">
        <v>8064</v>
      </c>
      <c r="E9" s="14">
        <v>1858532.372948213</v>
      </c>
      <c r="F9" s="14">
        <v>962</v>
      </c>
      <c r="G9" s="14">
        <v>7881710.4710743967</v>
      </c>
      <c r="H9" s="14">
        <v>34092.350695735477</v>
      </c>
      <c r="I9" s="14">
        <v>72</v>
      </c>
      <c r="J9" s="14">
        <v>0</v>
      </c>
      <c r="K9" s="14">
        <v>136.16666666666666</v>
      </c>
      <c r="L9" s="14">
        <v>2015</v>
      </c>
      <c r="M9" s="14">
        <v>304.81138589805437</v>
      </c>
      <c r="N9" s="14">
        <v>1.1666666666666667</v>
      </c>
      <c r="O9" s="14">
        <v>46</v>
      </c>
      <c r="P9" s="14">
        <v>21812.593284257244</v>
      </c>
      <c r="Q9" s="14">
        <v>0</v>
      </c>
      <c r="R9">
        <v>12.8</v>
      </c>
      <c r="S9">
        <v>59.6</v>
      </c>
      <c r="T9">
        <v>31</v>
      </c>
      <c r="U9">
        <v>21</v>
      </c>
      <c r="V9">
        <v>6414.6</v>
      </c>
      <c r="W9">
        <v>5353.6</v>
      </c>
      <c r="X9">
        <v>191</v>
      </c>
      <c r="Y9">
        <v>156.30000000000001</v>
      </c>
    </row>
    <row r="10" spans="1:25" x14ac:dyDescent="0.2">
      <c r="A10" s="3">
        <v>38231</v>
      </c>
      <c r="B10" s="14">
        <v>16029189.970000001</v>
      </c>
      <c r="C10" s="14">
        <v>4463912.0152449002</v>
      </c>
      <c r="D10" s="14">
        <v>8064</v>
      </c>
      <c r="E10" s="14">
        <v>3068249.7941025761</v>
      </c>
      <c r="F10" s="14">
        <v>962</v>
      </c>
      <c r="G10" s="14">
        <v>10167633.415871756</v>
      </c>
      <c r="H10" s="14">
        <v>31492.253011329984</v>
      </c>
      <c r="I10" s="14">
        <v>72</v>
      </c>
      <c r="J10" s="14">
        <v>0</v>
      </c>
      <c r="K10" s="14">
        <v>136.16666666666666</v>
      </c>
      <c r="L10" s="14">
        <v>2015</v>
      </c>
      <c r="M10" s="14">
        <v>307.00914191918105</v>
      </c>
      <c r="N10" s="14">
        <v>1.1666666666666667</v>
      </c>
      <c r="O10" s="14">
        <v>46</v>
      </c>
      <c r="P10" s="14">
        <v>42261.904286908779</v>
      </c>
      <c r="Q10" s="14">
        <v>0</v>
      </c>
      <c r="R10">
        <v>30</v>
      </c>
      <c r="S10">
        <v>41.2</v>
      </c>
      <c r="T10">
        <v>30</v>
      </c>
      <c r="U10">
        <v>21</v>
      </c>
      <c r="V10">
        <v>6372.4</v>
      </c>
      <c r="W10">
        <v>5304.4</v>
      </c>
      <c r="X10">
        <v>193.2</v>
      </c>
      <c r="Y10">
        <v>156.19999999999999</v>
      </c>
    </row>
    <row r="11" spans="1:25" x14ac:dyDescent="0.2">
      <c r="A11" s="3">
        <v>38261</v>
      </c>
      <c r="B11" s="14">
        <v>14866049.109999999</v>
      </c>
      <c r="C11" s="14">
        <v>6435461.0678750947</v>
      </c>
      <c r="D11" s="14">
        <v>8064</v>
      </c>
      <c r="E11" s="14">
        <v>1878671.178981977</v>
      </c>
      <c r="F11" s="14">
        <v>962</v>
      </c>
      <c r="G11" s="14">
        <v>10136363.703728197</v>
      </c>
      <c r="H11" s="14">
        <v>30001.433767890459</v>
      </c>
      <c r="I11" s="14">
        <v>72</v>
      </c>
      <c r="J11" s="14">
        <v>0</v>
      </c>
      <c r="K11" s="14">
        <v>136.16666666666666</v>
      </c>
      <c r="L11" s="14">
        <v>2015</v>
      </c>
      <c r="M11" s="14">
        <v>349.90100373517572</v>
      </c>
      <c r="N11" s="14">
        <v>1.1666666666666667</v>
      </c>
      <c r="O11" s="14">
        <v>46</v>
      </c>
      <c r="P11" s="14">
        <v>0</v>
      </c>
      <c r="Q11" s="14">
        <v>0</v>
      </c>
      <c r="R11">
        <v>226.3</v>
      </c>
      <c r="S11">
        <v>1.5</v>
      </c>
      <c r="T11">
        <v>31</v>
      </c>
      <c r="U11">
        <v>20</v>
      </c>
      <c r="V11">
        <v>6349.1</v>
      </c>
      <c r="W11">
        <v>5229.2</v>
      </c>
      <c r="X11">
        <v>195.3</v>
      </c>
      <c r="Y11">
        <v>152.4</v>
      </c>
    </row>
    <row r="12" spans="1:25" x14ac:dyDescent="0.2">
      <c r="A12" s="3">
        <v>38292</v>
      </c>
      <c r="B12" s="14">
        <v>15431797.710000001</v>
      </c>
      <c r="C12" s="14">
        <v>3860840.2479603286</v>
      </c>
      <c r="D12" s="14">
        <v>8064</v>
      </c>
      <c r="E12" s="14">
        <v>2105477.7036868418</v>
      </c>
      <c r="F12" s="14">
        <v>962</v>
      </c>
      <c r="G12" s="14">
        <v>7519772.2495611794</v>
      </c>
      <c r="H12" s="14">
        <v>28391.966423407295</v>
      </c>
      <c r="I12" s="14">
        <v>72</v>
      </c>
      <c r="J12" s="14">
        <v>0</v>
      </c>
      <c r="K12" s="14">
        <v>136.16666666666666</v>
      </c>
      <c r="L12" s="14">
        <v>2015</v>
      </c>
      <c r="M12" s="14">
        <v>272.97935798572365</v>
      </c>
      <c r="N12" s="14">
        <v>1.1666666666666667</v>
      </c>
      <c r="O12" s="14">
        <v>46</v>
      </c>
      <c r="P12" s="14">
        <v>20449.306852458765</v>
      </c>
      <c r="Q12" s="14">
        <v>0</v>
      </c>
      <c r="R12">
        <v>379.1</v>
      </c>
      <c r="S12">
        <v>0</v>
      </c>
      <c r="T12">
        <v>30</v>
      </c>
      <c r="U12">
        <v>22</v>
      </c>
      <c r="V12">
        <v>6328.9</v>
      </c>
      <c r="W12">
        <v>5143.7</v>
      </c>
      <c r="X12">
        <v>196.6</v>
      </c>
      <c r="Y12">
        <v>149.6</v>
      </c>
    </row>
    <row r="13" spans="1:25" x14ac:dyDescent="0.2">
      <c r="A13" s="3">
        <v>38322</v>
      </c>
      <c r="B13" s="14">
        <v>16927176.960000001</v>
      </c>
      <c r="C13" s="14">
        <v>2697545.3781504333</v>
      </c>
      <c r="D13" s="14">
        <v>8064</v>
      </c>
      <c r="E13" s="14">
        <v>2115231.2562866099</v>
      </c>
      <c r="F13" s="14">
        <v>962</v>
      </c>
      <c r="G13" s="14">
        <v>8483832.8688157294</v>
      </c>
      <c r="H13" s="14">
        <v>27669.418305525294</v>
      </c>
      <c r="I13" s="14">
        <v>72</v>
      </c>
      <c r="J13" s="14">
        <v>159098.85400789586</v>
      </c>
      <c r="K13" s="14">
        <v>136.16666666666666</v>
      </c>
      <c r="L13" s="14">
        <v>2015</v>
      </c>
      <c r="M13" s="14">
        <v>1090.9550157384697</v>
      </c>
      <c r="N13" s="14">
        <v>1.1666666666666667</v>
      </c>
      <c r="O13" s="14">
        <v>46</v>
      </c>
      <c r="P13" s="14">
        <v>0</v>
      </c>
      <c r="Q13" s="14">
        <v>0</v>
      </c>
      <c r="R13">
        <v>643.4</v>
      </c>
      <c r="S13">
        <v>0</v>
      </c>
      <c r="T13">
        <v>31</v>
      </c>
      <c r="U13">
        <v>21</v>
      </c>
      <c r="V13">
        <v>6338.8</v>
      </c>
      <c r="W13">
        <v>5114.1000000000004</v>
      </c>
      <c r="X13">
        <v>197.7</v>
      </c>
      <c r="Y13">
        <v>151</v>
      </c>
    </row>
    <row r="14" spans="1:25" x14ac:dyDescent="0.2">
      <c r="A14" s="3">
        <v>38353</v>
      </c>
      <c r="B14" s="14">
        <v>18055792.739999998</v>
      </c>
      <c r="C14" s="14">
        <v>9013840.7673266288</v>
      </c>
      <c r="D14" s="14">
        <v>8098</v>
      </c>
      <c r="E14" s="14">
        <v>2860788.557717537</v>
      </c>
      <c r="F14" s="14">
        <v>968</v>
      </c>
      <c r="G14" s="14">
        <v>7268300.5390229737</v>
      </c>
      <c r="H14" s="14">
        <v>32369.30974555622</v>
      </c>
      <c r="I14" s="14">
        <v>69</v>
      </c>
      <c r="J14" s="14">
        <v>156264.87573987199</v>
      </c>
      <c r="K14" s="14">
        <v>444.33333333333331</v>
      </c>
      <c r="L14" s="14">
        <v>2009</v>
      </c>
      <c r="M14" s="14">
        <v>1697.8801558974731</v>
      </c>
      <c r="N14" s="14">
        <v>4.083333333333333</v>
      </c>
      <c r="O14" s="14">
        <v>44</v>
      </c>
      <c r="P14" s="14">
        <f t="shared" ref="P14:P25" si="0">E14*$P$39</f>
        <v>0</v>
      </c>
      <c r="Q14" s="14">
        <v>0</v>
      </c>
      <c r="R14">
        <v>770</v>
      </c>
      <c r="S14">
        <v>0</v>
      </c>
      <c r="T14">
        <v>31</v>
      </c>
      <c r="U14">
        <v>20</v>
      </c>
      <c r="V14">
        <v>6289.1</v>
      </c>
      <c r="W14">
        <v>5057.8</v>
      </c>
      <c r="X14">
        <v>196.3</v>
      </c>
      <c r="Y14">
        <v>151</v>
      </c>
    </row>
    <row r="15" spans="1:25" x14ac:dyDescent="0.2">
      <c r="A15" s="3">
        <v>38384</v>
      </c>
      <c r="B15" s="14">
        <v>16032188.140000001</v>
      </c>
      <c r="C15" s="14">
        <v>5668363.5069699809</v>
      </c>
      <c r="D15" s="14">
        <v>8098</v>
      </c>
      <c r="E15" s="14">
        <v>2702766.630207703</v>
      </c>
      <c r="F15" s="14">
        <v>968</v>
      </c>
      <c r="G15" s="14">
        <v>9110027.6086321305</v>
      </c>
      <c r="H15" s="14">
        <v>29360.392461604319</v>
      </c>
      <c r="I15" s="14">
        <v>69</v>
      </c>
      <c r="J15" s="14">
        <v>156264.87573987199</v>
      </c>
      <c r="K15" s="14">
        <v>444.33333333333331</v>
      </c>
      <c r="L15" s="14">
        <v>2009</v>
      </c>
      <c r="M15" s="14">
        <v>912.39670306488836</v>
      </c>
      <c r="N15" s="14">
        <v>4.083333333333333</v>
      </c>
      <c r="O15" s="14">
        <v>44</v>
      </c>
      <c r="P15" s="14">
        <f t="shared" si="0"/>
        <v>0</v>
      </c>
      <c r="Q15" s="14">
        <v>0</v>
      </c>
      <c r="R15">
        <v>616.4</v>
      </c>
      <c r="S15">
        <v>0</v>
      </c>
      <c r="T15">
        <v>28</v>
      </c>
      <c r="U15">
        <v>20</v>
      </c>
      <c r="V15">
        <v>6256</v>
      </c>
      <c r="W15">
        <v>5025.8999999999996</v>
      </c>
      <c r="X15">
        <v>195.5</v>
      </c>
      <c r="Y15">
        <v>149</v>
      </c>
    </row>
    <row r="16" spans="1:25" x14ac:dyDescent="0.2">
      <c r="A16" s="3">
        <v>38412</v>
      </c>
      <c r="B16" s="14">
        <v>16652482.15</v>
      </c>
      <c r="C16" s="14">
        <v>4939962.9102252517</v>
      </c>
      <c r="D16" s="14">
        <v>8098</v>
      </c>
      <c r="E16" s="14">
        <v>2183269.372537815</v>
      </c>
      <c r="F16" s="14">
        <v>968</v>
      </c>
      <c r="G16" s="14">
        <v>8132002.7315246081</v>
      </c>
      <c r="H16" s="14">
        <v>26908.705582325856</v>
      </c>
      <c r="I16" s="14">
        <v>69</v>
      </c>
      <c r="J16" s="14">
        <v>146183.26544527034</v>
      </c>
      <c r="K16" s="14">
        <v>444.33333333333331</v>
      </c>
      <c r="L16" s="14">
        <v>2009</v>
      </c>
      <c r="M16" s="14">
        <v>1179.4776450799052</v>
      </c>
      <c r="N16" s="14">
        <v>4.083333333333333</v>
      </c>
      <c r="O16" s="14">
        <v>44</v>
      </c>
      <c r="P16" s="14">
        <f t="shared" si="0"/>
        <v>0</v>
      </c>
      <c r="Q16" s="14">
        <v>0</v>
      </c>
      <c r="R16">
        <v>608.6</v>
      </c>
      <c r="S16">
        <v>0</v>
      </c>
      <c r="T16">
        <v>31</v>
      </c>
      <c r="U16">
        <v>21</v>
      </c>
      <c r="V16">
        <v>6226.8</v>
      </c>
      <c r="W16">
        <v>4993.7</v>
      </c>
      <c r="X16">
        <v>192.9</v>
      </c>
      <c r="Y16">
        <v>145.4</v>
      </c>
    </row>
    <row r="17" spans="1:25" x14ac:dyDescent="0.2">
      <c r="A17" s="3">
        <v>38443</v>
      </c>
      <c r="B17" s="14">
        <v>14277803.939999999</v>
      </c>
      <c r="C17" s="14">
        <v>5922731.4277032781</v>
      </c>
      <c r="D17" s="14">
        <v>8098</v>
      </c>
      <c r="E17" s="14">
        <v>2414003.0559389587</v>
      </c>
      <c r="F17" s="14">
        <v>968</v>
      </c>
      <c r="G17" s="14">
        <v>9889466.2668867446</v>
      </c>
      <c r="H17" s="14">
        <v>32989.985749628351</v>
      </c>
      <c r="I17" s="14">
        <v>69</v>
      </c>
      <c r="J17" s="14">
        <v>141142.47509087302</v>
      </c>
      <c r="K17" s="14">
        <v>444.33333333333331</v>
      </c>
      <c r="L17" s="14">
        <v>2009</v>
      </c>
      <c r="M17" s="14">
        <v>1488.4619517881426</v>
      </c>
      <c r="N17" s="14">
        <v>4.083333333333333</v>
      </c>
      <c r="O17" s="14">
        <v>44</v>
      </c>
      <c r="P17" s="14">
        <f t="shared" si="0"/>
        <v>0</v>
      </c>
      <c r="Q17" s="14">
        <v>0</v>
      </c>
      <c r="R17">
        <v>306.8</v>
      </c>
      <c r="S17">
        <v>0</v>
      </c>
      <c r="T17">
        <v>30</v>
      </c>
      <c r="U17">
        <v>21</v>
      </c>
      <c r="V17">
        <v>6256.2</v>
      </c>
      <c r="W17">
        <v>5043</v>
      </c>
      <c r="X17">
        <v>191.5</v>
      </c>
      <c r="Y17">
        <v>145.19999999999999</v>
      </c>
    </row>
    <row r="18" spans="1:25" x14ac:dyDescent="0.2">
      <c r="A18" s="3">
        <v>38473</v>
      </c>
      <c r="B18" s="14">
        <v>13979431.6</v>
      </c>
      <c r="C18" s="14">
        <v>4666556.5226667589</v>
      </c>
      <c r="D18" s="14">
        <v>8098</v>
      </c>
      <c r="E18" s="14">
        <v>2649427.9664810593</v>
      </c>
      <c r="F18" s="14">
        <v>968</v>
      </c>
      <c r="G18" s="14">
        <v>8090260.5897558406</v>
      </c>
      <c r="H18" s="14">
        <v>27885.392653276947</v>
      </c>
      <c r="I18" s="14">
        <v>69</v>
      </c>
      <c r="J18" s="14">
        <v>166346.47617253792</v>
      </c>
      <c r="K18" s="14">
        <v>444.33333333333331</v>
      </c>
      <c r="L18" s="14">
        <v>2009</v>
      </c>
      <c r="M18" s="14">
        <v>1277.5545953915271</v>
      </c>
      <c r="N18" s="14">
        <v>4.083333333333333</v>
      </c>
      <c r="O18" s="14">
        <v>44</v>
      </c>
      <c r="P18" s="14">
        <f t="shared" si="0"/>
        <v>0</v>
      </c>
      <c r="Q18" s="14">
        <v>0</v>
      </c>
      <c r="R18">
        <v>189.4</v>
      </c>
      <c r="S18">
        <v>0.8</v>
      </c>
      <c r="T18">
        <v>31</v>
      </c>
      <c r="U18">
        <v>21</v>
      </c>
      <c r="V18">
        <v>6320.6</v>
      </c>
      <c r="W18">
        <v>5122.1000000000004</v>
      </c>
      <c r="X18">
        <v>191.9</v>
      </c>
      <c r="Y18">
        <v>148.69999999999999</v>
      </c>
    </row>
    <row r="19" spans="1:25" x14ac:dyDescent="0.2">
      <c r="A19" s="3">
        <v>38504</v>
      </c>
      <c r="B19" s="14">
        <v>16142820.289999999</v>
      </c>
      <c r="C19" s="14">
        <v>3783942.8653475824</v>
      </c>
      <c r="D19" s="14">
        <v>8098</v>
      </c>
      <c r="E19" s="14">
        <v>599638.51562427485</v>
      </c>
      <c r="F19" s="14">
        <v>968</v>
      </c>
      <c r="G19" s="14">
        <v>7429523.7001633653</v>
      </c>
      <c r="H19" s="14">
        <v>33916.048481650956</v>
      </c>
      <c r="I19" s="14">
        <v>69</v>
      </c>
      <c r="J19" s="14">
        <v>151224.07552353901</v>
      </c>
      <c r="K19" s="14">
        <v>444.33333333333331</v>
      </c>
      <c r="L19" s="14">
        <v>2009</v>
      </c>
      <c r="M19" s="14">
        <v>803.56038092923643</v>
      </c>
      <c r="N19" s="14">
        <v>4.083333333333333</v>
      </c>
      <c r="O19" s="14">
        <v>44</v>
      </c>
      <c r="P19" s="14">
        <f t="shared" si="0"/>
        <v>0</v>
      </c>
      <c r="Q19" s="14">
        <v>0</v>
      </c>
      <c r="R19">
        <v>8.9</v>
      </c>
      <c r="S19">
        <v>146.30000000000001</v>
      </c>
      <c r="T19">
        <v>30</v>
      </c>
      <c r="U19">
        <v>22</v>
      </c>
      <c r="V19">
        <v>6402.7</v>
      </c>
      <c r="W19">
        <v>5236.3</v>
      </c>
      <c r="X19">
        <v>195.8</v>
      </c>
      <c r="Y19">
        <v>154.9</v>
      </c>
    </row>
    <row r="20" spans="1:25" x14ac:dyDescent="0.2">
      <c r="A20" s="3">
        <v>38534</v>
      </c>
      <c r="B20" s="14">
        <v>18860156.550000001</v>
      </c>
      <c r="C20" s="14">
        <v>5572557.7604448618</v>
      </c>
      <c r="D20" s="14">
        <v>8098</v>
      </c>
      <c r="E20" s="14">
        <v>2188347.3492930708</v>
      </c>
      <c r="F20" s="14">
        <v>968</v>
      </c>
      <c r="G20" s="14">
        <v>8697386.1626859978</v>
      </c>
      <c r="H20" s="14">
        <v>29013.290724526141</v>
      </c>
      <c r="I20" s="14">
        <v>69</v>
      </c>
      <c r="J20" s="14">
        <v>156264.87573987199</v>
      </c>
      <c r="K20" s="14">
        <v>444.33333333333331</v>
      </c>
      <c r="L20" s="14">
        <v>2009</v>
      </c>
      <c r="M20" s="14">
        <v>1749.7835233675651</v>
      </c>
      <c r="N20" s="14">
        <v>4.083333333333333</v>
      </c>
      <c r="O20" s="14">
        <v>44</v>
      </c>
      <c r="P20" s="14">
        <f t="shared" si="0"/>
        <v>0</v>
      </c>
      <c r="Q20" s="14">
        <v>0</v>
      </c>
      <c r="R20">
        <v>0</v>
      </c>
      <c r="S20">
        <v>188.7</v>
      </c>
      <c r="T20">
        <v>31</v>
      </c>
      <c r="U20">
        <v>20</v>
      </c>
      <c r="V20">
        <v>6460</v>
      </c>
      <c r="W20">
        <v>5342</v>
      </c>
      <c r="X20">
        <v>199.2</v>
      </c>
      <c r="Y20">
        <v>160.5</v>
      </c>
    </row>
    <row r="21" spans="1:25" x14ac:dyDescent="0.2">
      <c r="A21" s="3">
        <v>38565</v>
      </c>
      <c r="B21" s="14">
        <v>18695123.489999998</v>
      </c>
      <c r="C21" s="14">
        <v>6247799.5653077671</v>
      </c>
      <c r="D21" s="14">
        <v>8098</v>
      </c>
      <c r="E21" s="14">
        <v>2604843.3722464521</v>
      </c>
      <c r="F21" s="14">
        <v>968</v>
      </c>
      <c r="G21" s="14">
        <v>7934577.8443551352</v>
      </c>
      <c r="H21" s="14">
        <v>35978.571371976781</v>
      </c>
      <c r="I21" s="14">
        <v>69</v>
      </c>
      <c r="J21" s="14">
        <v>151224.07552353901</v>
      </c>
      <c r="K21" s="14">
        <v>444.33333333333331</v>
      </c>
      <c r="L21" s="14">
        <v>2009</v>
      </c>
      <c r="M21" s="14">
        <v>810.79904171643921</v>
      </c>
      <c r="N21" s="14">
        <v>4.083333333333333</v>
      </c>
      <c r="O21" s="14">
        <v>44</v>
      </c>
      <c r="P21" s="14">
        <f t="shared" si="0"/>
        <v>0</v>
      </c>
      <c r="Q21" s="14">
        <v>0</v>
      </c>
      <c r="R21">
        <v>0.2</v>
      </c>
      <c r="S21">
        <v>140.69999999999999</v>
      </c>
      <c r="T21">
        <v>31</v>
      </c>
      <c r="U21">
        <v>22</v>
      </c>
      <c r="V21">
        <v>6475</v>
      </c>
      <c r="W21">
        <v>5416.4</v>
      </c>
      <c r="X21">
        <v>199.1</v>
      </c>
      <c r="Y21">
        <v>163.69999999999999</v>
      </c>
    </row>
    <row r="22" spans="1:25" x14ac:dyDescent="0.2">
      <c r="A22" s="3">
        <v>38596</v>
      </c>
      <c r="B22" s="14">
        <v>15939559.98</v>
      </c>
      <c r="C22" s="14">
        <v>7854992.319296685</v>
      </c>
      <c r="D22" s="14">
        <v>8098</v>
      </c>
      <c r="E22" s="14">
        <v>2500897.1412123051</v>
      </c>
      <c r="F22" s="14">
        <v>968</v>
      </c>
      <c r="G22" s="14">
        <v>8319813.1091209045</v>
      </c>
      <c r="H22" s="14">
        <v>34698.57487147933</v>
      </c>
      <c r="I22" s="14">
        <v>69</v>
      </c>
      <c r="J22" s="14">
        <v>151224.07552353901</v>
      </c>
      <c r="K22" s="14">
        <v>444.33333333333331</v>
      </c>
      <c r="L22" s="14">
        <v>2009</v>
      </c>
      <c r="M22" s="14">
        <v>1662.4856687513281</v>
      </c>
      <c r="N22" s="14">
        <v>4.083333333333333</v>
      </c>
      <c r="O22" s="14">
        <v>44</v>
      </c>
      <c r="P22" s="14">
        <f t="shared" si="0"/>
        <v>0</v>
      </c>
      <c r="Q22" s="14">
        <v>0</v>
      </c>
      <c r="R22">
        <v>22.6</v>
      </c>
      <c r="S22">
        <v>52.1</v>
      </c>
      <c r="T22">
        <v>30</v>
      </c>
      <c r="U22">
        <v>21</v>
      </c>
      <c r="V22">
        <v>6443.2</v>
      </c>
      <c r="W22">
        <v>5396</v>
      </c>
      <c r="X22">
        <v>197.5</v>
      </c>
      <c r="Y22">
        <v>161.69999999999999</v>
      </c>
    </row>
    <row r="23" spans="1:25" x14ac:dyDescent="0.2">
      <c r="A23" s="3">
        <v>38626</v>
      </c>
      <c r="B23" s="14">
        <v>14873518.289999999</v>
      </c>
      <c r="C23" s="14">
        <v>5348568.546372191</v>
      </c>
      <c r="D23" s="14">
        <v>8098</v>
      </c>
      <c r="E23" s="14">
        <v>2556882.2711570724</v>
      </c>
      <c r="F23" s="14">
        <v>968</v>
      </c>
      <c r="G23" s="14">
        <v>9390369.0770118684</v>
      </c>
      <c r="H23" s="14">
        <v>33665.472771837471</v>
      </c>
      <c r="I23" s="14">
        <v>69</v>
      </c>
      <c r="J23" s="14">
        <v>161305.67595620494</v>
      </c>
      <c r="K23" s="14">
        <v>444.33333333333331</v>
      </c>
      <c r="L23" s="14">
        <v>2009</v>
      </c>
      <c r="M23" s="14">
        <v>1463.2055345183526</v>
      </c>
      <c r="N23" s="14">
        <v>4.083333333333333</v>
      </c>
      <c r="O23" s="14">
        <v>44</v>
      </c>
      <c r="P23" s="14">
        <f t="shared" si="0"/>
        <v>0</v>
      </c>
      <c r="Q23" s="14">
        <v>0</v>
      </c>
      <c r="R23">
        <v>220.2</v>
      </c>
      <c r="S23">
        <v>7.6</v>
      </c>
      <c r="T23">
        <v>31</v>
      </c>
      <c r="U23">
        <v>20</v>
      </c>
      <c r="V23">
        <v>6433.9</v>
      </c>
      <c r="W23">
        <v>5335.3</v>
      </c>
      <c r="X23">
        <v>195</v>
      </c>
      <c r="Y23">
        <v>158.30000000000001</v>
      </c>
    </row>
    <row r="24" spans="1:25" x14ac:dyDescent="0.2">
      <c r="A24" s="3">
        <v>38657</v>
      </c>
      <c r="B24" s="14">
        <v>15303248.27</v>
      </c>
      <c r="C24" s="14">
        <v>5348442.3135955203</v>
      </c>
      <c r="D24" s="14">
        <v>8098</v>
      </c>
      <c r="E24" s="14">
        <v>2160049.0189497839</v>
      </c>
      <c r="F24" s="14">
        <v>968</v>
      </c>
      <c r="G24" s="14">
        <v>8014298.7343426915</v>
      </c>
      <c r="H24" s="14">
        <v>30880.528791511322</v>
      </c>
      <c r="I24" s="14">
        <v>69</v>
      </c>
      <c r="J24" s="14">
        <v>151224.07552353901</v>
      </c>
      <c r="K24" s="14">
        <v>444.33333333333331</v>
      </c>
      <c r="L24" s="14">
        <v>2009</v>
      </c>
      <c r="M24" s="14">
        <v>1257.0417691825603</v>
      </c>
      <c r="N24" s="14">
        <v>4.083333333333333</v>
      </c>
      <c r="O24" s="14">
        <v>44</v>
      </c>
      <c r="P24" s="14">
        <f t="shared" si="0"/>
        <v>0</v>
      </c>
      <c r="Q24" s="14">
        <v>0</v>
      </c>
      <c r="R24">
        <v>388.4</v>
      </c>
      <c r="S24">
        <v>0</v>
      </c>
      <c r="T24">
        <v>30</v>
      </c>
      <c r="U24">
        <v>22</v>
      </c>
      <c r="V24">
        <v>6413</v>
      </c>
      <c r="W24">
        <v>5247.1</v>
      </c>
      <c r="X24">
        <v>193.2</v>
      </c>
      <c r="Y24">
        <v>153.1</v>
      </c>
    </row>
    <row r="25" spans="1:25" x14ac:dyDescent="0.2">
      <c r="A25" s="3">
        <v>38687</v>
      </c>
      <c r="B25" s="14">
        <v>17147462.260000002</v>
      </c>
      <c r="C25" s="14">
        <v>5043400.8087711018</v>
      </c>
      <c r="D25" s="14">
        <v>8098</v>
      </c>
      <c r="E25" s="14">
        <v>2528726.6844431674</v>
      </c>
      <c r="F25" s="14">
        <v>968</v>
      </c>
      <c r="G25" s="14">
        <v>9904910.245534312</v>
      </c>
      <c r="H25" s="14">
        <v>30998.726794626324</v>
      </c>
      <c r="I25" s="14">
        <v>69</v>
      </c>
      <c r="J25" s="14">
        <v>146183.26544527034</v>
      </c>
      <c r="K25" s="14">
        <v>444.33333333333331</v>
      </c>
      <c r="L25" s="14">
        <v>2009</v>
      </c>
      <c r="M25" s="14">
        <v>1517.4067330012763</v>
      </c>
      <c r="N25" s="14">
        <v>4.083333333333333</v>
      </c>
      <c r="O25" s="14">
        <v>44</v>
      </c>
      <c r="P25" s="14">
        <f t="shared" si="0"/>
        <v>0</v>
      </c>
      <c r="Q25" s="14">
        <v>0</v>
      </c>
      <c r="R25">
        <v>665.3</v>
      </c>
      <c r="S25">
        <v>0</v>
      </c>
      <c r="T25">
        <v>31</v>
      </c>
      <c r="U25">
        <v>20</v>
      </c>
      <c r="V25">
        <v>6411.6</v>
      </c>
      <c r="W25">
        <v>5224.1000000000004</v>
      </c>
      <c r="X25">
        <v>190.4</v>
      </c>
      <c r="Y25">
        <v>149.30000000000001</v>
      </c>
    </row>
    <row r="26" spans="1:25" x14ac:dyDescent="0.2">
      <c r="A26" s="3">
        <v>38718</v>
      </c>
      <c r="B26" s="14">
        <v>17089859.359999999</v>
      </c>
      <c r="C26" s="14">
        <v>5591949.6924101897</v>
      </c>
      <c r="D26" s="14">
        <v>8115</v>
      </c>
      <c r="E26" s="14">
        <v>2073408.3451608452</v>
      </c>
      <c r="F26" s="14">
        <v>937</v>
      </c>
      <c r="G26" s="14">
        <v>7374161.0423902292</v>
      </c>
      <c r="H26" s="14">
        <v>32670.563098637569</v>
      </c>
      <c r="I26" s="14">
        <v>74</v>
      </c>
      <c r="J26" s="14">
        <v>171086.48049529945</v>
      </c>
      <c r="K26" s="14">
        <v>457.5</v>
      </c>
      <c r="L26" s="14">
        <v>2006</v>
      </c>
      <c r="M26" s="14">
        <v>909.54202008675156</v>
      </c>
      <c r="N26" s="14">
        <v>3.6666666666666665</v>
      </c>
      <c r="O26" s="14">
        <v>42</v>
      </c>
      <c r="P26" s="14">
        <v>0</v>
      </c>
      <c r="Q26" s="14">
        <v>19</v>
      </c>
      <c r="R26">
        <v>551.79999999999995</v>
      </c>
      <c r="S26">
        <v>0</v>
      </c>
      <c r="T26">
        <v>31</v>
      </c>
      <c r="U26">
        <v>21</v>
      </c>
      <c r="V26">
        <v>6366.5</v>
      </c>
      <c r="W26">
        <v>5175.3</v>
      </c>
      <c r="X26">
        <v>186.2</v>
      </c>
      <c r="Y26">
        <v>143.6</v>
      </c>
    </row>
    <row r="27" spans="1:25" x14ac:dyDescent="0.2">
      <c r="A27" s="3">
        <v>38749</v>
      </c>
      <c r="B27" s="14">
        <v>16186118.24</v>
      </c>
      <c r="C27" s="14">
        <v>5768844.6585547598</v>
      </c>
      <c r="D27" s="14">
        <v>8115</v>
      </c>
      <c r="E27" s="14">
        <v>2714131.6601324603</v>
      </c>
      <c r="F27" s="14">
        <v>937</v>
      </c>
      <c r="G27" s="14">
        <v>7897146.9299063068</v>
      </c>
      <c r="H27" s="14">
        <v>31161.481756661473</v>
      </c>
      <c r="I27" s="14">
        <v>74</v>
      </c>
      <c r="J27" s="14">
        <v>165740.03026792803</v>
      </c>
      <c r="K27" s="14">
        <v>457.5</v>
      </c>
      <c r="L27" s="14">
        <v>2006</v>
      </c>
      <c r="M27" s="14">
        <v>1045.6778304648676</v>
      </c>
      <c r="N27" s="14">
        <v>3.6666666666666665</v>
      </c>
      <c r="O27" s="14">
        <v>42</v>
      </c>
      <c r="P27" s="14">
        <v>0</v>
      </c>
      <c r="Q27" s="14">
        <v>19</v>
      </c>
      <c r="R27">
        <v>604.29999999999995</v>
      </c>
      <c r="S27">
        <v>0</v>
      </c>
      <c r="T27">
        <v>28</v>
      </c>
      <c r="U27">
        <v>20</v>
      </c>
      <c r="V27">
        <v>6324.8</v>
      </c>
      <c r="W27">
        <v>5136.2</v>
      </c>
      <c r="X27">
        <v>182</v>
      </c>
      <c r="Y27">
        <v>139.30000000000001</v>
      </c>
    </row>
    <row r="28" spans="1:25" x14ac:dyDescent="0.2">
      <c r="A28" s="3">
        <v>38777</v>
      </c>
      <c r="B28" s="14">
        <v>17144840.800000001</v>
      </c>
      <c r="C28" s="14">
        <v>5636660.6045470517</v>
      </c>
      <c r="D28" s="14">
        <v>8115</v>
      </c>
      <c r="E28" s="14">
        <v>2594548.0386257358</v>
      </c>
      <c r="F28" s="14">
        <v>937</v>
      </c>
      <c r="G28" s="14">
        <v>9260831.2144688703</v>
      </c>
      <c r="H28" s="14">
        <v>29822.177965429899</v>
      </c>
      <c r="I28" s="14">
        <v>74</v>
      </c>
      <c r="J28" s="14">
        <v>165740.03026792803</v>
      </c>
      <c r="K28" s="14">
        <v>457.5</v>
      </c>
      <c r="L28" s="14">
        <v>2006</v>
      </c>
      <c r="M28" s="14">
        <v>1284.6346178707884</v>
      </c>
      <c r="N28" s="14">
        <v>3.6666666666666665</v>
      </c>
      <c r="O28" s="14">
        <v>42</v>
      </c>
      <c r="P28" s="14">
        <v>0</v>
      </c>
      <c r="Q28" s="14">
        <v>19</v>
      </c>
      <c r="R28">
        <v>516.6</v>
      </c>
      <c r="S28">
        <v>0</v>
      </c>
      <c r="T28">
        <v>31</v>
      </c>
      <c r="U28">
        <v>23</v>
      </c>
      <c r="V28">
        <v>6302.7</v>
      </c>
      <c r="W28">
        <v>5107.1000000000004</v>
      </c>
      <c r="X28">
        <v>180.5</v>
      </c>
      <c r="Y28">
        <v>139.6</v>
      </c>
    </row>
    <row r="29" spans="1:25" x14ac:dyDescent="0.2">
      <c r="A29" s="3">
        <v>38808</v>
      </c>
      <c r="B29" s="14">
        <v>14064988.949999999</v>
      </c>
      <c r="C29" s="14">
        <v>4962459.3788083857</v>
      </c>
      <c r="D29" s="14">
        <v>8115</v>
      </c>
      <c r="E29" s="14">
        <v>2243092.9207328977</v>
      </c>
      <c r="F29" s="14">
        <v>937</v>
      </c>
      <c r="G29" s="14">
        <v>9661912.5830005333</v>
      </c>
      <c r="H29" s="14">
        <v>28967.029969885367</v>
      </c>
      <c r="I29" s="14">
        <v>74</v>
      </c>
      <c r="J29" s="14">
        <v>149700.66912589749</v>
      </c>
      <c r="K29" s="14">
        <v>457.5</v>
      </c>
      <c r="L29" s="14">
        <v>2006</v>
      </c>
      <c r="M29" s="14">
        <v>1193.4973673272211</v>
      </c>
      <c r="N29" s="14">
        <v>3.6666666666666665</v>
      </c>
      <c r="O29" s="14">
        <v>42</v>
      </c>
      <c r="P29" s="14">
        <v>0</v>
      </c>
      <c r="Q29" s="14">
        <v>19</v>
      </c>
      <c r="R29">
        <v>293.3</v>
      </c>
      <c r="S29">
        <v>0</v>
      </c>
      <c r="T29">
        <v>30</v>
      </c>
      <c r="U29">
        <v>18</v>
      </c>
      <c r="V29">
        <v>6327.5</v>
      </c>
      <c r="W29">
        <v>5137.7</v>
      </c>
      <c r="X29">
        <v>182.9</v>
      </c>
      <c r="Y29">
        <v>143</v>
      </c>
    </row>
    <row r="30" spans="1:25" x14ac:dyDescent="0.2">
      <c r="A30" s="3">
        <v>38838</v>
      </c>
      <c r="B30" s="14">
        <v>14721321.369999999</v>
      </c>
      <c r="C30" s="14">
        <v>5347806.878512877</v>
      </c>
      <c r="D30" s="14">
        <v>8115</v>
      </c>
      <c r="E30" s="14">
        <v>2528314.4586208621</v>
      </c>
      <c r="F30" s="14">
        <v>937</v>
      </c>
      <c r="G30" s="14">
        <v>7588551.9005401973</v>
      </c>
      <c r="H30" s="14">
        <v>25521.410505613381</v>
      </c>
      <c r="I30" s="14">
        <v>74</v>
      </c>
      <c r="J30" s="14">
        <v>165740.03026792803</v>
      </c>
      <c r="K30" s="14">
        <v>457.5</v>
      </c>
      <c r="L30" s="14">
        <v>2006</v>
      </c>
      <c r="M30" s="14">
        <v>1339.7897564127634</v>
      </c>
      <c r="N30" s="14">
        <v>3.6666666666666665</v>
      </c>
      <c r="O30" s="14">
        <v>42</v>
      </c>
      <c r="P30" s="14">
        <v>0</v>
      </c>
      <c r="Q30" s="14">
        <v>19</v>
      </c>
      <c r="R30">
        <v>136.9</v>
      </c>
      <c r="S30">
        <v>26</v>
      </c>
      <c r="T30">
        <v>31</v>
      </c>
      <c r="U30">
        <v>22</v>
      </c>
      <c r="V30">
        <v>6407.8</v>
      </c>
      <c r="W30">
        <v>5243.8</v>
      </c>
      <c r="X30">
        <v>188.9</v>
      </c>
      <c r="Y30">
        <v>150.30000000000001</v>
      </c>
    </row>
    <row r="31" spans="1:25" x14ac:dyDescent="0.2">
      <c r="A31" s="3">
        <v>38869</v>
      </c>
      <c r="B31" s="14">
        <v>16991112.359999999</v>
      </c>
      <c r="C31" s="14">
        <v>4795746.0951703126</v>
      </c>
      <c r="D31" s="14">
        <v>8115</v>
      </c>
      <c r="E31" s="14">
        <v>2071634.8697004954</v>
      </c>
      <c r="F31" s="14">
        <v>937</v>
      </c>
      <c r="G31" s="14">
        <v>10334566.504703714</v>
      </c>
      <c r="H31" s="14">
        <v>31988.803573768299</v>
      </c>
      <c r="I31" s="14">
        <v>74</v>
      </c>
      <c r="J31" s="14">
        <v>153937.46135289696</v>
      </c>
      <c r="K31" s="14">
        <v>457.5</v>
      </c>
      <c r="L31" s="14">
        <v>2006</v>
      </c>
      <c r="M31" s="14">
        <v>1638.7819214418209</v>
      </c>
      <c r="N31" s="14">
        <v>3.6666666666666665</v>
      </c>
      <c r="O31" s="14">
        <v>42</v>
      </c>
      <c r="P31" s="14">
        <v>0</v>
      </c>
      <c r="Q31" s="14">
        <v>19</v>
      </c>
      <c r="R31">
        <v>19.5</v>
      </c>
      <c r="S31">
        <v>73.599999999999994</v>
      </c>
      <c r="T31">
        <v>30</v>
      </c>
      <c r="U31">
        <v>22</v>
      </c>
      <c r="V31">
        <v>6494.8</v>
      </c>
      <c r="W31">
        <v>5352.8</v>
      </c>
      <c r="X31">
        <v>194.1</v>
      </c>
      <c r="Y31">
        <v>156.1</v>
      </c>
    </row>
    <row r="32" spans="1:25" x14ac:dyDescent="0.2">
      <c r="A32" s="3">
        <v>38899</v>
      </c>
      <c r="B32" s="14">
        <v>19695972.800000001</v>
      </c>
      <c r="C32" s="14">
        <v>5007376.3512959555</v>
      </c>
      <c r="D32" s="14">
        <v>8115</v>
      </c>
      <c r="E32" s="14">
        <v>2005499.8700157215</v>
      </c>
      <c r="F32" s="14">
        <v>937</v>
      </c>
      <c r="G32" s="14">
        <v>8556529.3244779035</v>
      </c>
      <c r="H32" s="14">
        <v>31737.493504886726</v>
      </c>
      <c r="I32" s="14">
        <v>74</v>
      </c>
      <c r="J32" s="14">
        <v>169217.58319582781</v>
      </c>
      <c r="K32" s="14">
        <v>457.5</v>
      </c>
      <c r="L32" s="14">
        <v>2006</v>
      </c>
      <c r="M32" s="14">
        <v>1041.5544289052282</v>
      </c>
      <c r="N32" s="14">
        <v>3.6666666666666665</v>
      </c>
      <c r="O32" s="14">
        <v>42</v>
      </c>
      <c r="P32" s="14">
        <v>0</v>
      </c>
      <c r="Q32" s="14">
        <v>19</v>
      </c>
      <c r="R32">
        <v>0</v>
      </c>
      <c r="S32">
        <v>167.3</v>
      </c>
      <c r="T32">
        <v>31</v>
      </c>
      <c r="U32">
        <v>20</v>
      </c>
      <c r="V32">
        <v>6559.9</v>
      </c>
      <c r="W32">
        <v>5464.8</v>
      </c>
      <c r="X32">
        <v>199.3</v>
      </c>
      <c r="Y32">
        <v>162</v>
      </c>
    </row>
    <row r="33" spans="1:25" x14ac:dyDescent="0.2">
      <c r="A33" s="3">
        <v>38930</v>
      </c>
      <c r="B33" s="14">
        <v>20222218.039999999</v>
      </c>
      <c r="C33" s="14">
        <v>7418811.7263291534</v>
      </c>
      <c r="D33" s="14">
        <v>8115</v>
      </c>
      <c r="E33" s="14">
        <v>2718239.8361828942</v>
      </c>
      <c r="F33" s="14">
        <v>937</v>
      </c>
      <c r="G33" s="14">
        <v>10636931.619439641</v>
      </c>
      <c r="H33" s="14">
        <v>35785.924983781588</v>
      </c>
      <c r="I33" s="14">
        <v>74</v>
      </c>
      <c r="J33" s="14">
        <v>158641.48130423733</v>
      </c>
      <c r="K33" s="14">
        <v>457.5</v>
      </c>
      <c r="L33" s="14">
        <v>2006</v>
      </c>
      <c r="M33" s="14">
        <v>1445.2382083180587</v>
      </c>
      <c r="N33" s="14">
        <v>3.6666666666666665</v>
      </c>
      <c r="O33" s="14">
        <v>42</v>
      </c>
      <c r="P33" s="14">
        <v>0</v>
      </c>
      <c r="Q33" s="14">
        <v>19</v>
      </c>
      <c r="R33">
        <v>4.2</v>
      </c>
      <c r="S33">
        <v>101.6</v>
      </c>
      <c r="T33">
        <v>31</v>
      </c>
      <c r="U33">
        <v>22</v>
      </c>
      <c r="V33">
        <v>6566.4</v>
      </c>
      <c r="W33">
        <v>5505.8</v>
      </c>
      <c r="X33">
        <v>203.1</v>
      </c>
      <c r="Y33">
        <v>166.3</v>
      </c>
    </row>
    <row r="34" spans="1:25" x14ac:dyDescent="0.2">
      <c r="A34" s="3">
        <v>38961</v>
      </c>
      <c r="B34" s="14">
        <v>16308399.140000001</v>
      </c>
      <c r="C34" s="14">
        <v>5745136.2123155715</v>
      </c>
      <c r="D34" s="14">
        <v>8115</v>
      </c>
      <c r="E34" s="14">
        <v>2180878.5510065365</v>
      </c>
      <c r="F34" s="14">
        <v>937</v>
      </c>
      <c r="G34" s="14">
        <v>10976530.925351607</v>
      </c>
      <c r="H34" s="14">
        <v>32050.126973235274</v>
      </c>
      <c r="I34" s="14">
        <v>74</v>
      </c>
      <c r="J34" s="14">
        <v>153353.43192742942</v>
      </c>
      <c r="K34" s="14">
        <v>457.5</v>
      </c>
      <c r="L34" s="14">
        <v>2006</v>
      </c>
      <c r="M34" s="14">
        <v>988.81163939042597</v>
      </c>
      <c r="N34" s="14">
        <v>3.6666666666666665</v>
      </c>
      <c r="O34" s="14">
        <v>42</v>
      </c>
      <c r="P34" s="14">
        <v>0</v>
      </c>
      <c r="Q34" s="14">
        <v>19</v>
      </c>
      <c r="R34">
        <v>80.900000000000006</v>
      </c>
      <c r="S34">
        <v>12.9</v>
      </c>
      <c r="T34">
        <v>30</v>
      </c>
      <c r="U34">
        <v>20</v>
      </c>
      <c r="V34">
        <v>6517.3</v>
      </c>
      <c r="W34">
        <v>5456.2</v>
      </c>
      <c r="X34">
        <v>202.1</v>
      </c>
      <c r="Y34">
        <v>163.9</v>
      </c>
    </row>
    <row r="35" spans="1:25" x14ac:dyDescent="0.2">
      <c r="A35" s="3">
        <v>38991</v>
      </c>
      <c r="B35" s="14">
        <v>16227674.609999999</v>
      </c>
      <c r="C35" s="14">
        <v>4590007.9098849315</v>
      </c>
      <c r="D35" s="14">
        <v>8115</v>
      </c>
      <c r="E35" s="14">
        <v>2306968.2969226749</v>
      </c>
      <c r="F35" s="14">
        <v>937</v>
      </c>
      <c r="G35" s="14">
        <v>4018656.3834029324</v>
      </c>
      <c r="H35" s="14">
        <v>32159.20455538854</v>
      </c>
      <c r="I35" s="14">
        <v>74</v>
      </c>
      <c r="J35" s="14">
        <v>116826.94400792303</v>
      </c>
      <c r="K35" s="14">
        <v>457.5</v>
      </c>
      <c r="L35" s="14">
        <v>2006</v>
      </c>
      <c r="M35" s="14">
        <v>1347.7588587669477</v>
      </c>
      <c r="N35" s="14">
        <v>3.6666666666666665</v>
      </c>
      <c r="O35" s="14">
        <v>42</v>
      </c>
      <c r="P35" s="14">
        <v>0</v>
      </c>
      <c r="Q35" s="14">
        <v>19</v>
      </c>
      <c r="R35">
        <v>288.3</v>
      </c>
      <c r="S35">
        <v>1.1000000000000001</v>
      </c>
      <c r="T35">
        <v>31</v>
      </c>
      <c r="U35">
        <v>21</v>
      </c>
      <c r="V35">
        <v>6481.4</v>
      </c>
      <c r="W35">
        <v>5374.9</v>
      </c>
      <c r="X35">
        <v>200</v>
      </c>
      <c r="Y35">
        <v>160.4</v>
      </c>
    </row>
    <row r="36" spans="1:25" x14ac:dyDescent="0.2">
      <c r="A36" s="3">
        <v>39022</v>
      </c>
      <c r="B36" s="14">
        <v>16163499.310000001</v>
      </c>
      <c r="C36" s="14">
        <v>5275398.1080678124</v>
      </c>
      <c r="D36" s="14">
        <v>8115</v>
      </c>
      <c r="E36" s="14">
        <v>2150908.8469980308</v>
      </c>
      <c r="F36" s="14">
        <v>937</v>
      </c>
      <c r="G36" s="14">
        <v>7846962.5546655757</v>
      </c>
      <c r="H36" s="14">
        <v>27821.618367614275</v>
      </c>
      <c r="I36" s="14">
        <v>74</v>
      </c>
      <c r="J36" s="14">
        <v>153692.58022111718</v>
      </c>
      <c r="K36" s="14">
        <v>457.5</v>
      </c>
      <c r="L36" s="14">
        <v>2006</v>
      </c>
      <c r="M36" s="14">
        <v>1208.1335039840926</v>
      </c>
      <c r="N36" s="14">
        <v>3.6666666666666665</v>
      </c>
      <c r="O36" s="14">
        <v>42</v>
      </c>
      <c r="P36" s="14">
        <v>0</v>
      </c>
      <c r="Q36" s="14">
        <v>19</v>
      </c>
      <c r="R36">
        <v>382.2</v>
      </c>
      <c r="S36">
        <v>0</v>
      </c>
      <c r="T36">
        <v>30</v>
      </c>
      <c r="U36">
        <v>22</v>
      </c>
      <c r="V36">
        <v>6454.3</v>
      </c>
      <c r="W36">
        <v>5278.7</v>
      </c>
      <c r="X36">
        <v>193.5</v>
      </c>
      <c r="Y36">
        <v>152.4</v>
      </c>
    </row>
    <row r="37" spans="1:25" x14ac:dyDescent="0.2">
      <c r="A37" s="3">
        <v>39052</v>
      </c>
      <c r="B37" s="14">
        <v>16768859.289999999</v>
      </c>
      <c r="C37" s="14">
        <v>4466929.2129985569</v>
      </c>
      <c r="D37" s="14">
        <v>8115</v>
      </c>
      <c r="E37" s="14">
        <v>2138498.712799917</v>
      </c>
      <c r="F37" s="14">
        <v>937</v>
      </c>
      <c r="G37" s="14">
        <v>10892923.368323158</v>
      </c>
      <c r="H37" s="14">
        <v>32375.164745097616</v>
      </c>
      <c r="I37" s="14">
        <v>74</v>
      </c>
      <c r="J37" s="14">
        <v>158815.6672418493</v>
      </c>
      <c r="K37" s="14">
        <v>457.5</v>
      </c>
      <c r="L37" s="14">
        <v>2006</v>
      </c>
      <c r="M37" s="14">
        <v>1262.6037054816159</v>
      </c>
      <c r="N37" s="14">
        <v>3.6666666666666665</v>
      </c>
      <c r="O37" s="14">
        <v>42</v>
      </c>
      <c r="P37" s="14">
        <v>0</v>
      </c>
      <c r="Q37" s="14">
        <v>19</v>
      </c>
      <c r="R37">
        <v>500.5</v>
      </c>
      <c r="S37">
        <v>0</v>
      </c>
      <c r="T37">
        <v>31</v>
      </c>
      <c r="U37">
        <v>19</v>
      </c>
      <c r="V37">
        <v>6480.1</v>
      </c>
      <c r="W37">
        <v>5263.7</v>
      </c>
      <c r="X37">
        <v>190.9</v>
      </c>
      <c r="Y37">
        <v>148.80000000000001</v>
      </c>
    </row>
    <row r="38" spans="1:25" x14ac:dyDescent="0.2">
      <c r="A38" s="3">
        <v>39083</v>
      </c>
      <c r="B38" s="14">
        <v>18251329.399999999</v>
      </c>
      <c r="C38" s="14">
        <v>6980764.51432057</v>
      </c>
      <c r="D38" s="14">
        <v>8131</v>
      </c>
      <c r="E38" s="14">
        <v>2276054.86235687</v>
      </c>
      <c r="F38" s="14">
        <v>930</v>
      </c>
      <c r="G38" s="14">
        <v>8291038.2448127037</v>
      </c>
      <c r="H38" s="14">
        <v>26763.052141007516</v>
      </c>
      <c r="I38" s="14">
        <v>79</v>
      </c>
      <c r="J38" s="14">
        <v>146702.28121366791</v>
      </c>
      <c r="K38" s="14">
        <v>455.5</v>
      </c>
      <c r="L38" s="14">
        <v>1997</v>
      </c>
      <c r="M38" s="14">
        <v>1480.1425449668127</v>
      </c>
      <c r="N38" s="14">
        <v>3.5</v>
      </c>
      <c r="O38" s="14">
        <v>40</v>
      </c>
      <c r="P38" s="14">
        <v>0</v>
      </c>
      <c r="Q38" s="14">
        <v>19</v>
      </c>
      <c r="R38">
        <v>647.1</v>
      </c>
      <c r="S38">
        <v>0</v>
      </c>
      <c r="T38">
        <v>31</v>
      </c>
      <c r="U38">
        <v>22</v>
      </c>
      <c r="V38">
        <v>6460.5</v>
      </c>
      <c r="W38">
        <v>5216.5</v>
      </c>
      <c r="X38">
        <v>186.5</v>
      </c>
      <c r="Y38">
        <v>143.80000000000001</v>
      </c>
    </row>
    <row r="39" spans="1:25" x14ac:dyDescent="0.2">
      <c r="A39" s="3">
        <v>39114</v>
      </c>
      <c r="B39" s="14">
        <v>17904581.82</v>
      </c>
      <c r="C39" s="14">
        <v>5106086.0888590608</v>
      </c>
      <c r="D39" s="14">
        <v>8131</v>
      </c>
      <c r="E39" s="14">
        <v>2305168.8467229381</v>
      </c>
      <c r="F39" s="14">
        <v>930</v>
      </c>
      <c r="G39" s="14">
        <v>8368165.2570729824</v>
      </c>
      <c r="H39" s="14">
        <v>27961.211325449796</v>
      </c>
      <c r="I39" s="14">
        <v>79</v>
      </c>
      <c r="J39" s="14">
        <v>147308.06719667491</v>
      </c>
      <c r="K39" s="14">
        <v>455.5</v>
      </c>
      <c r="L39" s="14">
        <v>1997</v>
      </c>
      <c r="M39" s="14">
        <v>914.83708675334742</v>
      </c>
      <c r="N39" s="14">
        <v>3.5</v>
      </c>
      <c r="O39" s="14">
        <v>40</v>
      </c>
      <c r="P39" s="14">
        <v>0</v>
      </c>
      <c r="Q39" s="14">
        <v>19</v>
      </c>
      <c r="R39">
        <v>740.1</v>
      </c>
      <c r="S39">
        <v>0</v>
      </c>
      <c r="T39">
        <v>28</v>
      </c>
      <c r="U39">
        <v>20</v>
      </c>
      <c r="V39">
        <v>6446</v>
      </c>
      <c r="W39">
        <v>5184.8999999999996</v>
      </c>
      <c r="X39">
        <v>185.5</v>
      </c>
      <c r="Y39">
        <v>141.9</v>
      </c>
    </row>
    <row r="40" spans="1:25" x14ac:dyDescent="0.2">
      <c r="A40" s="3">
        <v>39142</v>
      </c>
      <c r="B40" s="14">
        <v>17445592.280000001</v>
      </c>
      <c r="C40" s="14">
        <v>7001241.6266192365</v>
      </c>
      <c r="D40" s="14">
        <v>8131</v>
      </c>
      <c r="E40" s="14">
        <v>2670136.1180411363</v>
      </c>
      <c r="F40" s="14">
        <v>930</v>
      </c>
      <c r="G40" s="14">
        <v>8673688.2132731322</v>
      </c>
      <c r="H40" s="14">
        <v>27817.967845137831</v>
      </c>
      <c r="I40" s="14">
        <v>79</v>
      </c>
      <c r="J40" s="14">
        <v>157128.60708601034</v>
      </c>
      <c r="K40" s="14">
        <v>455.5</v>
      </c>
      <c r="L40" s="14">
        <v>1997</v>
      </c>
      <c r="M40" s="14">
        <v>1571.6884430332689</v>
      </c>
      <c r="N40" s="14">
        <v>3.5</v>
      </c>
      <c r="O40" s="14">
        <v>40</v>
      </c>
      <c r="P40" s="14">
        <v>0</v>
      </c>
      <c r="Q40" s="14">
        <v>19</v>
      </c>
      <c r="R40">
        <v>546.70000000000005</v>
      </c>
      <c r="S40">
        <v>0</v>
      </c>
      <c r="T40">
        <v>31</v>
      </c>
      <c r="U40">
        <v>22</v>
      </c>
      <c r="V40">
        <v>6421.7</v>
      </c>
      <c r="W40">
        <v>5167.7</v>
      </c>
      <c r="X40">
        <v>185.6</v>
      </c>
      <c r="Y40">
        <v>142.6</v>
      </c>
    </row>
    <row r="41" spans="1:25" x14ac:dyDescent="0.2">
      <c r="A41" s="3">
        <v>39173</v>
      </c>
      <c r="B41" s="14">
        <v>15069258.5</v>
      </c>
      <c r="C41" s="14">
        <v>4973646.8691710979</v>
      </c>
      <c r="D41" s="14">
        <v>8131</v>
      </c>
      <c r="E41" s="14">
        <v>2280993.1042345841</v>
      </c>
      <c r="F41" s="14">
        <v>930</v>
      </c>
      <c r="G41" s="14">
        <v>6373799.8996490939</v>
      </c>
      <c r="H41" s="14">
        <v>30507.777680702715</v>
      </c>
      <c r="I41" s="14">
        <v>79</v>
      </c>
      <c r="J41" s="14">
        <v>137487.52730733945</v>
      </c>
      <c r="K41" s="14">
        <v>455.5</v>
      </c>
      <c r="L41" s="14">
        <v>1997</v>
      </c>
      <c r="M41" s="14">
        <v>804.34921498741551</v>
      </c>
      <c r="N41" s="14">
        <v>3.5</v>
      </c>
      <c r="O41" s="14">
        <v>40</v>
      </c>
      <c r="P41" s="14">
        <v>0</v>
      </c>
      <c r="Q41" s="14">
        <v>19</v>
      </c>
      <c r="R41">
        <v>356.4</v>
      </c>
      <c r="S41">
        <v>0</v>
      </c>
      <c r="T41">
        <v>30</v>
      </c>
      <c r="U41">
        <v>19</v>
      </c>
      <c r="V41">
        <v>6441.8</v>
      </c>
      <c r="W41">
        <v>5197.5</v>
      </c>
      <c r="X41">
        <v>190</v>
      </c>
      <c r="Y41">
        <v>147</v>
      </c>
    </row>
    <row r="42" spans="1:25" x14ac:dyDescent="0.2">
      <c r="A42" s="3">
        <v>39203</v>
      </c>
      <c r="B42" s="14">
        <v>14011154.49</v>
      </c>
      <c r="C42" s="14">
        <v>5167303.4527900107</v>
      </c>
      <c r="D42" s="14">
        <v>8131</v>
      </c>
      <c r="E42" s="14">
        <v>2153040.5349747441</v>
      </c>
      <c r="F42" s="14">
        <v>930</v>
      </c>
      <c r="G42" s="14">
        <v>9940721.3651636932</v>
      </c>
      <c r="H42" s="14">
        <v>27235.635517480703</v>
      </c>
      <c r="I42" s="14">
        <v>79</v>
      </c>
      <c r="J42" s="14">
        <v>152218.33616811276</v>
      </c>
      <c r="K42" s="14">
        <v>455.5</v>
      </c>
      <c r="L42" s="14">
        <v>1997</v>
      </c>
      <c r="M42" s="14">
        <v>1512.1024419157447</v>
      </c>
      <c r="N42" s="14">
        <v>3.5</v>
      </c>
      <c r="O42" s="14">
        <v>40</v>
      </c>
      <c r="P42" s="14">
        <v>0</v>
      </c>
      <c r="Q42" s="14">
        <v>19</v>
      </c>
      <c r="R42">
        <v>136.4</v>
      </c>
      <c r="S42">
        <v>22.4</v>
      </c>
      <c r="T42">
        <v>31</v>
      </c>
      <c r="U42">
        <v>22</v>
      </c>
      <c r="V42">
        <v>6500.1</v>
      </c>
      <c r="W42">
        <v>5280.6</v>
      </c>
      <c r="X42">
        <v>194.8</v>
      </c>
      <c r="Y42">
        <v>151.19999999999999</v>
      </c>
    </row>
    <row r="43" spans="1:25" x14ac:dyDescent="0.2">
      <c r="A43" s="3">
        <v>39234</v>
      </c>
      <c r="B43" s="14">
        <v>16753389.09</v>
      </c>
      <c r="C43" s="14">
        <v>3345998.7250100411</v>
      </c>
      <c r="D43" s="14">
        <v>8131</v>
      </c>
      <c r="E43" s="14">
        <v>1670137.7403079476</v>
      </c>
      <c r="F43" s="14">
        <v>930</v>
      </c>
      <c r="G43" s="14">
        <v>7283587.9076482365</v>
      </c>
      <c r="H43" s="14">
        <v>32378.852838668648</v>
      </c>
      <c r="I43" s="14">
        <v>79</v>
      </c>
      <c r="J43" s="14">
        <v>137487.52730733945</v>
      </c>
      <c r="K43" s="14">
        <v>455.5</v>
      </c>
      <c r="L43" s="14">
        <v>1997</v>
      </c>
      <c r="M43" s="14">
        <v>804.4523773576642</v>
      </c>
      <c r="N43" s="14">
        <v>3.5</v>
      </c>
      <c r="O43" s="14">
        <v>40</v>
      </c>
      <c r="P43" s="14">
        <v>0</v>
      </c>
      <c r="Q43" s="14">
        <v>19</v>
      </c>
      <c r="R43">
        <v>16.5</v>
      </c>
      <c r="S43">
        <v>99.2</v>
      </c>
      <c r="T43">
        <v>30</v>
      </c>
      <c r="U43">
        <v>21</v>
      </c>
      <c r="V43">
        <v>6573.9</v>
      </c>
      <c r="W43">
        <v>5391.3</v>
      </c>
      <c r="X43">
        <v>197.3</v>
      </c>
      <c r="Y43">
        <v>154.1</v>
      </c>
    </row>
    <row r="44" spans="1:25" x14ac:dyDescent="0.2">
      <c r="A44" s="3">
        <v>39264</v>
      </c>
      <c r="B44" s="14">
        <v>18043024.140000001</v>
      </c>
      <c r="C44" s="14">
        <v>5930180.3609781209</v>
      </c>
      <c r="D44" s="14">
        <v>8131</v>
      </c>
      <c r="E44" s="14">
        <v>2572830.0507194865</v>
      </c>
      <c r="F44" s="14">
        <v>930</v>
      </c>
      <c r="G44" s="14">
        <v>8407007.014490243</v>
      </c>
      <c r="H44" s="14">
        <v>29872.498512587248</v>
      </c>
      <c r="I44" s="14">
        <v>79</v>
      </c>
      <c r="J44" s="14">
        <v>162038.87605744819</v>
      </c>
      <c r="K44" s="14">
        <v>455.5</v>
      </c>
      <c r="L44" s="14">
        <v>1997</v>
      </c>
      <c r="M44" s="14">
        <v>1206.3612930864863</v>
      </c>
      <c r="N44" s="14">
        <v>3.5</v>
      </c>
      <c r="O44" s="14">
        <v>40</v>
      </c>
      <c r="P44" s="14">
        <v>0</v>
      </c>
      <c r="Q44" s="14">
        <v>19</v>
      </c>
      <c r="R44">
        <v>3.2</v>
      </c>
      <c r="S44">
        <v>106.1</v>
      </c>
      <c r="T44">
        <v>31</v>
      </c>
      <c r="U44">
        <v>22</v>
      </c>
      <c r="V44">
        <v>6640.2</v>
      </c>
      <c r="W44">
        <v>5513.8</v>
      </c>
      <c r="X44">
        <v>197</v>
      </c>
      <c r="Y44">
        <v>156.19999999999999</v>
      </c>
    </row>
    <row r="45" spans="1:25" x14ac:dyDescent="0.2">
      <c r="A45" s="3">
        <v>39295</v>
      </c>
      <c r="B45" s="14">
        <v>19805961.75</v>
      </c>
      <c r="C45" s="14">
        <v>5109985.8214897234</v>
      </c>
      <c r="D45" s="14">
        <v>8131</v>
      </c>
      <c r="E45" s="14">
        <v>2166877.5357559933</v>
      </c>
      <c r="F45" s="14">
        <v>930</v>
      </c>
      <c r="G45" s="14">
        <v>9322695.8096069116</v>
      </c>
      <c r="H45" s="14">
        <v>36520.215371400503</v>
      </c>
      <c r="I45" s="14">
        <v>79</v>
      </c>
      <c r="J45" s="14">
        <v>147308.06719667502</v>
      </c>
      <c r="K45" s="14">
        <v>455.5</v>
      </c>
      <c r="L45" s="14">
        <v>1997</v>
      </c>
      <c r="M45" s="14">
        <v>1401.6719907143854</v>
      </c>
      <c r="N45" s="14">
        <v>3.5</v>
      </c>
      <c r="O45" s="14">
        <v>40</v>
      </c>
      <c r="P45" s="14">
        <v>0</v>
      </c>
      <c r="Q45" s="14">
        <v>19</v>
      </c>
      <c r="R45">
        <v>5.2</v>
      </c>
      <c r="S45">
        <v>141</v>
      </c>
      <c r="T45">
        <v>31</v>
      </c>
      <c r="U45">
        <v>22</v>
      </c>
      <c r="V45">
        <v>6663.5</v>
      </c>
      <c r="W45">
        <v>5582.2</v>
      </c>
      <c r="X45">
        <v>197.3</v>
      </c>
      <c r="Y45">
        <v>160.9</v>
      </c>
    </row>
    <row r="46" spans="1:25" x14ac:dyDescent="0.2">
      <c r="A46" s="3">
        <v>39326</v>
      </c>
      <c r="B46" s="14">
        <v>16902414.469999999</v>
      </c>
      <c r="C46" s="14">
        <v>6097974.3437272729</v>
      </c>
      <c r="D46" s="14">
        <v>8131</v>
      </c>
      <c r="E46" s="14">
        <v>1989045.1730868714</v>
      </c>
      <c r="F46" s="14">
        <v>930</v>
      </c>
      <c r="G46" s="14">
        <v>6517014.2050432619</v>
      </c>
      <c r="H46" s="14">
        <v>33239.518824601982</v>
      </c>
      <c r="I46" s="14">
        <v>79</v>
      </c>
      <c r="J46" s="14">
        <v>152218.33616811276</v>
      </c>
      <c r="K46" s="14">
        <v>455.5</v>
      </c>
      <c r="L46" s="14">
        <v>1997</v>
      </c>
      <c r="M46" s="14">
        <v>881.57306172769074</v>
      </c>
      <c r="N46" s="14">
        <v>3.5</v>
      </c>
      <c r="O46" s="14">
        <v>40</v>
      </c>
      <c r="P46" s="14">
        <v>0</v>
      </c>
      <c r="Q46" s="14">
        <v>19</v>
      </c>
      <c r="R46">
        <v>36.9</v>
      </c>
      <c r="S46">
        <v>47.5</v>
      </c>
      <c r="T46">
        <v>30</v>
      </c>
      <c r="U46">
        <v>19</v>
      </c>
      <c r="V46">
        <v>6635.5</v>
      </c>
      <c r="W46">
        <v>5544.2</v>
      </c>
      <c r="X46">
        <v>198.6</v>
      </c>
      <c r="Y46">
        <v>162.80000000000001</v>
      </c>
    </row>
    <row r="47" spans="1:25" x14ac:dyDescent="0.2">
      <c r="A47" s="3">
        <v>39356</v>
      </c>
      <c r="B47" s="14">
        <v>14512393</v>
      </c>
      <c r="C47" s="14">
        <v>5906292.7406214681</v>
      </c>
      <c r="D47" s="14">
        <v>8131</v>
      </c>
      <c r="E47" s="14">
        <v>2191934.891061354</v>
      </c>
      <c r="F47" s="14">
        <v>930</v>
      </c>
      <c r="G47" s="14">
        <v>10317993.672523178</v>
      </c>
      <c r="H47" s="14">
        <v>32026.800865458586</v>
      </c>
      <c r="I47" s="14">
        <v>79</v>
      </c>
      <c r="J47" s="14">
        <v>152218.33616811276</v>
      </c>
      <c r="K47" s="14">
        <v>455.5</v>
      </c>
      <c r="L47" s="14">
        <v>1997</v>
      </c>
      <c r="M47" s="14">
        <v>1571.1453807446037</v>
      </c>
      <c r="N47" s="14">
        <v>3.5</v>
      </c>
      <c r="O47" s="14">
        <v>40</v>
      </c>
      <c r="P47" s="14">
        <v>43100.431701743371</v>
      </c>
      <c r="Q47" s="14">
        <v>19</v>
      </c>
      <c r="R47">
        <v>137.69999999999999</v>
      </c>
      <c r="S47">
        <v>19.8</v>
      </c>
      <c r="T47">
        <v>31</v>
      </c>
      <c r="U47">
        <v>22</v>
      </c>
      <c r="V47">
        <v>6631.9</v>
      </c>
      <c r="W47">
        <v>5479.1</v>
      </c>
      <c r="X47">
        <v>201.6</v>
      </c>
      <c r="Y47">
        <v>163.19999999999999</v>
      </c>
    </row>
    <row r="48" spans="1:25" x14ac:dyDescent="0.2">
      <c r="A48" s="3">
        <v>39387</v>
      </c>
      <c r="B48" s="14">
        <v>14541440.050000001</v>
      </c>
      <c r="C48" s="14">
        <v>5033354.3675317541</v>
      </c>
      <c r="D48" s="14">
        <v>8131</v>
      </c>
      <c r="E48" s="14">
        <v>2020996.3706589078</v>
      </c>
      <c r="F48" s="14">
        <v>930</v>
      </c>
      <c r="G48" s="14">
        <v>10074989.477920571</v>
      </c>
      <c r="H48" s="14">
        <v>30423.407869799543</v>
      </c>
      <c r="I48" s="14">
        <v>79</v>
      </c>
      <c r="J48" s="14">
        <v>142397.79822523706</v>
      </c>
      <c r="K48" s="14">
        <v>455.5</v>
      </c>
      <c r="L48" s="14">
        <v>1997</v>
      </c>
      <c r="M48" s="14">
        <v>1090.7717501428012</v>
      </c>
      <c r="N48" s="14">
        <v>3.5</v>
      </c>
      <c r="O48" s="14">
        <v>40</v>
      </c>
      <c r="P48" s="14">
        <v>62857.945886966183</v>
      </c>
      <c r="Q48" s="14">
        <v>19</v>
      </c>
      <c r="R48">
        <v>462.5</v>
      </c>
      <c r="S48">
        <v>0</v>
      </c>
      <c r="T48">
        <v>30</v>
      </c>
      <c r="U48">
        <v>22</v>
      </c>
      <c r="V48">
        <v>6616.9</v>
      </c>
      <c r="W48">
        <v>5395.6</v>
      </c>
      <c r="X48">
        <v>202.7</v>
      </c>
      <c r="Y48">
        <v>160.5</v>
      </c>
    </row>
    <row r="49" spans="1:25" x14ac:dyDescent="0.2">
      <c r="A49" s="3">
        <v>39417</v>
      </c>
      <c r="B49" s="14">
        <v>16056597.93</v>
      </c>
      <c r="C49" s="14">
        <v>4657469.1648499351</v>
      </c>
      <c r="D49" s="14">
        <v>8131</v>
      </c>
      <c r="E49" s="14">
        <v>1883733.6006116362</v>
      </c>
      <c r="F49" s="14">
        <v>930</v>
      </c>
      <c r="G49" s="14">
        <v>6603341.9468734693</v>
      </c>
      <c r="H49" s="14">
        <v>30440.061207704919</v>
      </c>
      <c r="I49" s="14">
        <v>79</v>
      </c>
      <c r="J49" s="14">
        <v>157128.60708601045</v>
      </c>
      <c r="K49" s="14">
        <v>455.5</v>
      </c>
      <c r="L49" s="14">
        <v>1997</v>
      </c>
      <c r="M49" s="14">
        <v>752.68627855095053</v>
      </c>
      <c r="N49" s="14">
        <v>3.5</v>
      </c>
      <c r="O49" s="14">
        <v>40</v>
      </c>
      <c r="P49" s="14">
        <v>69193.554788321911</v>
      </c>
      <c r="Q49" s="14">
        <v>19</v>
      </c>
      <c r="R49">
        <v>630.70000000000005</v>
      </c>
      <c r="S49">
        <v>0</v>
      </c>
      <c r="T49">
        <v>31</v>
      </c>
      <c r="U49">
        <v>19</v>
      </c>
      <c r="V49">
        <v>6626.1</v>
      </c>
      <c r="W49">
        <v>5374.1</v>
      </c>
      <c r="X49">
        <v>201.4</v>
      </c>
      <c r="Y49">
        <v>159</v>
      </c>
    </row>
    <row r="50" spans="1:25" x14ac:dyDescent="0.2">
      <c r="A50" s="3">
        <v>39448</v>
      </c>
      <c r="B50" s="14">
        <v>18178731.600000001</v>
      </c>
      <c r="C50" s="14">
        <v>7486873</v>
      </c>
      <c r="D50" s="14">
        <v>8151</v>
      </c>
      <c r="E50" s="14">
        <v>2580684</v>
      </c>
      <c r="F50" s="14">
        <v>910</v>
      </c>
      <c r="G50" s="14">
        <v>6682754.582445262</v>
      </c>
      <c r="H50" s="14">
        <v>26735.119124528323</v>
      </c>
      <c r="I50" s="14">
        <v>77</v>
      </c>
      <c r="J50" s="14">
        <v>146638.23677581866</v>
      </c>
      <c r="K50" s="14">
        <v>458.33333333333331</v>
      </c>
      <c r="L50" s="14">
        <v>1991</v>
      </c>
      <c r="M50" s="14">
        <v>1559.3024607634179</v>
      </c>
      <c r="N50" s="14">
        <v>3.3333333333333335</v>
      </c>
      <c r="O50" s="14">
        <v>38</v>
      </c>
      <c r="P50" s="14">
        <v>64573.900999999998</v>
      </c>
      <c r="Q50" s="14">
        <v>14</v>
      </c>
      <c r="R50">
        <v>623.5</v>
      </c>
      <c r="S50">
        <v>0</v>
      </c>
      <c r="T50">
        <v>31</v>
      </c>
      <c r="U50">
        <v>22</v>
      </c>
      <c r="V50">
        <v>6579.6</v>
      </c>
      <c r="W50">
        <v>5323.9</v>
      </c>
      <c r="X50">
        <v>199.2</v>
      </c>
      <c r="Y50">
        <v>157.19999999999999</v>
      </c>
    </row>
    <row r="51" spans="1:25" x14ac:dyDescent="0.2">
      <c r="A51" s="3">
        <v>39479</v>
      </c>
      <c r="B51" s="14">
        <v>17438662.699999999</v>
      </c>
      <c r="C51" s="14">
        <v>5426583</v>
      </c>
      <c r="D51" s="14">
        <v>8151</v>
      </c>
      <c r="E51" s="14">
        <v>2400101</v>
      </c>
      <c r="F51" s="14">
        <v>910</v>
      </c>
      <c r="G51" s="14">
        <v>8020697.3018794805</v>
      </c>
      <c r="H51" s="14">
        <v>30654.810691749568</v>
      </c>
      <c r="I51" s="14">
        <v>77</v>
      </c>
      <c r="J51" s="14">
        <v>141750.29548537103</v>
      </c>
      <c r="K51" s="14">
        <v>458.33333333333331</v>
      </c>
      <c r="L51" s="14">
        <v>1991</v>
      </c>
      <c r="M51" s="14">
        <v>1008.5622941290449</v>
      </c>
      <c r="N51" s="14">
        <v>3.3333333333333335</v>
      </c>
      <c r="O51" s="14">
        <v>38</v>
      </c>
      <c r="P51" s="14">
        <v>63138.600999999995</v>
      </c>
      <c r="Q51" s="14">
        <v>14</v>
      </c>
      <c r="R51">
        <v>674.7</v>
      </c>
      <c r="S51">
        <v>0</v>
      </c>
      <c r="T51">
        <v>29</v>
      </c>
      <c r="U51">
        <v>20</v>
      </c>
      <c r="V51">
        <v>6560.8</v>
      </c>
      <c r="W51">
        <v>5303.7</v>
      </c>
      <c r="X51">
        <v>197.4</v>
      </c>
      <c r="Y51">
        <v>155.6</v>
      </c>
    </row>
    <row r="52" spans="1:25" x14ac:dyDescent="0.2">
      <c r="A52" s="3">
        <v>39508</v>
      </c>
      <c r="B52" s="14">
        <v>16994200.600000001</v>
      </c>
      <c r="C52" s="14">
        <v>5827854</v>
      </c>
      <c r="D52" s="14">
        <v>8151</v>
      </c>
      <c r="E52" s="14">
        <v>2462157</v>
      </c>
      <c r="F52" s="14">
        <v>910</v>
      </c>
      <c r="G52" s="14">
        <v>8321441.1315636504</v>
      </c>
      <c r="H52" s="14">
        <v>33576.888361970923</v>
      </c>
      <c r="I52" s="14">
        <v>77</v>
      </c>
      <c r="J52" s="14">
        <v>161302.06258477038</v>
      </c>
      <c r="K52" s="14">
        <v>458.33333333333331</v>
      </c>
      <c r="L52" s="14">
        <v>1991</v>
      </c>
      <c r="M52" s="14">
        <v>1056.2032551831039</v>
      </c>
      <c r="N52" s="14">
        <v>3.3333333333333335</v>
      </c>
      <c r="O52" s="14">
        <v>38</v>
      </c>
      <c r="P52" s="14">
        <v>111226.03500000002</v>
      </c>
      <c r="Q52" s="14">
        <v>14</v>
      </c>
      <c r="R52">
        <v>610.20000000000005</v>
      </c>
      <c r="S52">
        <v>0</v>
      </c>
      <c r="T52">
        <v>31</v>
      </c>
      <c r="U52">
        <v>21</v>
      </c>
      <c r="V52">
        <v>6547.6</v>
      </c>
      <c r="W52">
        <v>5278.9</v>
      </c>
      <c r="X52">
        <v>196.8</v>
      </c>
      <c r="Y52">
        <v>154.30000000000001</v>
      </c>
    </row>
    <row r="53" spans="1:25" x14ac:dyDescent="0.2">
      <c r="A53" s="3">
        <v>39539</v>
      </c>
      <c r="B53" s="14">
        <v>14558342.199999999</v>
      </c>
      <c r="C53" s="14">
        <v>5452766</v>
      </c>
      <c r="D53" s="14">
        <v>8151</v>
      </c>
      <c r="E53" s="14">
        <v>2746434</v>
      </c>
      <c r="F53" s="14">
        <v>910</v>
      </c>
      <c r="G53" s="14">
        <v>8533765.5841891095</v>
      </c>
      <c r="H53" s="14">
        <v>34238.314226201779</v>
      </c>
      <c r="I53" s="14">
        <v>77</v>
      </c>
      <c r="J53" s="14">
        <v>141750.29548537103</v>
      </c>
      <c r="K53" s="14">
        <v>458.33333333333331</v>
      </c>
      <c r="L53" s="14">
        <v>1991</v>
      </c>
      <c r="M53" s="14">
        <v>1052.3193179616355</v>
      </c>
      <c r="N53" s="14">
        <v>3.3333333333333335</v>
      </c>
      <c r="O53" s="14">
        <v>38</v>
      </c>
      <c r="P53" s="14">
        <v>20845.400000000001</v>
      </c>
      <c r="Q53" s="14">
        <v>14</v>
      </c>
      <c r="R53">
        <v>253.9</v>
      </c>
      <c r="S53">
        <v>0</v>
      </c>
      <c r="T53">
        <v>30</v>
      </c>
      <c r="U53">
        <v>20</v>
      </c>
      <c r="V53">
        <v>6580.2</v>
      </c>
      <c r="W53">
        <v>5310.6</v>
      </c>
      <c r="X53">
        <v>197.5</v>
      </c>
      <c r="Y53">
        <v>153.1</v>
      </c>
    </row>
    <row r="54" spans="1:25" x14ac:dyDescent="0.2">
      <c r="A54" s="3">
        <v>39569</v>
      </c>
      <c r="B54" s="14">
        <v>14577033.9</v>
      </c>
      <c r="C54" s="14">
        <v>4323976</v>
      </c>
      <c r="D54" s="14">
        <v>8151</v>
      </c>
      <c r="E54" s="14">
        <v>1620099</v>
      </c>
      <c r="F54" s="14">
        <v>910</v>
      </c>
      <c r="G54" s="14">
        <v>7598989.8159271479</v>
      </c>
      <c r="H54" s="14">
        <v>34185.224408137954</v>
      </c>
      <c r="I54" s="14">
        <v>77</v>
      </c>
      <c r="J54" s="14">
        <v>141750.29548537103</v>
      </c>
      <c r="K54" s="14">
        <v>458.33333333333331</v>
      </c>
      <c r="L54" s="14">
        <v>1991</v>
      </c>
      <c r="M54" s="14">
        <v>957.02770780856463</v>
      </c>
      <c r="N54" s="14">
        <v>3.3333333333333335</v>
      </c>
      <c r="O54" s="14">
        <v>38</v>
      </c>
      <c r="P54" s="14">
        <v>61781.601999999984</v>
      </c>
      <c r="Q54" s="14">
        <v>14</v>
      </c>
      <c r="R54">
        <v>193.5</v>
      </c>
      <c r="S54">
        <v>2.5</v>
      </c>
      <c r="T54">
        <v>31</v>
      </c>
      <c r="U54">
        <v>21</v>
      </c>
      <c r="V54">
        <v>6640.6</v>
      </c>
      <c r="W54">
        <v>5370.3</v>
      </c>
      <c r="X54">
        <v>198.8</v>
      </c>
      <c r="Y54">
        <v>154</v>
      </c>
    </row>
    <row r="55" spans="1:25" x14ac:dyDescent="0.2">
      <c r="A55" s="3">
        <v>39600</v>
      </c>
      <c r="B55" s="14">
        <v>17151579.5</v>
      </c>
      <c r="C55" s="14">
        <v>4209564</v>
      </c>
      <c r="D55" s="14">
        <v>8151</v>
      </c>
      <c r="E55" s="14">
        <v>1801374</v>
      </c>
      <c r="F55" s="14">
        <v>910</v>
      </c>
      <c r="G55" s="14">
        <v>7923999.4351869784</v>
      </c>
      <c r="H55" s="14">
        <v>33994.532811609773</v>
      </c>
      <c r="I55" s="14">
        <v>77</v>
      </c>
      <c r="J55" s="14">
        <v>156414.12129432277</v>
      </c>
      <c r="K55" s="14">
        <v>458.33333333333331</v>
      </c>
      <c r="L55" s="14">
        <v>1991</v>
      </c>
      <c r="M55" s="14">
        <v>1118.9827552799843</v>
      </c>
      <c r="N55" s="14">
        <v>3.3333333333333335</v>
      </c>
      <c r="O55" s="14">
        <v>38</v>
      </c>
      <c r="P55" s="14">
        <v>68165.965000000026</v>
      </c>
      <c r="Q55" s="14">
        <v>14</v>
      </c>
      <c r="R55">
        <v>22.7</v>
      </c>
      <c r="S55">
        <v>71.5</v>
      </c>
      <c r="T55">
        <v>30</v>
      </c>
      <c r="U55">
        <v>21</v>
      </c>
      <c r="V55">
        <v>6712.3</v>
      </c>
      <c r="W55">
        <v>5458.4</v>
      </c>
      <c r="X55">
        <v>202.5</v>
      </c>
      <c r="Y55">
        <v>157.30000000000001</v>
      </c>
    </row>
    <row r="56" spans="1:25" x14ac:dyDescent="0.2">
      <c r="A56" s="3">
        <v>39630</v>
      </c>
      <c r="B56" s="14">
        <v>19590253.5</v>
      </c>
      <c r="C56" s="14">
        <v>5220969</v>
      </c>
      <c r="D56" s="14">
        <v>8151</v>
      </c>
      <c r="E56" s="14">
        <v>1884925</v>
      </c>
      <c r="F56" s="14">
        <v>910</v>
      </c>
      <c r="G56" s="14">
        <v>7699956.0220887437</v>
      </c>
      <c r="H56" s="14">
        <v>33731.243466931475</v>
      </c>
      <c r="I56" s="14">
        <v>77</v>
      </c>
      <c r="J56" s="14">
        <v>159141.17806626623</v>
      </c>
      <c r="K56" s="14">
        <v>458.33333333333331</v>
      </c>
      <c r="L56" s="14">
        <v>1991</v>
      </c>
      <c r="M56" s="14">
        <v>974.52916101530718</v>
      </c>
      <c r="N56" s="14">
        <v>3.3333333333333335</v>
      </c>
      <c r="O56" s="14">
        <v>38</v>
      </c>
      <c r="P56" s="14">
        <v>67197.557999999961</v>
      </c>
      <c r="Q56" s="14">
        <v>14</v>
      </c>
      <c r="R56">
        <v>1</v>
      </c>
      <c r="S56">
        <v>111</v>
      </c>
      <c r="T56">
        <v>31</v>
      </c>
      <c r="U56">
        <v>22</v>
      </c>
      <c r="V56">
        <v>6755.7</v>
      </c>
      <c r="W56">
        <v>5533.6</v>
      </c>
      <c r="X56">
        <v>204.9</v>
      </c>
      <c r="Y56">
        <v>161.6</v>
      </c>
    </row>
    <row r="57" spans="1:25" x14ac:dyDescent="0.2">
      <c r="A57" s="3">
        <v>39661</v>
      </c>
      <c r="B57" s="14">
        <v>19224437.399999999</v>
      </c>
      <c r="C57" s="14">
        <v>6227734</v>
      </c>
      <c r="D57" s="14">
        <v>8151</v>
      </c>
      <c r="E57" s="14">
        <v>1779937</v>
      </c>
      <c r="F57" s="14">
        <v>910</v>
      </c>
      <c r="G57" s="14">
        <v>9124661.7583801597</v>
      </c>
      <c r="H57" s="14">
        <v>41874.653182685433</v>
      </c>
      <c r="I57" s="14">
        <v>77</v>
      </c>
      <c r="J57" s="14">
        <v>116739.3522573146</v>
      </c>
      <c r="K57" s="14">
        <v>458.33333333333331</v>
      </c>
      <c r="L57" s="14">
        <v>1991</v>
      </c>
      <c r="M57" s="14">
        <v>1005.4844022476262</v>
      </c>
      <c r="N57" s="14">
        <v>3.3333333333333335</v>
      </c>
      <c r="O57" s="14">
        <v>38</v>
      </c>
      <c r="P57" s="14">
        <v>53585.804000000004</v>
      </c>
      <c r="Q57" s="14">
        <v>14</v>
      </c>
      <c r="R57">
        <v>12.7</v>
      </c>
      <c r="S57">
        <v>64</v>
      </c>
      <c r="T57">
        <v>31</v>
      </c>
      <c r="U57">
        <v>20</v>
      </c>
      <c r="V57">
        <v>6761.2</v>
      </c>
      <c r="W57">
        <v>5592.4</v>
      </c>
      <c r="X57">
        <v>206</v>
      </c>
      <c r="Y57">
        <v>165.1</v>
      </c>
    </row>
    <row r="58" spans="1:25" x14ac:dyDescent="0.2">
      <c r="A58" s="3">
        <v>39692</v>
      </c>
      <c r="B58" s="14">
        <v>16587159.800000001</v>
      </c>
      <c r="C58" s="14">
        <v>4679301</v>
      </c>
      <c r="D58" s="14">
        <v>8151</v>
      </c>
      <c r="E58" s="14">
        <v>1614245</v>
      </c>
      <c r="F58" s="14">
        <v>910</v>
      </c>
      <c r="G58" s="14">
        <v>9093706.2631272972</v>
      </c>
      <c r="H58" s="14">
        <v>36432.76024838163</v>
      </c>
      <c r="I58" s="14">
        <v>77</v>
      </c>
      <c r="J58" s="14">
        <v>118983.06258477038</v>
      </c>
      <c r="K58" s="14">
        <v>458.33333333333331</v>
      </c>
      <c r="L58" s="14">
        <v>1991</v>
      </c>
      <c r="M58" s="14">
        <v>1038.2774656074398</v>
      </c>
      <c r="N58" s="14">
        <v>3.3333333333333335</v>
      </c>
      <c r="O58" s="14">
        <v>38</v>
      </c>
      <c r="P58" s="14">
        <v>57401.343999999983</v>
      </c>
      <c r="Q58" s="14">
        <v>14</v>
      </c>
      <c r="R58">
        <v>59</v>
      </c>
      <c r="S58">
        <v>26.7</v>
      </c>
      <c r="T58">
        <v>30</v>
      </c>
      <c r="U58">
        <v>21</v>
      </c>
      <c r="V58">
        <v>6735.2</v>
      </c>
      <c r="W58">
        <v>5556.1</v>
      </c>
      <c r="X58">
        <v>203.6</v>
      </c>
      <c r="Y58">
        <v>164.2</v>
      </c>
    </row>
    <row r="59" spans="1:25" x14ac:dyDescent="0.2">
      <c r="A59" s="3">
        <v>39722</v>
      </c>
      <c r="B59" s="14">
        <v>16301257</v>
      </c>
      <c r="C59" s="14">
        <v>4907199</v>
      </c>
      <c r="D59" s="14">
        <v>8151</v>
      </c>
      <c r="E59" s="14">
        <v>2223773</v>
      </c>
      <c r="F59" s="14">
        <v>910</v>
      </c>
      <c r="G59" s="14">
        <v>10377421.042821154</v>
      </c>
      <c r="H59" s="14">
        <v>36345.431490136558</v>
      </c>
      <c r="I59" s="14">
        <v>77</v>
      </c>
      <c r="J59" s="14">
        <v>178747.23677581875</v>
      </c>
      <c r="K59" s="14">
        <v>458.33333333333331</v>
      </c>
      <c r="L59" s="14">
        <v>1991</v>
      </c>
      <c r="M59" s="14">
        <v>993.3840341019187</v>
      </c>
      <c r="N59" s="14">
        <v>3.3333333333333335</v>
      </c>
      <c r="O59" s="14">
        <v>38</v>
      </c>
      <c r="P59" s="14">
        <v>72369.753000000026</v>
      </c>
      <c r="Q59" s="14">
        <v>14</v>
      </c>
      <c r="R59">
        <v>278.60000000000002</v>
      </c>
      <c r="S59">
        <v>0</v>
      </c>
      <c r="T59">
        <v>31</v>
      </c>
      <c r="U59">
        <v>22</v>
      </c>
      <c r="V59">
        <v>6734.5</v>
      </c>
      <c r="W59">
        <v>5512.3</v>
      </c>
      <c r="X59">
        <v>202.6</v>
      </c>
      <c r="Y59">
        <v>162.6</v>
      </c>
    </row>
    <row r="60" spans="1:25" x14ac:dyDescent="0.2">
      <c r="A60" s="3">
        <v>39753</v>
      </c>
      <c r="B60" s="14">
        <v>16533568</v>
      </c>
      <c r="C60" s="14">
        <v>3873079</v>
      </c>
      <c r="D60" s="14">
        <v>8151</v>
      </c>
      <c r="E60" s="14">
        <v>1454481</v>
      </c>
      <c r="F60" s="14">
        <v>910</v>
      </c>
      <c r="G60" s="14">
        <v>9068652.1356326342</v>
      </c>
      <c r="H60" s="14">
        <v>34916.263699440759</v>
      </c>
      <c r="I60" s="14">
        <v>77</v>
      </c>
      <c r="J60" s="14">
        <v>153087.17806626623</v>
      </c>
      <c r="K60" s="14">
        <v>458.33333333333331</v>
      </c>
      <c r="L60" s="14">
        <v>1991</v>
      </c>
      <c r="M60" s="14">
        <v>1108.2299941871734</v>
      </c>
      <c r="N60" s="14">
        <v>3.3333333333333335</v>
      </c>
      <c r="O60" s="14">
        <v>38</v>
      </c>
      <c r="P60" s="14">
        <v>65738.100000000006</v>
      </c>
      <c r="Q60" s="14">
        <v>14</v>
      </c>
      <c r="R60">
        <v>451.6</v>
      </c>
      <c r="S60">
        <v>0</v>
      </c>
      <c r="T60">
        <v>30</v>
      </c>
      <c r="U60">
        <v>20</v>
      </c>
      <c r="V60">
        <v>6693.5</v>
      </c>
      <c r="W60">
        <v>5407.2</v>
      </c>
      <c r="X60">
        <v>199.3</v>
      </c>
      <c r="Y60">
        <v>157.5</v>
      </c>
    </row>
    <row r="61" spans="1:25" x14ac:dyDescent="0.2">
      <c r="A61" s="3">
        <v>39783</v>
      </c>
      <c r="B61" s="14">
        <v>18032747.899999999</v>
      </c>
      <c r="C61" s="14">
        <v>6388931</v>
      </c>
      <c r="D61" s="14">
        <v>8151</v>
      </c>
      <c r="E61" s="14">
        <v>2414901</v>
      </c>
      <c r="F61" s="14">
        <v>910</v>
      </c>
      <c r="G61" s="14">
        <v>8866388.2861848436</v>
      </c>
      <c r="H61" s="14">
        <v>37616.758288225836</v>
      </c>
      <c r="I61" s="14">
        <v>77</v>
      </c>
      <c r="J61" s="14">
        <v>168695.17806626623</v>
      </c>
      <c r="K61" s="14">
        <v>458.33333333333331</v>
      </c>
      <c r="L61" s="14">
        <v>1991</v>
      </c>
      <c r="M61" s="14">
        <v>971.66537492733914</v>
      </c>
      <c r="N61" s="14">
        <v>3.3333333333333335</v>
      </c>
      <c r="O61" s="14">
        <v>38</v>
      </c>
      <c r="P61" s="14">
        <v>70201.40399999998</v>
      </c>
      <c r="Q61" s="14">
        <v>14</v>
      </c>
      <c r="R61">
        <v>654.6</v>
      </c>
      <c r="S61">
        <v>0</v>
      </c>
      <c r="T61">
        <v>31</v>
      </c>
      <c r="U61">
        <v>21</v>
      </c>
      <c r="V61">
        <v>6670.1</v>
      </c>
      <c r="W61">
        <v>5368</v>
      </c>
      <c r="X61">
        <v>198.1</v>
      </c>
      <c r="Y61">
        <v>155.9</v>
      </c>
    </row>
    <row r="62" spans="1:25" x14ac:dyDescent="0.2">
      <c r="A62" s="3">
        <v>39814</v>
      </c>
      <c r="B62" s="14">
        <v>20122824.5</v>
      </c>
      <c r="C62" s="14">
        <v>7952453</v>
      </c>
      <c r="D62" s="14">
        <v>8170</v>
      </c>
      <c r="E62" s="14">
        <v>2944321</v>
      </c>
      <c r="F62" s="14">
        <v>913</v>
      </c>
      <c r="G62" s="14">
        <v>9361204.5548850223</v>
      </c>
      <c r="H62" s="14">
        <v>31495.054705655071</v>
      </c>
      <c r="I62" s="14">
        <v>80</v>
      </c>
      <c r="J62" s="14">
        <v>159466.29548537105</v>
      </c>
      <c r="K62" s="14">
        <v>415.83333333333331</v>
      </c>
      <c r="L62" s="14">
        <v>2034</v>
      </c>
      <c r="M62" s="14">
        <v>1057.0751792288318</v>
      </c>
      <c r="N62" s="14">
        <v>3.1666666666666665</v>
      </c>
      <c r="O62" s="14">
        <v>38</v>
      </c>
      <c r="P62" s="14">
        <v>66147.839999999997</v>
      </c>
      <c r="Q62" s="14">
        <v>14</v>
      </c>
      <c r="R62">
        <v>830.2</v>
      </c>
      <c r="S62">
        <v>0</v>
      </c>
      <c r="T62">
        <v>31</v>
      </c>
      <c r="U62">
        <v>21</v>
      </c>
      <c r="V62">
        <v>6572.3</v>
      </c>
      <c r="W62">
        <v>5275.1</v>
      </c>
      <c r="X62">
        <v>194.2</v>
      </c>
      <c r="Y62">
        <v>152.30000000000001</v>
      </c>
    </row>
    <row r="63" spans="1:25" x14ac:dyDescent="0.2">
      <c r="A63" s="3">
        <v>39845</v>
      </c>
      <c r="B63" s="14">
        <v>17040932.699999999</v>
      </c>
      <c r="C63" s="14">
        <v>4638168</v>
      </c>
      <c r="D63" s="14">
        <v>8170</v>
      </c>
      <c r="E63" s="14">
        <v>1305706</v>
      </c>
      <c r="F63" s="14">
        <v>913</v>
      </c>
      <c r="G63" s="14">
        <v>7124599.4781108294</v>
      </c>
      <c r="H63" s="14">
        <v>30040.271104976862</v>
      </c>
      <c r="I63" s="14">
        <v>80</v>
      </c>
      <c r="J63" s="14">
        <v>74870.121294322802</v>
      </c>
      <c r="K63" s="14">
        <v>415.83333333333331</v>
      </c>
      <c r="L63" s="14">
        <v>2034</v>
      </c>
      <c r="M63" s="14">
        <v>1015.7469482658398</v>
      </c>
      <c r="N63" s="14">
        <v>3.1666666666666665</v>
      </c>
      <c r="O63" s="14">
        <v>38</v>
      </c>
      <c r="P63" s="14">
        <v>44072.287000000011</v>
      </c>
      <c r="Q63" s="14">
        <v>14</v>
      </c>
      <c r="R63">
        <v>606.4</v>
      </c>
      <c r="S63">
        <v>0</v>
      </c>
      <c r="T63">
        <v>28</v>
      </c>
      <c r="U63">
        <v>19</v>
      </c>
      <c r="V63">
        <v>6499.2</v>
      </c>
      <c r="W63">
        <v>5201</v>
      </c>
      <c r="X63">
        <v>189.9</v>
      </c>
      <c r="Y63">
        <v>148</v>
      </c>
    </row>
    <row r="64" spans="1:25" x14ac:dyDescent="0.2">
      <c r="A64" s="3">
        <v>39873</v>
      </c>
      <c r="B64" s="14">
        <v>16718727.699999999</v>
      </c>
      <c r="C64" s="14">
        <v>6152006</v>
      </c>
      <c r="D64" s="14">
        <v>8170</v>
      </c>
      <c r="E64" s="14">
        <v>2403388</v>
      </c>
      <c r="F64" s="14">
        <v>913</v>
      </c>
      <c r="G64" s="14">
        <v>9809598.9994187169</v>
      </c>
      <c r="H64" s="14">
        <v>28749.156346869477</v>
      </c>
      <c r="I64" s="14">
        <v>80</v>
      </c>
      <c r="J64" s="14">
        <v>180160.17806626623</v>
      </c>
      <c r="K64" s="14">
        <v>415.83333333333331</v>
      </c>
      <c r="L64" s="14">
        <v>2034</v>
      </c>
      <c r="M64" s="14">
        <v>1127.9480720790543</v>
      </c>
      <c r="N64" s="14">
        <v>3.1666666666666665</v>
      </c>
      <c r="O64" s="14">
        <v>38</v>
      </c>
      <c r="P64" s="14">
        <v>73480.52</v>
      </c>
      <c r="Q64" s="14">
        <v>14</v>
      </c>
      <c r="R64">
        <v>533.79999999999995</v>
      </c>
      <c r="S64">
        <v>0</v>
      </c>
      <c r="T64">
        <v>31</v>
      </c>
      <c r="U64">
        <v>22</v>
      </c>
      <c r="V64">
        <v>6425.4</v>
      </c>
      <c r="W64">
        <v>5125</v>
      </c>
      <c r="X64">
        <v>185.8</v>
      </c>
      <c r="Y64">
        <v>142.4</v>
      </c>
    </row>
    <row r="65" spans="1:25" x14ac:dyDescent="0.2">
      <c r="A65" s="3">
        <v>39904</v>
      </c>
      <c r="B65" s="14">
        <v>14953214.800000001</v>
      </c>
      <c r="C65" s="14">
        <v>4003090</v>
      </c>
      <c r="D65" s="14">
        <v>8170</v>
      </c>
      <c r="E65" s="14">
        <v>1975541</v>
      </c>
      <c r="F65" s="14">
        <v>913</v>
      </c>
      <c r="G65" s="14">
        <v>6891906.188916876</v>
      </c>
      <c r="H65" s="14">
        <v>27924.777139820253</v>
      </c>
      <c r="I65" s="14">
        <v>80</v>
      </c>
      <c r="J65" s="14">
        <v>128130.3522573145</v>
      </c>
      <c r="K65" s="14">
        <v>415.83333333333331</v>
      </c>
      <c r="L65" s="14">
        <v>2034</v>
      </c>
      <c r="M65" s="14">
        <v>869.24433249370259</v>
      </c>
      <c r="N65" s="14">
        <v>3.1666666666666665</v>
      </c>
      <c r="O65" s="14">
        <v>38</v>
      </c>
      <c r="P65" s="14">
        <v>56479.247999999992</v>
      </c>
      <c r="Q65" s="14">
        <v>14</v>
      </c>
      <c r="R65">
        <v>305.8</v>
      </c>
      <c r="S65">
        <v>1.2</v>
      </c>
      <c r="T65">
        <v>30</v>
      </c>
      <c r="U65">
        <v>20</v>
      </c>
      <c r="V65">
        <v>6423.1</v>
      </c>
      <c r="W65">
        <v>5119.3999999999996</v>
      </c>
      <c r="X65">
        <v>181.5</v>
      </c>
      <c r="Y65">
        <v>137.6</v>
      </c>
    </row>
    <row r="66" spans="1:25" x14ac:dyDescent="0.2">
      <c r="A66" s="3">
        <v>39934</v>
      </c>
      <c r="B66" s="14">
        <v>13861235.9</v>
      </c>
      <c r="C66" s="14">
        <v>4586143</v>
      </c>
      <c r="D66" s="14">
        <v>8170</v>
      </c>
      <c r="E66" s="14">
        <v>1710917</v>
      </c>
      <c r="F66" s="14">
        <v>913</v>
      </c>
      <c r="G66" s="14">
        <v>8306300.8525479548</v>
      </c>
      <c r="H66" s="14">
        <v>24603.133334830509</v>
      </c>
      <c r="I66" s="14">
        <v>80</v>
      </c>
      <c r="J66" s="14">
        <v>158884.17806626623</v>
      </c>
      <c r="K66" s="14">
        <v>415.83333333333331</v>
      </c>
      <c r="L66" s="14">
        <v>2034</v>
      </c>
      <c r="M66" s="14">
        <v>924.34411935671415</v>
      </c>
      <c r="N66" s="14">
        <v>3.1666666666666665</v>
      </c>
      <c r="O66" s="14">
        <v>38</v>
      </c>
      <c r="P66" s="14">
        <v>67395.81</v>
      </c>
      <c r="Q66" s="14">
        <v>14</v>
      </c>
      <c r="R66">
        <v>158.80000000000001</v>
      </c>
      <c r="S66">
        <v>6.9</v>
      </c>
      <c r="T66">
        <v>31</v>
      </c>
      <c r="U66">
        <v>20</v>
      </c>
      <c r="V66">
        <v>6447.5</v>
      </c>
      <c r="W66">
        <v>5157.3</v>
      </c>
      <c r="X66">
        <v>181.1</v>
      </c>
      <c r="Y66">
        <v>137.69999999999999</v>
      </c>
    </row>
    <row r="67" spans="1:25" x14ac:dyDescent="0.2">
      <c r="A67" s="3">
        <v>39965</v>
      </c>
      <c r="B67" s="14">
        <v>14287475.5</v>
      </c>
      <c r="C67" s="14">
        <v>3886133</v>
      </c>
      <c r="D67" s="14">
        <v>8170</v>
      </c>
      <c r="E67" s="14">
        <v>1521273</v>
      </c>
      <c r="F67" s="14">
        <v>913</v>
      </c>
      <c r="G67" s="14">
        <v>7083993.2501453217</v>
      </c>
      <c r="H67" s="14">
        <v>30837.825337828395</v>
      </c>
      <c r="I67" s="14">
        <v>80</v>
      </c>
      <c r="J67" s="14">
        <v>169827.23677581863</v>
      </c>
      <c r="K67" s="14">
        <v>415.83333333333331</v>
      </c>
      <c r="L67" s="14">
        <v>2034</v>
      </c>
      <c r="M67" s="14">
        <v>990.57546987018031</v>
      </c>
      <c r="N67" s="14">
        <v>3.1666666666666665</v>
      </c>
      <c r="O67" s="14">
        <v>38</v>
      </c>
      <c r="P67" s="14">
        <v>69819.20199999999</v>
      </c>
      <c r="Q67" s="14">
        <v>14</v>
      </c>
      <c r="R67">
        <v>49.3</v>
      </c>
      <c r="S67">
        <v>34.200000000000003</v>
      </c>
      <c r="T67">
        <v>30</v>
      </c>
      <c r="U67">
        <v>22</v>
      </c>
      <c r="V67">
        <v>6497.3</v>
      </c>
      <c r="W67">
        <v>5215.6000000000004</v>
      </c>
      <c r="X67">
        <v>184.3</v>
      </c>
      <c r="Y67">
        <v>141.30000000000001</v>
      </c>
    </row>
    <row r="68" spans="1:25" x14ac:dyDescent="0.2">
      <c r="A68" s="3">
        <v>39995</v>
      </c>
      <c r="B68" s="14">
        <v>16497725.1</v>
      </c>
      <c r="C68" s="14">
        <v>5399388</v>
      </c>
      <c r="D68" s="14">
        <v>8170</v>
      </c>
      <c r="E68" s="14">
        <v>2164272</v>
      </c>
      <c r="F68" s="14">
        <v>913</v>
      </c>
      <c r="G68" s="14">
        <v>8669353.375702383</v>
      </c>
      <c r="H68" s="14">
        <v>30595.557570859997</v>
      </c>
      <c r="I68" s="14">
        <v>80</v>
      </c>
      <c r="J68" s="14">
        <v>180347.23677581875</v>
      </c>
      <c r="K68" s="14">
        <v>415.83333333333331</v>
      </c>
      <c r="L68" s="14">
        <v>2034</v>
      </c>
      <c r="M68" s="14">
        <v>992.520829296648</v>
      </c>
      <c r="N68" s="14">
        <v>3.1666666666666665</v>
      </c>
      <c r="O68" s="14">
        <v>38</v>
      </c>
      <c r="P68" s="14">
        <v>72826.752999999968</v>
      </c>
      <c r="Q68" s="14">
        <v>14</v>
      </c>
      <c r="R68">
        <v>6.2</v>
      </c>
      <c r="S68">
        <v>43.7</v>
      </c>
      <c r="T68">
        <v>31</v>
      </c>
      <c r="U68">
        <v>22</v>
      </c>
      <c r="V68">
        <v>6534.5</v>
      </c>
      <c r="W68">
        <v>5294</v>
      </c>
      <c r="X68">
        <v>188.8</v>
      </c>
      <c r="Y68">
        <v>145.80000000000001</v>
      </c>
    </row>
    <row r="69" spans="1:25" x14ac:dyDescent="0.2">
      <c r="A69" s="3">
        <v>40026</v>
      </c>
      <c r="B69" s="14">
        <v>18264505.100000001</v>
      </c>
      <c r="C69" s="14">
        <v>5847650</v>
      </c>
      <c r="D69" s="14">
        <v>8170</v>
      </c>
      <c r="E69" s="14">
        <v>1900782</v>
      </c>
      <c r="F69" s="14">
        <v>913</v>
      </c>
      <c r="G69" s="14">
        <v>9636717.2088742461</v>
      </c>
      <c r="H69" s="14">
        <v>34498.32381688185</v>
      </c>
      <c r="I69" s="14">
        <v>80</v>
      </c>
      <c r="J69" s="14">
        <v>140790.17806626623</v>
      </c>
      <c r="K69" s="14">
        <v>415.83333333333331</v>
      </c>
      <c r="L69" s="14">
        <v>2034</v>
      </c>
      <c r="M69" s="14">
        <v>1007.8075954272425</v>
      </c>
      <c r="N69" s="14">
        <v>3.1666666666666665</v>
      </c>
      <c r="O69" s="14">
        <v>38</v>
      </c>
      <c r="P69" s="14">
        <v>62222.1</v>
      </c>
      <c r="Q69" s="14">
        <v>14</v>
      </c>
      <c r="R69">
        <v>9.8000000000000007</v>
      </c>
      <c r="S69">
        <v>91</v>
      </c>
      <c r="T69">
        <v>31</v>
      </c>
      <c r="U69">
        <v>20</v>
      </c>
      <c r="V69">
        <v>6559.1</v>
      </c>
      <c r="W69">
        <v>5345.8</v>
      </c>
      <c r="X69">
        <v>192.7</v>
      </c>
      <c r="Y69">
        <v>148.69999999999999</v>
      </c>
    </row>
    <row r="70" spans="1:25" x14ac:dyDescent="0.2">
      <c r="A70" s="3">
        <v>40057</v>
      </c>
      <c r="B70" s="14">
        <v>15199547.6</v>
      </c>
      <c r="C70" s="14">
        <v>5669066</v>
      </c>
      <c r="D70" s="14">
        <v>8170</v>
      </c>
      <c r="E70" s="14">
        <v>1464462</v>
      </c>
      <c r="F70" s="14">
        <v>913</v>
      </c>
      <c r="G70" s="14">
        <v>7136454.8374346066</v>
      </c>
      <c r="H70" s="14">
        <v>30896.942280965188</v>
      </c>
      <c r="I70" s="14">
        <v>80</v>
      </c>
      <c r="J70" s="14">
        <v>84181.178066266235</v>
      </c>
      <c r="K70" s="14">
        <v>415.83333333333331</v>
      </c>
      <c r="L70" s="14">
        <v>2034</v>
      </c>
      <c r="M70" s="14">
        <v>966.15675256733266</v>
      </c>
      <c r="N70" s="14">
        <v>3.1666666666666665</v>
      </c>
      <c r="O70" s="14">
        <v>38</v>
      </c>
      <c r="P70" s="14">
        <v>46028.809999999939</v>
      </c>
      <c r="Q70" s="14">
        <v>14</v>
      </c>
      <c r="R70">
        <v>55.2</v>
      </c>
      <c r="S70">
        <v>20.9</v>
      </c>
      <c r="T70">
        <v>30</v>
      </c>
      <c r="U70">
        <v>21</v>
      </c>
      <c r="V70">
        <v>6543.1</v>
      </c>
      <c r="W70">
        <v>5347.8</v>
      </c>
      <c r="X70">
        <v>191.6</v>
      </c>
      <c r="Y70">
        <v>147.4</v>
      </c>
    </row>
    <row r="71" spans="1:25" x14ac:dyDescent="0.2">
      <c r="A71" s="3">
        <v>40087</v>
      </c>
      <c r="B71" s="14">
        <v>14940978.9</v>
      </c>
      <c r="C71" s="14">
        <v>4456317</v>
      </c>
      <c r="D71" s="14">
        <v>8170</v>
      </c>
      <c r="E71" s="14">
        <v>1987960</v>
      </c>
      <c r="F71" s="14">
        <v>913</v>
      </c>
      <c r="G71" s="14">
        <v>9588563.642123621</v>
      </c>
      <c r="H71" s="14">
        <v>31002.095179821132</v>
      </c>
      <c r="I71" s="14">
        <v>80</v>
      </c>
      <c r="J71" s="14">
        <v>186114.29548537103</v>
      </c>
      <c r="K71" s="14">
        <v>415.83333333333331</v>
      </c>
      <c r="L71" s="14">
        <v>2034</v>
      </c>
      <c r="M71" s="14">
        <v>1000.5667506297232</v>
      </c>
      <c r="N71" s="14">
        <v>3.1666666666666665</v>
      </c>
      <c r="O71" s="14">
        <v>38</v>
      </c>
      <c r="P71" s="14">
        <v>73767.85400000005</v>
      </c>
      <c r="Q71" s="14">
        <v>14</v>
      </c>
      <c r="R71">
        <v>287.8</v>
      </c>
      <c r="S71">
        <v>0</v>
      </c>
      <c r="T71">
        <v>31</v>
      </c>
      <c r="U71">
        <v>21</v>
      </c>
      <c r="V71">
        <v>6545.5</v>
      </c>
      <c r="W71">
        <v>5314.9</v>
      </c>
      <c r="X71">
        <v>192.3</v>
      </c>
      <c r="Y71">
        <v>147.6</v>
      </c>
    </row>
    <row r="72" spans="1:25" x14ac:dyDescent="0.2">
      <c r="A72" s="3">
        <v>40118</v>
      </c>
      <c r="B72" s="14">
        <v>14494697.5</v>
      </c>
      <c r="C72" s="14">
        <v>4266767</v>
      </c>
      <c r="D72" s="14">
        <v>8170</v>
      </c>
      <c r="E72" s="14">
        <v>1478564</v>
      </c>
      <c r="F72" s="14">
        <v>913</v>
      </c>
      <c r="G72" s="14">
        <v>7421867.2873474136</v>
      </c>
      <c r="H72" s="14">
        <v>26820.578201923025</v>
      </c>
      <c r="I72" s="14">
        <v>80</v>
      </c>
      <c r="J72" s="14">
        <v>143044.12129432289</v>
      </c>
      <c r="K72" s="14">
        <v>415.83333333333331</v>
      </c>
      <c r="L72" s="14">
        <v>2034</v>
      </c>
      <c r="M72" s="14">
        <v>998.77736872699097</v>
      </c>
      <c r="N72" s="14">
        <v>3.1666666666666665</v>
      </c>
      <c r="O72" s="14">
        <v>38</v>
      </c>
      <c r="P72" s="14">
        <v>63581.18200000003</v>
      </c>
      <c r="Q72" s="14">
        <v>14</v>
      </c>
      <c r="R72">
        <v>361.2</v>
      </c>
      <c r="S72">
        <v>0</v>
      </c>
      <c r="T72">
        <v>30</v>
      </c>
      <c r="U72">
        <v>21</v>
      </c>
      <c r="V72">
        <v>6539.6</v>
      </c>
      <c r="W72">
        <v>5267.8</v>
      </c>
      <c r="X72">
        <v>191.3</v>
      </c>
      <c r="Y72">
        <v>145.9</v>
      </c>
    </row>
    <row r="73" spans="1:25" x14ac:dyDescent="0.2">
      <c r="A73" s="3">
        <v>40148</v>
      </c>
      <c r="B73" s="14">
        <v>16870237.5</v>
      </c>
      <c r="C73" s="14">
        <v>6180523</v>
      </c>
      <c r="D73" s="14">
        <v>8170</v>
      </c>
      <c r="E73" s="14">
        <v>2298458</v>
      </c>
      <c r="F73" s="14">
        <v>913</v>
      </c>
      <c r="G73" s="14">
        <v>10370391.102887042</v>
      </c>
      <c r="H73" s="14">
        <v>31210.284979568249</v>
      </c>
      <c r="I73" s="14">
        <v>80</v>
      </c>
      <c r="J73" s="14">
        <v>218674.00465026149</v>
      </c>
      <c r="K73" s="14">
        <v>415.83333333333331</v>
      </c>
      <c r="L73" s="14">
        <v>2034</v>
      </c>
      <c r="M73" s="14">
        <v>713.26002712652553</v>
      </c>
      <c r="N73" s="14">
        <v>3.1666666666666665</v>
      </c>
      <c r="O73" s="14">
        <v>38</v>
      </c>
      <c r="P73" s="14">
        <v>84661.888999999966</v>
      </c>
      <c r="Q73" s="14">
        <v>14</v>
      </c>
      <c r="R73">
        <v>631.29999999999995</v>
      </c>
      <c r="S73">
        <v>0</v>
      </c>
      <c r="T73">
        <v>31</v>
      </c>
      <c r="U73">
        <v>21</v>
      </c>
      <c r="V73">
        <v>6542.2</v>
      </c>
      <c r="W73">
        <v>5254.5</v>
      </c>
      <c r="X73">
        <v>189.8</v>
      </c>
      <c r="Y73">
        <v>144.30000000000001</v>
      </c>
    </row>
    <row r="74" spans="1:25" x14ac:dyDescent="0.2">
      <c r="A74" s="3">
        <v>40179</v>
      </c>
      <c r="B74" s="14">
        <v>17558439.800000001</v>
      </c>
      <c r="C74" s="14">
        <v>6711494</v>
      </c>
      <c r="D74" s="14">
        <v>8151</v>
      </c>
      <c r="E74" s="14">
        <v>2004005</v>
      </c>
      <c r="F74" s="14">
        <v>898</v>
      </c>
      <c r="G74" s="14">
        <v>8915175.016469676</v>
      </c>
      <c r="H74" s="14">
        <v>21871.503288238051</v>
      </c>
      <c r="I74" s="14">
        <v>81</v>
      </c>
      <c r="J74" s="14">
        <v>147391.99534973843</v>
      </c>
      <c r="K74" s="14">
        <v>471.41666666666669</v>
      </c>
      <c r="L74" s="14">
        <v>2015</v>
      </c>
      <c r="M74" s="14">
        <v>861.9046696376671</v>
      </c>
      <c r="N74" s="14">
        <v>3.9166666666666665</v>
      </c>
      <c r="O74" s="14">
        <v>46</v>
      </c>
      <c r="P74" s="14">
        <v>16363.514999999999</v>
      </c>
      <c r="Q74" s="14">
        <v>14</v>
      </c>
      <c r="R74">
        <v>720</v>
      </c>
      <c r="S74">
        <v>0</v>
      </c>
      <c r="T74">
        <v>31</v>
      </c>
      <c r="U74">
        <v>20</v>
      </c>
      <c r="V74">
        <v>6502.5</v>
      </c>
      <c r="W74">
        <v>5212.8</v>
      </c>
      <c r="X74">
        <v>187.8</v>
      </c>
      <c r="Y74">
        <v>142.69999999999999</v>
      </c>
    </row>
    <row r="75" spans="1:25" x14ac:dyDescent="0.2">
      <c r="A75" s="3">
        <v>40210</v>
      </c>
      <c r="B75" s="14">
        <v>16822587.899999999</v>
      </c>
      <c r="C75" s="14">
        <v>5813364</v>
      </c>
      <c r="D75" s="14">
        <v>8151</v>
      </c>
      <c r="E75" s="14">
        <v>2055954</v>
      </c>
      <c r="F75" s="14">
        <v>898</v>
      </c>
      <c r="G75" s="14">
        <v>2936485.4925402054</v>
      </c>
      <c r="H75" s="14">
        <v>29290.698386013421</v>
      </c>
      <c r="I75" s="14">
        <v>81</v>
      </c>
      <c r="J75" s="14">
        <v>99949</v>
      </c>
      <c r="K75" s="14">
        <v>471.41666666666669</v>
      </c>
      <c r="L75" s="14">
        <v>2015</v>
      </c>
      <c r="M75" s="14">
        <v>1310.1695407866691</v>
      </c>
      <c r="N75" s="14">
        <v>3.9166666666666665</v>
      </c>
      <c r="O75" s="14">
        <v>46</v>
      </c>
      <c r="P75" s="14">
        <v>36313.945</v>
      </c>
      <c r="Q75" s="14">
        <v>14</v>
      </c>
      <c r="R75">
        <v>598.29999999999995</v>
      </c>
      <c r="S75">
        <v>0</v>
      </c>
      <c r="T75">
        <v>28</v>
      </c>
      <c r="U75">
        <v>19</v>
      </c>
      <c r="V75">
        <v>6470.2</v>
      </c>
      <c r="W75">
        <v>5186</v>
      </c>
      <c r="X75">
        <v>186.2</v>
      </c>
      <c r="Y75">
        <v>141.19999999999999</v>
      </c>
    </row>
    <row r="76" spans="1:25" x14ac:dyDescent="0.2">
      <c r="A76" s="3">
        <v>40238</v>
      </c>
      <c r="B76" s="14">
        <v>17113088.100000001</v>
      </c>
      <c r="C76" s="14">
        <v>6362283</v>
      </c>
      <c r="D76" s="14">
        <v>8151</v>
      </c>
      <c r="E76" s="14">
        <v>2750405</v>
      </c>
      <c r="F76" s="14">
        <v>898</v>
      </c>
      <c r="G76" s="14">
        <v>11206367.611896921</v>
      </c>
      <c r="H76" s="14">
        <v>30932.402407648955</v>
      </c>
      <c r="I76" s="14">
        <v>81</v>
      </c>
      <c r="J76" s="14">
        <v>128949.18368533232</v>
      </c>
      <c r="K76" s="14">
        <v>471.41666666666669</v>
      </c>
      <c r="L76" s="14">
        <v>2015</v>
      </c>
      <c r="M76" s="14">
        <v>789.09707421042458</v>
      </c>
      <c r="N76" s="14">
        <v>3.9166666666666665</v>
      </c>
      <c r="O76" s="14">
        <v>46</v>
      </c>
      <c r="P76" s="14">
        <v>120961.62</v>
      </c>
      <c r="Q76" s="14">
        <v>14</v>
      </c>
      <c r="R76">
        <v>422.8</v>
      </c>
      <c r="S76">
        <v>0</v>
      </c>
      <c r="T76">
        <v>31</v>
      </c>
      <c r="U76">
        <v>23</v>
      </c>
      <c r="V76">
        <v>6448.9</v>
      </c>
      <c r="W76">
        <v>5159.6000000000004</v>
      </c>
      <c r="X76">
        <v>186.9</v>
      </c>
      <c r="Y76">
        <v>140.4</v>
      </c>
    </row>
    <row r="77" spans="1:25" x14ac:dyDescent="0.2">
      <c r="A77" s="3">
        <v>40269</v>
      </c>
      <c r="B77" s="14">
        <v>13781830.6</v>
      </c>
      <c r="C77" s="14">
        <v>2924036</v>
      </c>
      <c r="D77" s="14">
        <v>8151</v>
      </c>
      <c r="E77" s="14">
        <v>1270847</v>
      </c>
      <c r="F77" s="14">
        <v>898</v>
      </c>
      <c r="G77" s="14">
        <v>5890964.1796163544</v>
      </c>
      <c r="H77" s="14">
        <v>29318.515386380015</v>
      </c>
      <c r="I77" s="14">
        <v>81</v>
      </c>
      <c r="J77" s="14">
        <v>151704.1693470258</v>
      </c>
      <c r="K77" s="14">
        <v>471.41666666666669</v>
      </c>
      <c r="L77" s="14">
        <v>2015</v>
      </c>
      <c r="M77" s="14">
        <v>1022.2476264289867</v>
      </c>
      <c r="N77" s="14">
        <v>3.9166666666666665</v>
      </c>
      <c r="O77" s="14">
        <v>46</v>
      </c>
      <c r="P77" s="14">
        <v>42360.859000000026</v>
      </c>
      <c r="Q77" s="14">
        <v>14</v>
      </c>
      <c r="R77">
        <v>225.1</v>
      </c>
      <c r="S77">
        <v>0</v>
      </c>
      <c r="T77">
        <v>30</v>
      </c>
      <c r="U77">
        <v>20</v>
      </c>
      <c r="V77">
        <v>6480.4</v>
      </c>
      <c r="W77">
        <v>5180.2</v>
      </c>
      <c r="X77">
        <v>187.7</v>
      </c>
      <c r="Y77">
        <v>139.19999999999999</v>
      </c>
    </row>
    <row r="78" spans="1:25" x14ac:dyDescent="0.2">
      <c r="A78" s="3">
        <v>40299</v>
      </c>
      <c r="B78" s="14">
        <v>14419059.4</v>
      </c>
      <c r="C78" s="14">
        <v>4502404</v>
      </c>
      <c r="D78" s="14">
        <v>8151</v>
      </c>
      <c r="E78" s="14">
        <v>2158489</v>
      </c>
      <c r="F78" s="14">
        <v>898</v>
      </c>
      <c r="G78" s="14">
        <v>7925210.1929858541</v>
      </c>
      <c r="H78" s="14">
        <v>25998.162342622061</v>
      </c>
      <c r="I78" s="14">
        <v>81</v>
      </c>
      <c r="J78" s="14">
        <v>134841.77271846542</v>
      </c>
      <c r="K78" s="14">
        <v>471.41666666666669</v>
      </c>
      <c r="L78" s="14">
        <v>2015</v>
      </c>
      <c r="M78" s="14">
        <v>930.47568300716921</v>
      </c>
      <c r="N78" s="14">
        <v>3.9166666666666665</v>
      </c>
      <c r="O78" s="14">
        <v>46</v>
      </c>
      <c r="P78" s="14">
        <v>83714.37</v>
      </c>
      <c r="Q78" s="14">
        <v>14</v>
      </c>
      <c r="R78">
        <v>107.9</v>
      </c>
      <c r="S78">
        <v>45.7</v>
      </c>
      <c r="T78">
        <v>31</v>
      </c>
      <c r="U78">
        <v>20</v>
      </c>
      <c r="V78">
        <v>6546</v>
      </c>
      <c r="W78">
        <v>5249.5</v>
      </c>
      <c r="X78">
        <v>191.3</v>
      </c>
      <c r="Y78">
        <v>143</v>
      </c>
    </row>
    <row r="79" spans="1:25" x14ac:dyDescent="0.2">
      <c r="A79" s="3">
        <v>40330</v>
      </c>
      <c r="B79" s="14">
        <v>16556928.699999999</v>
      </c>
      <c r="C79" s="14">
        <v>5566781</v>
      </c>
      <c r="D79" s="14">
        <v>8151</v>
      </c>
      <c r="E79" s="14">
        <v>2143726</v>
      </c>
      <c r="F79" s="14">
        <v>898</v>
      </c>
      <c r="G79" s="14">
        <v>8632380.939703336</v>
      </c>
      <c r="H79" s="14">
        <v>35461.627467338272</v>
      </c>
      <c r="I79" s="14">
        <v>81</v>
      </c>
      <c r="J79" s="14">
        <v>27998.736466962029</v>
      </c>
      <c r="K79" s="14">
        <v>471.41666666666669</v>
      </c>
      <c r="L79" s="14">
        <v>2015</v>
      </c>
      <c r="M79" s="14">
        <v>961.12984010787932</v>
      </c>
      <c r="N79" s="14">
        <v>3.9166666666666665</v>
      </c>
      <c r="O79" s="14">
        <v>46</v>
      </c>
      <c r="P79" s="14">
        <v>60640.902999999991</v>
      </c>
      <c r="Q79" s="14">
        <v>14</v>
      </c>
      <c r="R79">
        <v>21.7</v>
      </c>
      <c r="S79">
        <v>58.7</v>
      </c>
      <c r="T79">
        <v>30</v>
      </c>
      <c r="U79">
        <v>22</v>
      </c>
      <c r="V79">
        <v>6648.7</v>
      </c>
      <c r="W79">
        <v>5359.8</v>
      </c>
      <c r="X79">
        <v>196.7</v>
      </c>
      <c r="Y79">
        <v>149.30000000000001</v>
      </c>
    </row>
    <row r="80" spans="1:25" x14ac:dyDescent="0.2">
      <c r="A80" s="3">
        <v>40360</v>
      </c>
      <c r="B80" s="14">
        <v>20834440.800000001</v>
      </c>
      <c r="C80" s="14">
        <v>7696314</v>
      </c>
      <c r="D80" s="14">
        <v>8151</v>
      </c>
      <c r="E80" s="14">
        <v>2106688</v>
      </c>
      <c r="F80" s="14">
        <v>898</v>
      </c>
      <c r="G80" s="14">
        <v>9758688.3721826226</v>
      </c>
      <c r="H80" s="14">
        <v>35111.680462726414</v>
      </c>
      <c r="I80" s="14">
        <v>81</v>
      </c>
      <c r="J80" s="14">
        <v>199934.73839337309</v>
      </c>
      <c r="K80" s="14">
        <v>471.41666666666669</v>
      </c>
      <c r="L80" s="14">
        <v>2015</v>
      </c>
      <c r="M80" s="14">
        <v>1044.8622616066268</v>
      </c>
      <c r="N80" s="14">
        <v>3.9166666666666665</v>
      </c>
      <c r="O80" s="14">
        <v>46</v>
      </c>
      <c r="P80" s="14">
        <v>77597.916000000027</v>
      </c>
      <c r="Q80" s="14">
        <v>14</v>
      </c>
      <c r="R80">
        <v>1.8</v>
      </c>
      <c r="S80">
        <v>164.9</v>
      </c>
      <c r="T80">
        <v>31</v>
      </c>
      <c r="U80">
        <v>21</v>
      </c>
      <c r="V80">
        <v>6707.8</v>
      </c>
      <c r="W80">
        <v>5456</v>
      </c>
      <c r="X80">
        <v>198.6</v>
      </c>
      <c r="Y80">
        <v>154.30000000000001</v>
      </c>
    </row>
    <row r="81" spans="1:25" x14ac:dyDescent="0.2">
      <c r="A81" s="3">
        <v>40391</v>
      </c>
      <c r="B81" s="14">
        <v>20854787.399999999</v>
      </c>
      <c r="C81" s="14">
        <v>5935783</v>
      </c>
      <c r="D81" s="14">
        <v>8151</v>
      </c>
      <c r="E81" s="14">
        <v>1323781</v>
      </c>
      <c r="F81" s="14">
        <v>898</v>
      </c>
      <c r="G81" s="14">
        <v>9858788.7520708926</v>
      </c>
      <c r="H81" s="14">
        <v>41322.472544576609</v>
      </c>
      <c r="I81" s="14">
        <v>81</v>
      </c>
      <c r="J81" s="14">
        <v>107259.78828742052</v>
      </c>
      <c r="K81" s="14">
        <v>471.41666666666669</v>
      </c>
      <c r="L81" s="14">
        <v>2015</v>
      </c>
      <c r="M81" s="14">
        <v>1008.7796185706028</v>
      </c>
      <c r="N81" s="14">
        <v>3.9166666666666665</v>
      </c>
      <c r="O81" s="14">
        <v>46</v>
      </c>
      <c r="P81" s="14">
        <v>50170.495999999985</v>
      </c>
      <c r="Q81" s="14">
        <v>14</v>
      </c>
      <c r="R81">
        <v>2.1</v>
      </c>
      <c r="S81">
        <v>138.80000000000001</v>
      </c>
      <c r="T81">
        <v>31</v>
      </c>
      <c r="U81">
        <v>21</v>
      </c>
      <c r="V81">
        <v>6731.7</v>
      </c>
      <c r="W81">
        <v>5503.9</v>
      </c>
      <c r="X81">
        <v>197.7</v>
      </c>
      <c r="Y81">
        <v>155.9</v>
      </c>
    </row>
    <row r="82" spans="1:25" x14ac:dyDescent="0.2">
      <c r="A82" s="3">
        <v>40422</v>
      </c>
      <c r="B82" s="14">
        <v>16171582</v>
      </c>
      <c r="C82" s="14">
        <v>4719685</v>
      </c>
      <c r="D82" s="14">
        <v>8151</v>
      </c>
      <c r="E82" s="14">
        <v>1238163</v>
      </c>
      <c r="F82" s="14">
        <v>898</v>
      </c>
      <c r="G82" s="14">
        <v>9514321.2078597546</v>
      </c>
      <c r="H82" s="14">
        <v>35237.364464382772</v>
      </c>
      <c r="I82" s="14">
        <v>81</v>
      </c>
      <c r="J82" s="14">
        <v>124918.48044692726</v>
      </c>
      <c r="K82" s="14">
        <v>471.41666666666669</v>
      </c>
      <c r="L82" s="14">
        <v>2015</v>
      </c>
      <c r="M82" s="14">
        <v>1109.5232132537076</v>
      </c>
      <c r="N82" s="14">
        <v>3.9166666666666665</v>
      </c>
      <c r="O82" s="14">
        <v>46</v>
      </c>
      <c r="P82" s="14">
        <v>49749.619000000006</v>
      </c>
      <c r="Q82" s="14">
        <v>14</v>
      </c>
      <c r="R82">
        <v>78.099999999999994</v>
      </c>
      <c r="S82">
        <v>31.5</v>
      </c>
      <c r="T82">
        <v>30</v>
      </c>
      <c r="U82">
        <v>21</v>
      </c>
      <c r="V82">
        <v>6683.6</v>
      </c>
      <c r="W82">
        <v>5453.3</v>
      </c>
      <c r="X82">
        <v>193.1</v>
      </c>
      <c r="Y82">
        <v>153.4</v>
      </c>
    </row>
    <row r="83" spans="1:25" x14ac:dyDescent="0.2">
      <c r="A83" s="3">
        <v>40452</v>
      </c>
      <c r="B83" s="14">
        <v>15559797.1</v>
      </c>
      <c r="C83" s="14">
        <v>4033123</v>
      </c>
      <c r="D83" s="14">
        <v>8151</v>
      </c>
      <c r="E83" s="14">
        <v>1993722</v>
      </c>
      <c r="F83" s="14">
        <v>898</v>
      </c>
      <c r="G83" s="14">
        <v>9585599.1259872839</v>
      </c>
      <c r="H83" s="14">
        <v>32347.884426303128</v>
      </c>
      <c r="I83" s="14">
        <v>81</v>
      </c>
      <c r="J83" s="14">
        <v>149438.48044692725</v>
      </c>
      <c r="K83" s="14">
        <v>471.41666666666669</v>
      </c>
      <c r="L83" s="14">
        <v>2015</v>
      </c>
      <c r="M83" s="14">
        <v>1221.4602196108644</v>
      </c>
      <c r="N83" s="14">
        <v>3.9166666666666665</v>
      </c>
      <c r="O83" s="14">
        <v>46</v>
      </c>
      <c r="P83" s="14">
        <v>72545.908999999985</v>
      </c>
      <c r="Q83" s="14">
        <v>14</v>
      </c>
      <c r="R83">
        <v>241.6</v>
      </c>
      <c r="S83">
        <v>0</v>
      </c>
      <c r="T83">
        <v>31</v>
      </c>
      <c r="U83">
        <v>20</v>
      </c>
      <c r="V83">
        <v>6667</v>
      </c>
      <c r="W83">
        <v>5408.6</v>
      </c>
      <c r="X83">
        <v>192.8</v>
      </c>
      <c r="Y83">
        <v>151.1</v>
      </c>
    </row>
    <row r="84" spans="1:25" x14ac:dyDescent="0.2">
      <c r="A84" s="3">
        <v>40483</v>
      </c>
      <c r="B84" s="14">
        <v>15098174.6</v>
      </c>
      <c r="C84" s="14">
        <v>4075720</v>
      </c>
      <c r="D84" s="14">
        <v>8151</v>
      </c>
      <c r="E84" s="14">
        <v>1631717</v>
      </c>
      <c r="F84" s="14">
        <v>898</v>
      </c>
      <c r="G84" s="14">
        <v>8991212.4671546966</v>
      </c>
      <c r="H84" s="14">
        <v>32574.167429285299</v>
      </c>
      <c r="I84" s="14">
        <v>81</v>
      </c>
      <c r="J84" s="14">
        <v>167088.87054517446</v>
      </c>
      <c r="K84" s="14">
        <v>471.41666666666669</v>
      </c>
      <c r="L84" s="14">
        <v>2015</v>
      </c>
      <c r="M84" s="14">
        <v>1120.5471007513006</v>
      </c>
      <c r="N84" s="14">
        <v>3.9166666666666665</v>
      </c>
      <c r="O84" s="14">
        <v>46</v>
      </c>
      <c r="P84" s="14">
        <v>36439.793999999994</v>
      </c>
      <c r="Q84" s="14">
        <v>14</v>
      </c>
      <c r="R84">
        <v>405.3</v>
      </c>
      <c r="S84">
        <v>0</v>
      </c>
      <c r="T84">
        <v>30</v>
      </c>
      <c r="U84">
        <v>22</v>
      </c>
      <c r="V84">
        <v>6643.7</v>
      </c>
      <c r="W84">
        <v>5349.4</v>
      </c>
      <c r="X84">
        <v>192.8</v>
      </c>
      <c r="Y84">
        <v>146.6</v>
      </c>
    </row>
    <row r="85" spans="1:25" x14ac:dyDescent="0.2">
      <c r="A85" s="3">
        <v>40513</v>
      </c>
      <c r="B85" s="14">
        <v>16954709.699999999</v>
      </c>
      <c r="C85" s="14">
        <v>5923363</v>
      </c>
      <c r="D85" s="14">
        <v>8151</v>
      </c>
      <c r="E85" s="14">
        <v>2103904.4700000002</v>
      </c>
      <c r="F85" s="14">
        <v>898</v>
      </c>
      <c r="G85" s="14">
        <v>8878049.7003816403</v>
      </c>
      <c r="H85" s="14">
        <v>29933.521394485004</v>
      </c>
      <c r="I85" s="14">
        <v>81</v>
      </c>
      <c r="J85" s="14">
        <v>188546.47986900411</v>
      </c>
      <c r="K85" s="14">
        <v>471.41666666666669</v>
      </c>
      <c r="L85" s="14">
        <v>2015</v>
      </c>
      <c r="M85" s="14">
        <v>1094.8873049508766</v>
      </c>
      <c r="N85" s="14">
        <v>3.9166666666666665</v>
      </c>
      <c r="O85" s="14">
        <v>46</v>
      </c>
      <c r="P85" s="14">
        <v>48223.521999999997</v>
      </c>
      <c r="Q85" s="14">
        <v>14</v>
      </c>
      <c r="R85">
        <v>676.2</v>
      </c>
      <c r="S85">
        <v>0</v>
      </c>
      <c r="T85">
        <v>31</v>
      </c>
      <c r="U85">
        <v>21</v>
      </c>
      <c r="V85">
        <v>6658.9</v>
      </c>
      <c r="W85">
        <v>5352.4</v>
      </c>
      <c r="X85">
        <v>193.3</v>
      </c>
      <c r="Y85">
        <v>144.30000000000001</v>
      </c>
    </row>
    <row r="86" spans="1:25" x14ac:dyDescent="0.2">
      <c r="A86" s="3">
        <v>40544</v>
      </c>
      <c r="B86" s="14">
        <v>18859740.870000001</v>
      </c>
      <c r="C86" s="14">
        <v>7818772</v>
      </c>
      <c r="D86" s="92">
        <v>8162</v>
      </c>
      <c r="E86" s="14">
        <v>2584392.7800000003</v>
      </c>
      <c r="F86" s="92">
        <v>904</v>
      </c>
      <c r="G86" s="14">
        <v>5173301.841649008</v>
      </c>
      <c r="H86" s="14">
        <v>31136</v>
      </c>
      <c r="I86" s="92">
        <v>81</v>
      </c>
      <c r="J86" s="14">
        <v>196164.5630899634</v>
      </c>
      <c r="K86" s="14">
        <v>455</v>
      </c>
      <c r="L86" s="14">
        <v>2000</v>
      </c>
      <c r="M86" s="14">
        <v>1123.405894817954</v>
      </c>
      <c r="N86" s="14">
        <v>4</v>
      </c>
      <c r="O86" s="14">
        <v>41</v>
      </c>
      <c r="P86" s="14">
        <v>51578.108999999997</v>
      </c>
      <c r="Q86" s="14">
        <v>14</v>
      </c>
      <c r="R86">
        <v>775.3</v>
      </c>
      <c r="S86">
        <v>0</v>
      </c>
      <c r="T86">
        <v>31</v>
      </c>
      <c r="U86">
        <v>20</v>
      </c>
      <c r="V86">
        <v>6637.6</v>
      </c>
      <c r="W86">
        <v>5316.6</v>
      </c>
      <c r="X86">
        <v>192.9</v>
      </c>
      <c r="Y86">
        <v>142.5</v>
      </c>
    </row>
    <row r="87" spans="1:25" x14ac:dyDescent="0.2">
      <c r="A87" s="3">
        <v>40575</v>
      </c>
      <c r="B87" s="14">
        <v>17762280.890000001</v>
      </c>
      <c r="C87" s="14">
        <v>5612460</v>
      </c>
      <c r="D87" s="92">
        <v>8155</v>
      </c>
      <c r="E87" s="14">
        <v>2610505.7500000005</v>
      </c>
      <c r="F87" s="92">
        <v>905</v>
      </c>
      <c r="G87" s="14">
        <v>6396467.2242342504</v>
      </c>
      <c r="H87" s="14">
        <v>26704</v>
      </c>
      <c r="I87" s="92">
        <v>82</v>
      </c>
      <c r="J87" s="14">
        <v>188748.09420150262</v>
      </c>
      <c r="K87" s="14">
        <v>455</v>
      </c>
      <c r="L87" s="14">
        <v>2000</v>
      </c>
      <c r="M87" s="14">
        <v>924.56270468117896</v>
      </c>
      <c r="N87" s="14">
        <v>3</v>
      </c>
      <c r="O87" s="14">
        <v>41</v>
      </c>
      <c r="P87" s="14">
        <v>43846.040000000008</v>
      </c>
      <c r="Q87" s="14">
        <v>14</v>
      </c>
      <c r="R87">
        <v>654.20000000000005</v>
      </c>
      <c r="S87">
        <v>0</v>
      </c>
      <c r="T87">
        <v>28</v>
      </c>
      <c r="U87">
        <v>19</v>
      </c>
      <c r="V87">
        <v>6616.7</v>
      </c>
      <c r="W87">
        <v>5289.1</v>
      </c>
      <c r="X87">
        <v>191.2</v>
      </c>
      <c r="Y87">
        <v>141.4</v>
      </c>
    </row>
    <row r="88" spans="1:25" x14ac:dyDescent="0.2">
      <c r="A88" s="3">
        <v>40603</v>
      </c>
      <c r="B88" s="14">
        <v>18669093.5</v>
      </c>
      <c r="C88" s="14">
        <v>2751973.9955821969</v>
      </c>
      <c r="D88" s="92">
        <v>8152</v>
      </c>
      <c r="E88" s="14">
        <v>789415.91534246877</v>
      </c>
      <c r="F88" s="92">
        <v>898</v>
      </c>
      <c r="G88" s="14">
        <v>13369081.34763436</v>
      </c>
      <c r="H88" s="14">
        <v>23203</v>
      </c>
      <c r="I88" s="92">
        <v>76</v>
      </c>
      <c r="J88" s="14">
        <v>289563.24223925103</v>
      </c>
      <c r="K88" s="14">
        <v>455</v>
      </c>
      <c r="L88" s="14">
        <v>2000</v>
      </c>
      <c r="M88" s="14">
        <v>1071.0957426314776</v>
      </c>
      <c r="N88" s="14">
        <v>4</v>
      </c>
      <c r="O88" s="14">
        <v>41</v>
      </c>
      <c r="P88" s="14">
        <v>17781.467342465679</v>
      </c>
      <c r="Q88" s="14">
        <v>14</v>
      </c>
      <c r="R88">
        <v>572.79999999999995</v>
      </c>
      <c r="S88">
        <v>0</v>
      </c>
      <c r="T88">
        <v>31</v>
      </c>
      <c r="U88">
        <v>23</v>
      </c>
      <c r="V88">
        <v>6593.3</v>
      </c>
      <c r="W88">
        <v>5280.1</v>
      </c>
      <c r="X88">
        <v>191.1</v>
      </c>
      <c r="Y88">
        <v>141.9</v>
      </c>
    </row>
    <row r="89" spans="1:25" x14ac:dyDescent="0.2">
      <c r="A89" s="3">
        <v>40634</v>
      </c>
      <c r="B89" s="14">
        <v>16557531.949999999</v>
      </c>
      <c r="C89" s="14">
        <v>7077622.0044178031</v>
      </c>
      <c r="D89" s="92">
        <v>8144</v>
      </c>
      <c r="E89" s="14">
        <v>3204293.0846575303</v>
      </c>
      <c r="F89" s="92">
        <v>894</v>
      </c>
      <c r="G89" s="14">
        <v>2114008.6930129137</v>
      </c>
      <c r="H89" s="14">
        <v>36090</v>
      </c>
      <c r="I89" s="92">
        <v>76</v>
      </c>
      <c r="J89" s="14">
        <v>23953.499043738702</v>
      </c>
      <c r="K89" s="14">
        <v>455</v>
      </c>
      <c r="L89" s="14">
        <v>2000</v>
      </c>
      <c r="M89" s="14">
        <v>1078.7703717973418</v>
      </c>
      <c r="N89" s="14">
        <v>3</v>
      </c>
      <c r="O89" s="14">
        <v>41</v>
      </c>
      <c r="P89" s="14">
        <v>72762.523657534315</v>
      </c>
      <c r="Q89" s="14">
        <v>14</v>
      </c>
      <c r="R89">
        <v>332.3</v>
      </c>
      <c r="S89">
        <v>0</v>
      </c>
      <c r="T89">
        <v>30</v>
      </c>
      <c r="U89">
        <v>19</v>
      </c>
      <c r="V89">
        <v>6625.9</v>
      </c>
      <c r="W89">
        <v>5317.8</v>
      </c>
      <c r="X89">
        <v>191.8</v>
      </c>
      <c r="Y89">
        <v>143</v>
      </c>
    </row>
    <row r="90" spans="1:25" x14ac:dyDescent="0.2">
      <c r="A90" s="3">
        <v>40664</v>
      </c>
      <c r="B90" s="14">
        <v>16172079.699999999</v>
      </c>
      <c r="C90" s="14">
        <v>4217212</v>
      </c>
      <c r="D90" s="92">
        <v>8138</v>
      </c>
      <c r="E90" s="14">
        <v>1943996</v>
      </c>
      <c r="F90" s="92">
        <v>896</v>
      </c>
      <c r="G90" s="14">
        <v>8150229.7048738189</v>
      </c>
      <c r="H90" s="14">
        <v>29463</v>
      </c>
      <c r="I90" s="92">
        <v>75</v>
      </c>
      <c r="J90" s="14">
        <v>129481.7844345984</v>
      </c>
      <c r="K90" s="14">
        <v>455</v>
      </c>
      <c r="L90" s="14">
        <v>2000</v>
      </c>
      <c r="M90" s="14">
        <v>1321.9237141205931</v>
      </c>
      <c r="N90" s="14">
        <v>4</v>
      </c>
      <c r="O90" s="14">
        <v>41</v>
      </c>
      <c r="P90" s="14">
        <v>50729.349999999977</v>
      </c>
      <c r="Q90" s="14">
        <v>14</v>
      </c>
      <c r="R90">
        <v>134.1</v>
      </c>
      <c r="S90">
        <v>13</v>
      </c>
      <c r="T90">
        <v>31</v>
      </c>
      <c r="U90">
        <v>21</v>
      </c>
      <c r="V90">
        <v>6690.7</v>
      </c>
      <c r="W90">
        <v>5405.5</v>
      </c>
      <c r="X90">
        <v>194.5</v>
      </c>
      <c r="Y90">
        <v>147.6</v>
      </c>
    </row>
    <row r="91" spans="1:25" x14ac:dyDescent="0.2">
      <c r="A91" s="3">
        <v>40695</v>
      </c>
      <c r="B91" s="14">
        <v>17044515.359999999</v>
      </c>
      <c r="C91" s="14">
        <v>4410985</v>
      </c>
      <c r="D91" s="92">
        <v>8123</v>
      </c>
      <c r="E91" s="14">
        <v>1850951</v>
      </c>
      <c r="F91" s="92">
        <v>898</v>
      </c>
      <c r="G91" s="14">
        <v>8506281.9961471744</v>
      </c>
      <c r="H91" s="14">
        <v>34881</v>
      </c>
      <c r="I91" s="92">
        <v>74</v>
      </c>
      <c r="J91" s="14">
        <v>120800.17645925644</v>
      </c>
      <c r="K91" s="14">
        <v>455</v>
      </c>
      <c r="L91" s="14">
        <v>2000</v>
      </c>
      <c r="M91" s="14">
        <v>1132.8480061645159</v>
      </c>
      <c r="N91" s="14">
        <v>3</v>
      </c>
      <c r="O91" s="14">
        <v>41</v>
      </c>
      <c r="P91" s="14">
        <v>53651.927000000025</v>
      </c>
      <c r="Q91" s="14">
        <v>14</v>
      </c>
      <c r="R91">
        <v>19</v>
      </c>
      <c r="S91">
        <v>52.2</v>
      </c>
      <c r="T91">
        <v>30</v>
      </c>
      <c r="U91">
        <v>22</v>
      </c>
      <c r="V91">
        <v>6787.8</v>
      </c>
      <c r="W91">
        <v>5496</v>
      </c>
      <c r="X91">
        <v>198.5</v>
      </c>
      <c r="Y91">
        <v>153</v>
      </c>
    </row>
    <row r="92" spans="1:25" x14ac:dyDescent="0.2">
      <c r="A92" s="3">
        <v>40725</v>
      </c>
      <c r="B92" s="14">
        <v>21758891.91</v>
      </c>
      <c r="C92" s="14">
        <v>6067690</v>
      </c>
      <c r="D92" s="92">
        <v>8130</v>
      </c>
      <c r="E92" s="14">
        <v>1558463.0000000019</v>
      </c>
      <c r="F92" s="92">
        <v>892</v>
      </c>
      <c r="G92" s="14">
        <v>10398792.088614913</v>
      </c>
      <c r="H92" s="14">
        <v>25483</v>
      </c>
      <c r="I92" s="92">
        <v>73</v>
      </c>
      <c r="J92" s="14">
        <v>108365.86938932771</v>
      </c>
      <c r="K92" s="14">
        <v>455</v>
      </c>
      <c r="L92" s="14">
        <v>2000</v>
      </c>
      <c r="M92" s="14">
        <v>889.68965517241395</v>
      </c>
      <c r="N92" s="14">
        <v>3</v>
      </c>
      <c r="O92" s="14">
        <v>41</v>
      </c>
      <c r="P92" s="14">
        <v>54674.722000000009</v>
      </c>
      <c r="Q92" s="14">
        <v>14</v>
      </c>
      <c r="R92">
        <v>0</v>
      </c>
      <c r="S92">
        <v>198.5</v>
      </c>
      <c r="T92">
        <v>31</v>
      </c>
      <c r="U92">
        <v>20</v>
      </c>
      <c r="V92">
        <v>6831.4</v>
      </c>
      <c r="W92">
        <v>5593.1</v>
      </c>
      <c r="X92">
        <v>201.2</v>
      </c>
      <c r="Y92">
        <v>158.9</v>
      </c>
    </row>
    <row r="93" spans="1:25" x14ac:dyDescent="0.2">
      <c r="A93" s="3">
        <v>40756</v>
      </c>
      <c r="B93" s="14">
        <v>20502645.550000001</v>
      </c>
      <c r="C93" s="14">
        <v>7257858</v>
      </c>
      <c r="D93" s="92">
        <v>8126</v>
      </c>
      <c r="E93" s="14">
        <v>1558463.0000000019</v>
      </c>
      <c r="F93" s="92">
        <v>891</v>
      </c>
      <c r="G93" s="14">
        <v>8135660.5343864374</v>
      </c>
      <c r="H93" s="14">
        <v>35139</v>
      </c>
      <c r="I93" s="92">
        <v>72</v>
      </c>
      <c r="J93" s="14">
        <v>105732.7844345984</v>
      </c>
      <c r="K93" s="14">
        <v>455</v>
      </c>
      <c r="L93" s="14">
        <v>2000</v>
      </c>
      <c r="M93" s="14">
        <v>1079.8135234058955</v>
      </c>
      <c r="N93" s="14">
        <v>3</v>
      </c>
      <c r="O93" s="14">
        <v>41</v>
      </c>
      <c r="P93" s="14">
        <v>35132.997999999963</v>
      </c>
      <c r="Q93" s="14">
        <v>14</v>
      </c>
      <c r="R93">
        <v>0</v>
      </c>
      <c r="S93">
        <v>122.2</v>
      </c>
      <c r="T93">
        <v>31</v>
      </c>
      <c r="U93">
        <v>22</v>
      </c>
      <c r="V93">
        <v>6845.5</v>
      </c>
      <c r="W93">
        <v>5646.1</v>
      </c>
      <c r="X93">
        <v>202.6</v>
      </c>
      <c r="Y93">
        <v>162.1</v>
      </c>
    </row>
    <row r="94" spans="1:25" x14ac:dyDescent="0.2">
      <c r="A94" s="3">
        <v>40787</v>
      </c>
      <c r="B94" s="14">
        <v>17939458.649999999</v>
      </c>
      <c r="C94" s="14">
        <v>6171977</v>
      </c>
      <c r="D94" s="92">
        <v>8130</v>
      </c>
      <c r="E94" s="14">
        <v>2166047.0000000019</v>
      </c>
      <c r="F94" s="92">
        <v>892</v>
      </c>
      <c r="G94" s="14">
        <v>9449914.5904449988</v>
      </c>
      <c r="H94" s="14">
        <v>36367</v>
      </c>
      <c r="I94" s="92">
        <v>73</v>
      </c>
      <c r="J94" s="14">
        <v>117993.96840685792</v>
      </c>
      <c r="K94" s="14">
        <v>462</v>
      </c>
      <c r="L94" s="14">
        <v>2000</v>
      </c>
      <c r="M94" s="14">
        <v>895.88036987093074</v>
      </c>
      <c r="N94" s="14">
        <v>4</v>
      </c>
      <c r="O94" s="14">
        <v>41</v>
      </c>
      <c r="P94" s="14">
        <v>58706.874000000011</v>
      </c>
      <c r="Q94" s="14">
        <v>14</v>
      </c>
      <c r="R94">
        <v>48.2</v>
      </c>
      <c r="S94">
        <v>39.700000000000003</v>
      </c>
      <c r="T94">
        <v>30</v>
      </c>
      <c r="U94">
        <v>21</v>
      </c>
      <c r="V94">
        <v>6799.8</v>
      </c>
      <c r="W94">
        <v>5620.8</v>
      </c>
      <c r="X94">
        <v>202.2</v>
      </c>
      <c r="Y94">
        <v>161.5</v>
      </c>
    </row>
    <row r="95" spans="1:25" x14ac:dyDescent="0.2">
      <c r="A95" s="3">
        <v>40817</v>
      </c>
      <c r="B95" s="14">
        <v>16174827.98</v>
      </c>
      <c r="C95" s="14">
        <v>3298063</v>
      </c>
      <c r="D95" s="92">
        <v>8159</v>
      </c>
      <c r="E95" s="14">
        <v>1579249</v>
      </c>
      <c r="F95" s="92">
        <v>897</v>
      </c>
      <c r="G95" s="14">
        <v>8715443.4201502632</v>
      </c>
      <c r="H95" s="14">
        <v>34214</v>
      </c>
      <c r="I95" s="92">
        <v>74</v>
      </c>
      <c r="J95" s="14">
        <v>156495.00019264105</v>
      </c>
      <c r="K95" s="14">
        <v>449</v>
      </c>
      <c r="L95" s="14">
        <v>2000</v>
      </c>
      <c r="M95" s="14">
        <v>1241.1876324407622</v>
      </c>
      <c r="N95" s="14">
        <v>3</v>
      </c>
      <c r="O95" s="14">
        <v>41</v>
      </c>
      <c r="P95" s="14">
        <v>34401.025000000023</v>
      </c>
      <c r="Q95" s="14">
        <v>14</v>
      </c>
      <c r="R95">
        <v>235.5</v>
      </c>
      <c r="S95">
        <v>2.4</v>
      </c>
      <c r="T95">
        <v>31</v>
      </c>
      <c r="U95">
        <v>20</v>
      </c>
      <c r="V95">
        <v>6773.1</v>
      </c>
      <c r="W95">
        <v>5541.4</v>
      </c>
      <c r="X95">
        <v>201.5</v>
      </c>
      <c r="Y95">
        <v>159.80000000000001</v>
      </c>
    </row>
    <row r="96" spans="1:25" x14ac:dyDescent="0.2">
      <c r="A96" s="3">
        <v>40848</v>
      </c>
      <c r="B96" s="14">
        <v>14958941.810000001</v>
      </c>
      <c r="C96" s="14">
        <v>3860016</v>
      </c>
      <c r="D96" s="92">
        <v>8170</v>
      </c>
      <c r="E96" s="14">
        <v>1532156</v>
      </c>
      <c r="F96" s="92">
        <v>893</v>
      </c>
      <c r="G96" s="14">
        <v>7865101.9242920475</v>
      </c>
      <c r="H96" s="14">
        <v>33071</v>
      </c>
      <c r="I96" s="92">
        <v>74</v>
      </c>
      <c r="J96" s="14">
        <v>170388.17626661528</v>
      </c>
      <c r="K96" s="14">
        <v>455</v>
      </c>
      <c r="L96" s="14">
        <v>2000</v>
      </c>
      <c r="M96" s="14">
        <v>1275.3511847428235</v>
      </c>
      <c r="N96" s="14">
        <v>3</v>
      </c>
      <c r="O96" s="14">
        <v>41</v>
      </c>
      <c r="P96" s="14">
        <v>50801.536999999953</v>
      </c>
      <c r="Q96" s="14">
        <v>12</v>
      </c>
      <c r="R96">
        <v>342.1</v>
      </c>
      <c r="S96">
        <v>0</v>
      </c>
      <c r="T96">
        <v>30</v>
      </c>
      <c r="U96">
        <v>22</v>
      </c>
      <c r="V96">
        <v>6744.9</v>
      </c>
      <c r="W96">
        <v>5456.6</v>
      </c>
      <c r="X96">
        <v>199.2</v>
      </c>
      <c r="Y96">
        <v>155.5</v>
      </c>
    </row>
    <row r="97" spans="1:25" x14ac:dyDescent="0.2">
      <c r="A97" s="3">
        <v>40878</v>
      </c>
      <c r="B97" s="14">
        <v>16203902.25</v>
      </c>
      <c r="C97" s="14">
        <v>5472173</v>
      </c>
      <c r="D97" s="92">
        <v>8161</v>
      </c>
      <c r="E97" s="14">
        <v>2261357</v>
      </c>
      <c r="F97" s="92">
        <v>901</v>
      </c>
      <c r="G97" s="14">
        <v>9021668.8822962865</v>
      </c>
      <c r="H97" s="14">
        <v>28723</v>
      </c>
      <c r="I97" s="92">
        <v>76</v>
      </c>
      <c r="J97" s="14">
        <v>179894.8485840878</v>
      </c>
      <c r="K97" s="14">
        <v>455</v>
      </c>
      <c r="L97" s="14">
        <v>2000</v>
      </c>
      <c r="M97" s="14">
        <v>1296.5877480254276</v>
      </c>
      <c r="N97" s="14">
        <v>3</v>
      </c>
      <c r="O97" s="14">
        <v>41</v>
      </c>
      <c r="P97" s="14">
        <v>57748.347000000067</v>
      </c>
      <c r="Q97" s="14">
        <v>12</v>
      </c>
      <c r="R97">
        <v>534</v>
      </c>
      <c r="S97">
        <v>0</v>
      </c>
      <c r="T97">
        <v>31</v>
      </c>
      <c r="U97">
        <v>20</v>
      </c>
      <c r="V97">
        <v>6744.4</v>
      </c>
      <c r="W97">
        <v>5422</v>
      </c>
      <c r="X97">
        <v>196.9</v>
      </c>
      <c r="Y97">
        <v>152.1</v>
      </c>
    </row>
    <row r="98" spans="1:25" x14ac:dyDescent="0.2">
      <c r="A98" s="3">
        <v>40909</v>
      </c>
      <c r="B98" s="14">
        <v>18951560</v>
      </c>
      <c r="C98" s="14">
        <v>7501202</v>
      </c>
      <c r="D98" s="14">
        <v>8182</v>
      </c>
      <c r="E98" s="14">
        <v>2860250</v>
      </c>
      <c r="F98" s="14">
        <v>903</v>
      </c>
      <c r="G98" s="14">
        <v>8672395.1704873815</v>
      </c>
      <c r="H98" s="14">
        <v>33801</v>
      </c>
      <c r="I98" s="14">
        <v>80</v>
      </c>
      <c r="J98" s="14">
        <v>195352.48410710847</v>
      </c>
      <c r="K98" s="14">
        <v>455</v>
      </c>
      <c r="L98" s="14">
        <v>2000</v>
      </c>
      <c r="M98" s="14">
        <v>1131.6553650549026</v>
      </c>
      <c r="N98" s="14">
        <v>3</v>
      </c>
      <c r="O98" s="14">
        <v>41</v>
      </c>
      <c r="P98" s="14">
        <v>52625.326999999997</v>
      </c>
      <c r="Q98" s="14">
        <v>12</v>
      </c>
    </row>
    <row r="99" spans="1:25" x14ac:dyDescent="0.2">
      <c r="A99" s="3">
        <v>40940</v>
      </c>
      <c r="B99" s="14">
        <v>18609960</v>
      </c>
      <c r="C99" s="14">
        <v>4882899</v>
      </c>
      <c r="D99" s="14">
        <v>8183</v>
      </c>
      <c r="E99" s="14">
        <v>2109850</v>
      </c>
      <c r="F99" s="14">
        <v>908</v>
      </c>
      <c r="G99" s="14">
        <v>9303347.3900982477</v>
      </c>
      <c r="H99" s="14">
        <v>31603</v>
      </c>
      <c r="I99" s="14">
        <v>81</v>
      </c>
      <c r="J99" s="14">
        <v>190373.48372182623</v>
      </c>
      <c r="K99" s="14">
        <v>455</v>
      </c>
      <c r="L99" s="14">
        <v>2000</v>
      </c>
      <c r="M99" s="14">
        <v>1096.6553650549031</v>
      </c>
      <c r="N99" s="14">
        <v>3</v>
      </c>
      <c r="O99" s="14">
        <v>41</v>
      </c>
      <c r="P99" s="14">
        <v>42548.326999999997</v>
      </c>
      <c r="Q99" s="14">
        <v>13</v>
      </c>
    </row>
    <row r="100" spans="1:25" x14ac:dyDescent="0.2">
      <c r="A100" s="3">
        <v>40969</v>
      </c>
      <c r="B100" s="14">
        <v>18368875</v>
      </c>
      <c r="C100" s="14">
        <v>4609763</v>
      </c>
      <c r="D100" s="14">
        <v>8170</v>
      </c>
      <c r="E100" s="14">
        <v>1915595</v>
      </c>
      <c r="F100" s="14">
        <v>900</v>
      </c>
      <c r="G100" s="14">
        <v>8853505.8900019266</v>
      </c>
      <c r="H100" s="14">
        <v>31315</v>
      </c>
      <c r="I100" s="14">
        <v>74</v>
      </c>
      <c r="J100" s="14">
        <v>168953.20208052394</v>
      </c>
      <c r="K100" s="14">
        <v>413</v>
      </c>
      <c r="L100" s="14">
        <v>2000</v>
      </c>
      <c r="M100" s="14">
        <v>1037.117318435754</v>
      </c>
      <c r="N100" s="14">
        <v>3</v>
      </c>
      <c r="O100" s="14">
        <v>41</v>
      </c>
      <c r="P100" s="14">
        <v>36796.53300000001</v>
      </c>
      <c r="Q100" s="14">
        <v>13</v>
      </c>
    </row>
    <row r="101" spans="1:25" x14ac:dyDescent="0.2">
      <c r="A101" s="3">
        <v>41000</v>
      </c>
      <c r="B101" s="14">
        <v>16846460</v>
      </c>
      <c r="C101" s="14">
        <v>3854973</v>
      </c>
      <c r="D101" s="14">
        <v>8172</v>
      </c>
      <c r="E101" s="14">
        <v>1757037</v>
      </c>
      <c r="F101" s="14">
        <v>897</v>
      </c>
      <c r="G101" s="14">
        <v>10489121.97900212</v>
      </c>
      <c r="H101" s="14">
        <v>34783</v>
      </c>
      <c r="I101" s="14">
        <v>73</v>
      </c>
      <c r="J101" s="14">
        <v>155527.7844345984</v>
      </c>
      <c r="K101" s="14">
        <v>413</v>
      </c>
      <c r="L101" s="14">
        <v>2000</v>
      </c>
      <c r="M101" s="14">
        <v>1119.4369100366021</v>
      </c>
      <c r="N101" s="14">
        <v>3</v>
      </c>
      <c r="O101" s="14">
        <v>41</v>
      </c>
      <c r="P101" s="14">
        <v>49618.877999999997</v>
      </c>
      <c r="Q101" s="14">
        <v>13</v>
      </c>
    </row>
    <row r="102" spans="1:25" x14ac:dyDescent="0.2">
      <c r="A102" s="3">
        <v>41030</v>
      </c>
      <c r="B102" s="14">
        <v>17757544</v>
      </c>
      <c r="C102" s="14">
        <v>4813319</v>
      </c>
      <c r="D102" s="14">
        <v>8166</v>
      </c>
      <c r="E102" s="14">
        <v>1834603</v>
      </c>
      <c r="F102" s="14">
        <v>902</v>
      </c>
      <c r="G102" s="14">
        <v>10213989.761510303</v>
      </c>
      <c r="H102" s="14">
        <v>35103</v>
      </c>
      <c r="I102" s="14">
        <v>75</v>
      </c>
      <c r="J102" s="14">
        <v>120470.17376228084</v>
      </c>
      <c r="K102" s="14">
        <v>413</v>
      </c>
      <c r="L102" s="14">
        <v>2000</v>
      </c>
      <c r="M102" s="14">
        <v>1103.3610094394144</v>
      </c>
      <c r="N102" s="14">
        <v>3</v>
      </c>
      <c r="O102" s="14">
        <v>41</v>
      </c>
      <c r="P102" s="14">
        <v>53224.660999999993</v>
      </c>
      <c r="Q102" s="14">
        <v>13</v>
      </c>
    </row>
    <row r="103" spans="1:25" x14ac:dyDescent="0.2">
      <c r="A103" s="3">
        <v>41061</v>
      </c>
      <c r="B103" s="14">
        <v>18677791</v>
      </c>
      <c r="C103" s="14">
        <v>4896727</v>
      </c>
      <c r="D103" s="14">
        <v>8181</v>
      </c>
      <c r="E103" s="14">
        <v>2050114</v>
      </c>
      <c r="F103" s="14">
        <v>902</v>
      </c>
      <c r="G103" s="14">
        <v>10926229</v>
      </c>
      <c r="H103" s="14">
        <v>35562</v>
      </c>
      <c r="I103" s="14">
        <v>76</v>
      </c>
      <c r="J103" s="14">
        <v>127651</v>
      </c>
      <c r="K103" s="14">
        <v>413</v>
      </c>
      <c r="L103" s="14">
        <v>1980</v>
      </c>
      <c r="M103" s="14">
        <v>1120</v>
      </c>
      <c r="N103" s="14">
        <v>3</v>
      </c>
      <c r="O103" s="14">
        <v>20</v>
      </c>
      <c r="P103" s="14">
        <v>47751</v>
      </c>
      <c r="Q103" s="14">
        <v>14</v>
      </c>
    </row>
    <row r="104" spans="1:25" x14ac:dyDescent="0.2">
      <c r="A104" s="3">
        <v>41091</v>
      </c>
      <c r="B104" s="14">
        <v>22526585</v>
      </c>
      <c r="C104" s="14">
        <v>5699404</v>
      </c>
      <c r="D104" s="14">
        <v>8174</v>
      </c>
      <c r="E104" s="14">
        <v>2028561</v>
      </c>
      <c r="F104" s="14">
        <v>906</v>
      </c>
      <c r="G104" s="14">
        <v>12664095</v>
      </c>
      <c r="H104" s="14">
        <v>33970</v>
      </c>
      <c r="I104" s="14">
        <v>76</v>
      </c>
      <c r="J104" s="14">
        <v>127651</v>
      </c>
      <c r="K104" s="14">
        <v>413</v>
      </c>
      <c r="L104" s="14">
        <v>1980</v>
      </c>
      <c r="M104" s="14">
        <v>1085</v>
      </c>
      <c r="N104" s="14">
        <v>4</v>
      </c>
      <c r="O104" s="14">
        <v>20</v>
      </c>
      <c r="P104" s="14">
        <v>53138</v>
      </c>
      <c r="Q104" s="14">
        <v>13</v>
      </c>
    </row>
    <row r="105" spans="1:25" x14ac:dyDescent="0.2">
      <c r="A105" s="3">
        <v>41122</v>
      </c>
      <c r="B105" s="14">
        <v>21359296</v>
      </c>
      <c r="C105" s="14">
        <v>8148108</v>
      </c>
      <c r="D105" s="14">
        <v>8163</v>
      </c>
      <c r="E105" s="14">
        <v>2028053</v>
      </c>
      <c r="F105" s="14">
        <v>903</v>
      </c>
      <c r="G105" s="14">
        <v>18145069</v>
      </c>
      <c r="H105" s="14">
        <v>34685</v>
      </c>
      <c r="I105" s="14">
        <v>76</v>
      </c>
      <c r="J105" s="14">
        <v>127651</v>
      </c>
      <c r="K105" s="14">
        <v>413</v>
      </c>
      <c r="L105" s="14">
        <v>1980</v>
      </c>
      <c r="M105" s="14">
        <v>1187</v>
      </c>
      <c r="N105" s="14">
        <v>3</v>
      </c>
      <c r="O105" s="14">
        <v>20</v>
      </c>
      <c r="P105" s="14">
        <v>38509</v>
      </c>
      <c r="Q105" s="14">
        <v>13</v>
      </c>
    </row>
    <row r="106" spans="1:25" x14ac:dyDescent="0.2">
      <c r="A106" s="3">
        <v>41153</v>
      </c>
      <c r="B106" s="14">
        <v>17842269</v>
      </c>
      <c r="C106" s="14">
        <v>4790551</v>
      </c>
      <c r="D106" s="14">
        <v>8171</v>
      </c>
      <c r="E106" s="14">
        <v>1848514</v>
      </c>
      <c r="F106" s="14">
        <v>900</v>
      </c>
      <c r="G106" s="14">
        <v>7081708</v>
      </c>
      <c r="H106" s="14">
        <v>35851</v>
      </c>
      <c r="I106" s="14">
        <v>76</v>
      </c>
      <c r="J106" s="14">
        <v>127651</v>
      </c>
      <c r="K106" s="14">
        <v>413</v>
      </c>
      <c r="L106" s="14">
        <v>1980</v>
      </c>
      <c r="M106" s="14">
        <v>1153</v>
      </c>
      <c r="N106" s="14">
        <v>3</v>
      </c>
      <c r="O106" s="14">
        <v>20</v>
      </c>
      <c r="P106" s="14">
        <v>51004</v>
      </c>
      <c r="Q106" s="14">
        <v>13</v>
      </c>
    </row>
    <row r="107" spans="1:25" x14ac:dyDescent="0.2">
      <c r="A107" s="3">
        <v>41183</v>
      </c>
      <c r="B107" s="14">
        <v>17081153</v>
      </c>
      <c r="C107" s="14">
        <v>4204709</v>
      </c>
      <c r="D107" s="14">
        <v>8177</v>
      </c>
      <c r="E107" s="14">
        <v>1759745</v>
      </c>
      <c r="F107" s="14">
        <v>901</v>
      </c>
      <c r="G107" s="14">
        <v>10613327</v>
      </c>
      <c r="H107" s="14">
        <v>34763</v>
      </c>
      <c r="I107" s="14">
        <v>76</v>
      </c>
      <c r="J107" s="14">
        <v>161550</v>
      </c>
      <c r="K107" s="14">
        <v>413</v>
      </c>
      <c r="L107" s="14">
        <v>1980</v>
      </c>
      <c r="M107" s="14">
        <v>1137</v>
      </c>
      <c r="N107" s="14">
        <v>3</v>
      </c>
      <c r="O107" s="14">
        <v>20</v>
      </c>
      <c r="P107" s="14">
        <v>49004</v>
      </c>
      <c r="Q107" s="14">
        <v>13</v>
      </c>
    </row>
    <row r="108" spans="1:25" x14ac:dyDescent="0.2">
      <c r="A108" s="3">
        <v>41214</v>
      </c>
      <c r="B108" s="14">
        <v>16780904</v>
      </c>
      <c r="C108" s="14">
        <v>3811729</v>
      </c>
      <c r="D108" s="14">
        <v>8188</v>
      </c>
      <c r="E108" s="14">
        <v>1828183</v>
      </c>
      <c r="F108" s="14">
        <v>896</v>
      </c>
      <c r="G108" s="14">
        <v>9854671</v>
      </c>
      <c r="H108" s="14">
        <v>33636</v>
      </c>
      <c r="I108" s="14">
        <v>75</v>
      </c>
      <c r="J108" s="14">
        <v>177065</v>
      </c>
      <c r="K108" s="14">
        <v>413</v>
      </c>
      <c r="L108" s="14">
        <v>1980</v>
      </c>
      <c r="M108" s="14">
        <v>1206</v>
      </c>
      <c r="N108" s="14">
        <v>3</v>
      </c>
      <c r="O108" s="14">
        <v>20</v>
      </c>
      <c r="P108" s="14">
        <v>3864</v>
      </c>
      <c r="Q108" s="14">
        <v>13</v>
      </c>
    </row>
    <row r="109" spans="1:25" x14ac:dyDescent="0.2">
      <c r="A109" s="3">
        <v>41244</v>
      </c>
      <c r="B109" s="14">
        <v>16595517</v>
      </c>
      <c r="C109" s="14">
        <v>5422529</v>
      </c>
      <c r="D109" s="14">
        <v>8183</v>
      </c>
      <c r="E109" s="14">
        <v>2062850</v>
      </c>
      <c r="F109" s="14">
        <v>903</v>
      </c>
      <c r="G109" s="14">
        <v>8163809</v>
      </c>
      <c r="H109" s="14">
        <v>31242</v>
      </c>
      <c r="I109" s="14">
        <v>81</v>
      </c>
      <c r="J109" s="14">
        <v>179951</v>
      </c>
      <c r="K109" s="14">
        <v>413</v>
      </c>
      <c r="L109" s="14">
        <v>1980</v>
      </c>
      <c r="M109" s="14">
        <v>1122</v>
      </c>
      <c r="N109" s="14">
        <v>4</v>
      </c>
      <c r="O109" s="14">
        <v>20</v>
      </c>
      <c r="P109" s="14">
        <v>91913</v>
      </c>
      <c r="Q109" s="14">
        <v>14</v>
      </c>
    </row>
    <row r="110" spans="1:25" x14ac:dyDescent="0.2">
      <c r="A110" s="3">
        <v>41275</v>
      </c>
      <c r="B110" s="14">
        <v>20001525</v>
      </c>
      <c r="C110" s="14">
        <v>7906468</v>
      </c>
      <c r="D110" s="14">
        <v>8197</v>
      </c>
      <c r="E110" s="14">
        <v>2841142</v>
      </c>
      <c r="F110" s="14">
        <v>906</v>
      </c>
      <c r="G110" s="14">
        <v>8769555</v>
      </c>
      <c r="H110" s="14">
        <v>28505.425999999999</v>
      </c>
      <c r="I110" s="14">
        <v>87</v>
      </c>
      <c r="J110" s="14">
        <v>179703</v>
      </c>
      <c r="K110" s="14">
        <v>413</v>
      </c>
      <c r="L110" s="14">
        <v>1980</v>
      </c>
      <c r="M110" s="14">
        <v>1175</v>
      </c>
      <c r="N110" s="14">
        <v>3.4750000000000001</v>
      </c>
      <c r="O110" s="14">
        <v>20</v>
      </c>
      <c r="P110" s="14">
        <v>56627</v>
      </c>
      <c r="Q110" s="14">
        <v>14</v>
      </c>
    </row>
    <row r="111" spans="1:25" x14ac:dyDescent="0.2">
      <c r="A111" s="3">
        <v>41306</v>
      </c>
      <c r="B111" s="14">
        <v>18188822</v>
      </c>
      <c r="C111" s="14">
        <v>4942342</v>
      </c>
      <c r="D111" s="14">
        <v>8198</v>
      </c>
      <c r="E111" s="14">
        <v>2098606</v>
      </c>
      <c r="F111" s="14">
        <v>905</v>
      </c>
      <c r="G111" s="14">
        <v>10297278</v>
      </c>
      <c r="H111" s="14">
        <v>29618.138999999999</v>
      </c>
      <c r="I111" s="14">
        <v>79</v>
      </c>
      <c r="J111" s="14">
        <v>179703</v>
      </c>
      <c r="K111" s="14">
        <v>413</v>
      </c>
      <c r="L111" s="14">
        <v>1980</v>
      </c>
      <c r="M111" s="14">
        <v>1105</v>
      </c>
      <c r="N111" s="14">
        <v>3</v>
      </c>
      <c r="O111" s="14">
        <v>20</v>
      </c>
      <c r="P111" s="14">
        <v>41095</v>
      </c>
      <c r="Q111" s="14">
        <v>14</v>
      </c>
    </row>
    <row r="112" spans="1:25" x14ac:dyDescent="0.2">
      <c r="A112" s="3">
        <v>41334</v>
      </c>
      <c r="B112" s="14">
        <v>17191126</v>
      </c>
      <c r="C112" s="14">
        <v>4809592</v>
      </c>
      <c r="D112" s="14">
        <v>8196</v>
      </c>
      <c r="E112" s="14">
        <v>1817364</v>
      </c>
      <c r="F112" s="14">
        <v>901</v>
      </c>
      <c r="G112" s="14">
        <v>7310345</v>
      </c>
      <c r="H112" s="14">
        <v>32159.708999999995</v>
      </c>
      <c r="I112" s="14">
        <v>76</v>
      </c>
      <c r="J112" s="14">
        <v>103066</v>
      </c>
      <c r="K112" s="14">
        <v>412.75500000000011</v>
      </c>
      <c r="L112" s="14">
        <v>1980</v>
      </c>
      <c r="M112" s="14">
        <v>1022</v>
      </c>
      <c r="N112" s="14">
        <v>3.8249999999999997</v>
      </c>
      <c r="O112" s="14">
        <v>20</v>
      </c>
      <c r="P112" s="14">
        <v>38515</v>
      </c>
      <c r="Q112" s="14">
        <v>14</v>
      </c>
    </row>
    <row r="113" spans="1:17" x14ac:dyDescent="0.2">
      <c r="A113" s="3">
        <v>41365</v>
      </c>
      <c r="B113" s="14">
        <v>15579943</v>
      </c>
      <c r="C113" s="14">
        <v>4963912</v>
      </c>
      <c r="D113" s="14">
        <v>8181</v>
      </c>
      <c r="E113" s="14">
        <v>2344439</v>
      </c>
      <c r="F113" s="14">
        <v>898</v>
      </c>
      <c r="G113" s="14">
        <v>8048841</v>
      </c>
      <c r="H113" s="14">
        <v>29290.407000000007</v>
      </c>
      <c r="I113" s="14">
        <v>75</v>
      </c>
      <c r="J113" s="14">
        <v>133771</v>
      </c>
      <c r="K113" s="14">
        <v>412.75499999999988</v>
      </c>
      <c r="L113" s="14">
        <v>1980</v>
      </c>
      <c r="M113" s="14">
        <v>1169</v>
      </c>
      <c r="N113" s="14">
        <v>3.4750000000000005</v>
      </c>
      <c r="O113" s="14">
        <v>20</v>
      </c>
      <c r="P113" s="14">
        <v>49883</v>
      </c>
      <c r="Q113" s="14">
        <v>14</v>
      </c>
    </row>
    <row r="114" spans="1:17" x14ac:dyDescent="0.2">
      <c r="A114" s="3">
        <v>41395</v>
      </c>
      <c r="B114" s="14">
        <v>15689854</v>
      </c>
      <c r="C114" s="14">
        <v>4095342</v>
      </c>
      <c r="D114" s="14">
        <v>8178</v>
      </c>
      <c r="E114" s="14">
        <v>1731636</v>
      </c>
      <c r="F114" s="14">
        <v>896</v>
      </c>
      <c r="G114" s="14">
        <v>9314030</v>
      </c>
      <c r="H114" s="14">
        <v>30527.374999999993</v>
      </c>
      <c r="I114" s="14">
        <v>74</v>
      </c>
      <c r="J114" s="14">
        <v>110883</v>
      </c>
      <c r="K114" s="14">
        <v>412.75500000000011</v>
      </c>
      <c r="L114" s="14">
        <v>1980</v>
      </c>
      <c r="M114" s="14">
        <v>1134</v>
      </c>
      <c r="N114" s="14">
        <v>3.4749999999999996</v>
      </c>
      <c r="O114" s="14">
        <v>20</v>
      </c>
      <c r="P114" s="14">
        <v>48921</v>
      </c>
      <c r="Q114" s="14">
        <v>14</v>
      </c>
    </row>
    <row r="115" spans="1:17" x14ac:dyDescent="0.2">
      <c r="A115" s="3">
        <v>41426</v>
      </c>
      <c r="B115" s="14">
        <v>16233844</v>
      </c>
      <c r="C115" s="14">
        <v>3919858</v>
      </c>
      <c r="D115" s="14">
        <v>8179</v>
      </c>
      <c r="E115" s="14">
        <v>1620929</v>
      </c>
      <c r="F115" s="14">
        <v>896</v>
      </c>
      <c r="G115" s="14">
        <v>9708276</v>
      </c>
      <c r="H115" s="14">
        <v>29673.026999999991</v>
      </c>
      <c r="I115" s="14">
        <v>73</v>
      </c>
      <c r="J115" s="14">
        <v>90413</v>
      </c>
      <c r="K115" s="14">
        <v>412.75500000000011</v>
      </c>
      <c r="L115" s="14">
        <v>1985</v>
      </c>
      <c r="M115" s="14">
        <v>1164</v>
      </c>
      <c r="N115" s="14">
        <v>3.4750000000000014</v>
      </c>
      <c r="O115" s="14">
        <v>20</v>
      </c>
      <c r="P115" s="14">
        <v>48176</v>
      </c>
      <c r="Q115" s="14">
        <v>15</v>
      </c>
    </row>
    <row r="116" spans="1:17" x14ac:dyDescent="0.2">
      <c r="A116" s="3">
        <v>41456</v>
      </c>
      <c r="B116" s="14">
        <v>20341983</v>
      </c>
      <c r="C116" s="14">
        <v>6638037</v>
      </c>
      <c r="D116" s="14">
        <v>8191</v>
      </c>
      <c r="E116" s="14">
        <v>2307727</v>
      </c>
      <c r="F116" s="14">
        <v>895</v>
      </c>
      <c r="G116" s="14">
        <v>8048841</v>
      </c>
      <c r="H116" s="14">
        <v>33750.396000000008</v>
      </c>
      <c r="I116" s="14">
        <v>73</v>
      </c>
      <c r="J116" s="14">
        <v>111646</v>
      </c>
      <c r="K116" s="14">
        <v>412.75499999999965</v>
      </c>
      <c r="L116" s="14">
        <v>1985</v>
      </c>
      <c r="M116" s="14">
        <v>1154</v>
      </c>
      <c r="N116" s="14">
        <v>3.4749999999999979</v>
      </c>
      <c r="O116" s="14">
        <v>20</v>
      </c>
      <c r="P116" s="14">
        <v>54600</v>
      </c>
      <c r="Q116" s="14">
        <v>14</v>
      </c>
    </row>
    <row r="117" spans="1:17" x14ac:dyDescent="0.2">
      <c r="A117" s="3">
        <v>41487</v>
      </c>
      <c r="B117" s="14">
        <v>18709570</v>
      </c>
      <c r="C117" s="14">
        <v>6862777</v>
      </c>
      <c r="D117" s="14">
        <v>8184</v>
      </c>
      <c r="E117" s="14">
        <v>1897435</v>
      </c>
      <c r="F117" s="14">
        <v>892</v>
      </c>
      <c r="G117" s="14">
        <v>8786051</v>
      </c>
      <c r="H117" s="14">
        <v>30772.600000000006</v>
      </c>
      <c r="I117" s="14">
        <v>73</v>
      </c>
      <c r="J117" s="14">
        <v>75496</v>
      </c>
      <c r="K117" s="14">
        <v>412.75500000000011</v>
      </c>
      <c r="L117" s="14">
        <v>1985</v>
      </c>
      <c r="M117" s="14">
        <v>1129</v>
      </c>
      <c r="N117" s="14">
        <v>3.4750000000000014</v>
      </c>
      <c r="O117" s="14">
        <v>20</v>
      </c>
      <c r="P117" s="14">
        <v>38117</v>
      </c>
      <c r="Q117" s="14">
        <v>14</v>
      </c>
    </row>
    <row r="118" spans="1:17" x14ac:dyDescent="0.2">
      <c r="A118" s="3">
        <v>41518</v>
      </c>
      <c r="B118" s="14">
        <v>15346836</v>
      </c>
      <c r="C118" s="14">
        <v>4595816</v>
      </c>
      <c r="D118" s="14">
        <v>8193</v>
      </c>
      <c r="E118" s="14">
        <v>1730086</v>
      </c>
      <c r="F118" s="14">
        <v>889</v>
      </c>
      <c r="G118" s="14">
        <v>8469773</v>
      </c>
      <c r="H118" s="14">
        <v>29881.204999999987</v>
      </c>
      <c r="I118" s="14">
        <v>73</v>
      </c>
      <c r="J118" s="14">
        <v>119220</v>
      </c>
      <c r="K118" s="14">
        <v>412.75500000000011</v>
      </c>
      <c r="L118" s="14">
        <v>1985</v>
      </c>
      <c r="M118" s="14">
        <v>1152</v>
      </c>
      <c r="N118" s="14">
        <v>3.4749999999999979</v>
      </c>
      <c r="O118" s="14">
        <v>20</v>
      </c>
      <c r="P118" s="14">
        <v>44751</v>
      </c>
      <c r="Q118" s="14">
        <v>14</v>
      </c>
    </row>
    <row r="119" spans="1:17" x14ac:dyDescent="0.2">
      <c r="A119" s="3">
        <v>41548</v>
      </c>
      <c r="B119" s="14">
        <v>15583609</v>
      </c>
      <c r="C119" s="14">
        <v>4461693</v>
      </c>
      <c r="D119" s="14">
        <v>8193</v>
      </c>
      <c r="E119" s="14">
        <v>1854876</v>
      </c>
      <c r="F119" s="14">
        <v>887</v>
      </c>
      <c r="G119" s="14">
        <v>8755626</v>
      </c>
      <c r="H119" s="14">
        <v>32114.026000000013</v>
      </c>
      <c r="I119" s="14">
        <v>76</v>
      </c>
      <c r="J119" s="14">
        <v>172440</v>
      </c>
      <c r="K119" s="14">
        <v>412.75500000000011</v>
      </c>
      <c r="L119" s="14">
        <v>1985</v>
      </c>
      <c r="M119" s="14">
        <v>1145</v>
      </c>
      <c r="N119" s="14">
        <v>3.4750000000000014</v>
      </c>
      <c r="O119" s="14">
        <v>20</v>
      </c>
      <c r="P119" s="14">
        <v>52084</v>
      </c>
      <c r="Q119" s="14">
        <v>14</v>
      </c>
    </row>
    <row r="120" spans="1:17" x14ac:dyDescent="0.2">
      <c r="A120" s="3">
        <v>41579</v>
      </c>
      <c r="B120" s="14">
        <v>15038843</v>
      </c>
      <c r="C120" s="14">
        <v>4844900</v>
      </c>
      <c r="D120" s="14">
        <v>8193</v>
      </c>
      <c r="E120" s="14">
        <v>2037182</v>
      </c>
      <c r="F120" s="14">
        <v>888</v>
      </c>
      <c r="G120" s="14">
        <v>7437322</v>
      </c>
      <c r="H120" s="14">
        <v>29970.032000000007</v>
      </c>
      <c r="I120" s="14">
        <v>76</v>
      </c>
      <c r="J120" s="14">
        <v>190704</v>
      </c>
      <c r="K120" s="14">
        <v>412.75500000000011</v>
      </c>
      <c r="L120" s="14">
        <v>1985</v>
      </c>
      <c r="M120" s="14">
        <v>1180</v>
      </c>
      <c r="N120" s="14">
        <v>3.4750000000000014</v>
      </c>
      <c r="O120" s="14">
        <v>20</v>
      </c>
      <c r="P120" s="14">
        <v>52666</v>
      </c>
      <c r="Q120" s="14">
        <v>14</v>
      </c>
    </row>
    <row r="121" spans="1:17" x14ac:dyDescent="0.2">
      <c r="A121" s="3">
        <v>41609</v>
      </c>
      <c r="B121" s="14">
        <v>16069620</v>
      </c>
      <c r="C121" s="14">
        <v>6098821</v>
      </c>
      <c r="D121" s="14">
        <v>8196</v>
      </c>
      <c r="E121" s="14">
        <v>2373509</v>
      </c>
      <c r="F121" s="14">
        <v>890</v>
      </c>
      <c r="G121" s="14">
        <v>6281943</v>
      </c>
      <c r="H121" s="14">
        <v>25220.755000000005</v>
      </c>
      <c r="I121" s="14">
        <v>76</v>
      </c>
      <c r="J121" s="14">
        <v>194611</v>
      </c>
      <c r="K121" s="14">
        <v>412.75500000000011</v>
      </c>
      <c r="L121" s="14">
        <v>1985</v>
      </c>
      <c r="M121" s="14">
        <v>1131</v>
      </c>
      <c r="N121" s="14">
        <v>3.4750000000000014</v>
      </c>
      <c r="O121" s="14">
        <v>20</v>
      </c>
      <c r="P121" s="14">
        <v>47971</v>
      </c>
      <c r="Q121" s="14">
        <v>14</v>
      </c>
    </row>
    <row r="122" spans="1:17" x14ac:dyDescent="0.2">
      <c r="A122" s="3">
        <v>41640</v>
      </c>
      <c r="B122" s="14">
        <v>19924456</v>
      </c>
      <c r="C122" s="14">
        <v>7185219</v>
      </c>
      <c r="D122" s="14">
        <v>8195</v>
      </c>
      <c r="E122" s="14">
        <v>2388116</v>
      </c>
      <c r="F122" s="14">
        <v>891</v>
      </c>
      <c r="G122" s="14">
        <v>9265191</v>
      </c>
      <c r="H122" s="14">
        <v>21720.877</v>
      </c>
      <c r="I122" s="14">
        <v>85</v>
      </c>
      <c r="J122" s="14">
        <v>169813</v>
      </c>
      <c r="K122" s="14">
        <v>412.755</v>
      </c>
      <c r="L122" s="14">
        <v>1985</v>
      </c>
      <c r="M122" s="14">
        <v>1158</v>
      </c>
      <c r="N122" s="14">
        <v>3.4750000000000001</v>
      </c>
      <c r="O122" s="14">
        <v>20</v>
      </c>
      <c r="P122" s="14">
        <v>46393</v>
      </c>
      <c r="Q122" s="14">
        <v>14</v>
      </c>
    </row>
    <row r="123" spans="1:17" x14ac:dyDescent="0.2">
      <c r="A123" s="3">
        <v>41671</v>
      </c>
      <c r="B123" s="14">
        <v>18133735</v>
      </c>
      <c r="C123" s="14">
        <v>5755459</v>
      </c>
      <c r="D123" s="14">
        <v>8196</v>
      </c>
      <c r="E123" s="14">
        <v>2185995</v>
      </c>
      <c r="F123" s="14">
        <v>889</v>
      </c>
      <c r="G123" s="14">
        <v>9701840</v>
      </c>
      <c r="H123" s="14">
        <v>29464.703000000001</v>
      </c>
      <c r="I123" s="14">
        <v>86</v>
      </c>
      <c r="J123" s="14">
        <v>136475</v>
      </c>
      <c r="K123" s="14">
        <v>412.755</v>
      </c>
      <c r="L123" s="14">
        <v>1985</v>
      </c>
      <c r="M123" s="14">
        <v>1140</v>
      </c>
      <c r="N123" s="14">
        <v>3.4750000000000001</v>
      </c>
      <c r="O123" s="14">
        <v>20</v>
      </c>
      <c r="P123" s="14">
        <v>41145</v>
      </c>
      <c r="Q123" s="14">
        <v>14</v>
      </c>
    </row>
    <row r="124" spans="1:17" x14ac:dyDescent="0.2">
      <c r="A124" s="3">
        <v>41699</v>
      </c>
      <c r="B124" s="14">
        <v>19672689</v>
      </c>
      <c r="C124" s="14">
        <v>5506748</v>
      </c>
      <c r="D124" s="14">
        <v>8199</v>
      </c>
      <c r="E124" s="14">
        <v>2177589</v>
      </c>
      <c r="F124" s="14">
        <v>888</v>
      </c>
      <c r="G124" s="14">
        <v>10181351</v>
      </c>
      <c r="H124" s="14">
        <v>26882.875999999997</v>
      </c>
      <c r="I124" s="14">
        <v>81</v>
      </c>
      <c r="J124" s="14">
        <v>131104</v>
      </c>
      <c r="K124" s="14">
        <v>412.75500000000011</v>
      </c>
      <c r="L124" s="14">
        <v>1985</v>
      </c>
      <c r="M124" s="14">
        <v>1052</v>
      </c>
      <c r="N124" s="14">
        <v>3.4750000000000005</v>
      </c>
      <c r="O124" s="14">
        <v>20</v>
      </c>
      <c r="P124" s="14">
        <v>43691</v>
      </c>
      <c r="Q124" s="14">
        <v>14</v>
      </c>
    </row>
    <row r="125" spans="1:17" x14ac:dyDescent="0.2">
      <c r="A125" s="3">
        <v>41730</v>
      </c>
      <c r="B125" s="14">
        <v>17163975</v>
      </c>
      <c r="C125" s="14">
        <v>4353997</v>
      </c>
      <c r="D125" s="14">
        <v>8193</v>
      </c>
      <c r="E125" s="14">
        <v>1854841</v>
      </c>
      <c r="F125" s="14">
        <v>889</v>
      </c>
      <c r="G125" s="14">
        <v>10469146</v>
      </c>
      <c r="H125" s="14">
        <v>28742.743000000009</v>
      </c>
      <c r="I125" s="14">
        <v>77</v>
      </c>
      <c r="J125" s="14">
        <v>102119</v>
      </c>
      <c r="K125" s="14">
        <v>412.75499999999988</v>
      </c>
      <c r="L125" s="14">
        <v>1970</v>
      </c>
      <c r="M125" s="14">
        <v>1148</v>
      </c>
      <c r="N125" s="14">
        <v>3.4749999999999996</v>
      </c>
      <c r="O125" s="14">
        <v>20</v>
      </c>
      <c r="P125" s="14">
        <v>43188</v>
      </c>
      <c r="Q125" s="14">
        <v>14</v>
      </c>
    </row>
    <row r="126" spans="1:17" x14ac:dyDescent="0.2">
      <c r="A126" s="3">
        <v>41760</v>
      </c>
      <c r="B126" s="14">
        <v>16061418</v>
      </c>
      <c r="C126" s="14">
        <v>5648307</v>
      </c>
      <c r="D126" s="14">
        <v>8186</v>
      </c>
      <c r="E126" s="14">
        <v>1775044</v>
      </c>
      <c r="F126" s="14">
        <v>891</v>
      </c>
      <c r="G126" s="14">
        <v>9418356</v>
      </c>
      <c r="H126" s="14">
        <v>27600.872000000003</v>
      </c>
      <c r="I126" s="14">
        <v>77</v>
      </c>
      <c r="J126" s="14">
        <v>120993</v>
      </c>
      <c r="K126" s="14">
        <v>412.75500000000011</v>
      </c>
      <c r="L126" s="14">
        <v>1970</v>
      </c>
      <c r="M126" s="14">
        <v>1141</v>
      </c>
      <c r="N126" s="14">
        <v>3.4749999999999996</v>
      </c>
      <c r="O126" s="14">
        <v>20</v>
      </c>
      <c r="P126" s="14">
        <v>50761</v>
      </c>
      <c r="Q126" s="14">
        <v>14</v>
      </c>
    </row>
    <row r="127" spans="1:17" x14ac:dyDescent="0.2">
      <c r="A127" s="3">
        <v>41791</v>
      </c>
      <c r="B127" s="14">
        <v>18804274</v>
      </c>
      <c r="C127" s="14">
        <v>2874986</v>
      </c>
      <c r="D127" s="14">
        <v>8187</v>
      </c>
      <c r="E127" s="14">
        <v>2100900</v>
      </c>
      <c r="F127" s="14">
        <v>892</v>
      </c>
      <c r="G127" s="14">
        <v>11450874</v>
      </c>
      <c r="H127" s="14">
        <v>27671.268999999986</v>
      </c>
      <c r="I127" s="14">
        <v>77</v>
      </c>
      <c r="J127" s="14">
        <v>123355</v>
      </c>
      <c r="K127" s="14">
        <v>412.75500000000011</v>
      </c>
      <c r="L127" s="14">
        <v>1970</v>
      </c>
      <c r="M127" s="14">
        <v>1192</v>
      </c>
      <c r="N127" s="14">
        <v>3.4750000000000014</v>
      </c>
      <c r="O127" s="14">
        <v>20</v>
      </c>
      <c r="P127" s="14">
        <v>56721</v>
      </c>
      <c r="Q127" s="14">
        <v>13</v>
      </c>
    </row>
    <row r="128" spans="1:17" x14ac:dyDescent="0.2">
      <c r="A128" s="3">
        <v>41821</v>
      </c>
      <c r="B128" s="14">
        <v>18456273</v>
      </c>
      <c r="C128" s="14">
        <v>5826843</v>
      </c>
      <c r="D128" s="14">
        <v>8186</v>
      </c>
      <c r="E128" s="14">
        <v>1778153</v>
      </c>
      <c r="F128" s="14">
        <v>890</v>
      </c>
      <c r="G128" s="14">
        <v>9513172</v>
      </c>
      <c r="H128" s="14">
        <v>32845.595999999998</v>
      </c>
      <c r="I128" s="14">
        <v>77</v>
      </c>
      <c r="J128" s="14">
        <v>72994</v>
      </c>
      <c r="K128" s="14">
        <v>412.75499999999965</v>
      </c>
      <c r="L128" s="14">
        <v>1970</v>
      </c>
      <c r="M128" s="14">
        <v>1119</v>
      </c>
      <c r="N128" s="14">
        <v>3.4749999999999979</v>
      </c>
      <c r="O128" s="14">
        <v>20</v>
      </c>
      <c r="P128" s="14">
        <v>16243</v>
      </c>
      <c r="Q128" s="14">
        <v>13</v>
      </c>
    </row>
    <row r="129" spans="1:17" x14ac:dyDescent="0.2">
      <c r="A129" s="3">
        <v>41852</v>
      </c>
      <c r="B129" s="14">
        <v>17670429</v>
      </c>
      <c r="C129" s="14">
        <v>5742822</v>
      </c>
      <c r="D129" s="14">
        <v>8184</v>
      </c>
      <c r="E129" s="14">
        <v>2125024</v>
      </c>
      <c r="F129" s="14">
        <v>889</v>
      </c>
      <c r="G129" s="14">
        <v>9721715</v>
      </c>
      <c r="H129" s="14">
        <v>32991.856</v>
      </c>
      <c r="I129" s="14">
        <v>77</v>
      </c>
      <c r="J129" s="14">
        <v>100618</v>
      </c>
      <c r="K129" s="14">
        <v>412.75500000000011</v>
      </c>
      <c r="L129" s="14">
        <v>1970</v>
      </c>
      <c r="M129" s="14">
        <v>1155</v>
      </c>
      <c r="N129" s="14">
        <v>3.4750000000000014</v>
      </c>
      <c r="O129" s="14">
        <v>20</v>
      </c>
      <c r="P129" s="14">
        <v>72379</v>
      </c>
      <c r="Q129" s="14">
        <v>13</v>
      </c>
    </row>
    <row r="130" spans="1:17" x14ac:dyDescent="0.2">
      <c r="A130" s="3">
        <v>41883</v>
      </c>
      <c r="B130" s="14">
        <v>14676901</v>
      </c>
      <c r="C130" s="14">
        <v>5102279</v>
      </c>
      <c r="D130" s="14">
        <v>8190</v>
      </c>
      <c r="E130" s="14">
        <v>1691802</v>
      </c>
      <c r="F130" s="14">
        <v>894</v>
      </c>
      <c r="G130" s="14">
        <v>7211622</v>
      </c>
      <c r="H130" s="14">
        <v>28799.45600000002</v>
      </c>
      <c r="I130" s="14">
        <v>77</v>
      </c>
      <c r="J130" s="14">
        <v>115302</v>
      </c>
      <c r="K130" s="14">
        <v>412.75500000000011</v>
      </c>
      <c r="L130" s="14">
        <v>1962</v>
      </c>
      <c r="M130" s="14">
        <v>1114</v>
      </c>
      <c r="N130" s="14">
        <v>3.375</v>
      </c>
      <c r="O130" s="14">
        <v>20</v>
      </c>
      <c r="P130" s="14">
        <v>41060</v>
      </c>
      <c r="Q130" s="14">
        <v>12</v>
      </c>
    </row>
    <row r="131" spans="1:17" x14ac:dyDescent="0.2">
      <c r="A131" s="3">
        <v>41913</v>
      </c>
      <c r="B131" s="14">
        <v>15411296</v>
      </c>
      <c r="C131" s="14">
        <v>4063569</v>
      </c>
      <c r="D131" s="14">
        <v>8187</v>
      </c>
      <c r="E131" s="14">
        <v>1775889</v>
      </c>
      <c r="F131" s="14">
        <v>895</v>
      </c>
      <c r="G131" s="14">
        <v>8784752</v>
      </c>
      <c r="H131" s="14">
        <v>29376.676999999989</v>
      </c>
      <c r="I131" s="14">
        <v>77</v>
      </c>
      <c r="J131" s="14">
        <v>157330</v>
      </c>
      <c r="K131" s="14">
        <v>412.75500000000011</v>
      </c>
      <c r="L131" s="14">
        <v>1962</v>
      </c>
      <c r="M131" s="14">
        <v>1166</v>
      </c>
      <c r="N131" s="14">
        <v>3.5749999999999993</v>
      </c>
      <c r="O131" s="14">
        <v>20</v>
      </c>
      <c r="P131" s="14">
        <v>48587</v>
      </c>
      <c r="Q131" s="14">
        <v>12</v>
      </c>
    </row>
    <row r="132" spans="1:17" x14ac:dyDescent="0.2">
      <c r="A132" s="3">
        <v>41944</v>
      </c>
      <c r="B132" s="14">
        <v>17025707</v>
      </c>
      <c r="C132" s="14">
        <v>5137271</v>
      </c>
      <c r="D132" s="14">
        <v>8185</v>
      </c>
      <c r="E132" s="14">
        <v>2012621</v>
      </c>
      <c r="F132" s="14">
        <v>891</v>
      </c>
      <c r="G132" s="14">
        <v>9393148</v>
      </c>
      <c r="H132" s="14">
        <v>31551.340000000011</v>
      </c>
      <c r="I132" s="14">
        <v>77</v>
      </c>
      <c r="J132" s="14">
        <v>205128</v>
      </c>
      <c r="K132" s="14">
        <v>412.75500000000011</v>
      </c>
      <c r="L132" s="14">
        <v>1962</v>
      </c>
      <c r="M132" s="14">
        <v>1190</v>
      </c>
      <c r="N132" s="14">
        <v>3.4750000000000014</v>
      </c>
      <c r="O132" s="14">
        <v>20</v>
      </c>
      <c r="P132" s="14">
        <v>54858</v>
      </c>
      <c r="Q132" s="14">
        <v>12</v>
      </c>
    </row>
    <row r="133" spans="1:17" x14ac:dyDescent="0.2">
      <c r="A133" s="3">
        <v>41974</v>
      </c>
      <c r="B133" s="14">
        <v>16598264</v>
      </c>
      <c r="C133" s="14">
        <v>5328331</v>
      </c>
      <c r="D133" s="14">
        <v>8187</v>
      </c>
      <c r="E133" s="14">
        <v>2150740</v>
      </c>
      <c r="F133" s="14">
        <v>893</v>
      </c>
      <c r="G133" s="14">
        <v>8150516</v>
      </c>
      <c r="H133" s="14">
        <v>30695.906999999963</v>
      </c>
      <c r="I133" s="14">
        <v>79</v>
      </c>
      <c r="J133" s="14">
        <v>176626</v>
      </c>
      <c r="K133" s="14">
        <v>412.75500000000011</v>
      </c>
      <c r="L133" s="14">
        <v>1962</v>
      </c>
      <c r="M133" s="14">
        <v>1120</v>
      </c>
      <c r="N133" s="14">
        <v>3.4750000000000014</v>
      </c>
      <c r="O133" s="14">
        <v>20</v>
      </c>
      <c r="P133" s="14">
        <v>44315</v>
      </c>
      <c r="Q133" s="14">
        <v>12</v>
      </c>
    </row>
    <row r="134" spans="1:17" x14ac:dyDescent="0.2">
      <c r="A134" s="3">
        <v>42005</v>
      </c>
      <c r="B134" s="14">
        <v>18537536</v>
      </c>
      <c r="C134" s="14">
        <v>6498803</v>
      </c>
      <c r="D134" s="14">
        <v>8197</v>
      </c>
      <c r="E134" s="14">
        <v>2411584</v>
      </c>
      <c r="F134" s="14">
        <v>889</v>
      </c>
      <c r="G134" s="14">
        <v>9036273</v>
      </c>
      <c r="H134" s="14">
        <v>26250.05</v>
      </c>
      <c r="I134" s="14">
        <v>85</v>
      </c>
      <c r="J134" s="14">
        <v>188026</v>
      </c>
      <c r="K134" s="14">
        <v>412.755</v>
      </c>
      <c r="L134" s="14">
        <v>1962</v>
      </c>
      <c r="M134" s="14">
        <v>1169</v>
      </c>
      <c r="N134" s="14">
        <v>3.4750000000000001</v>
      </c>
      <c r="O134" s="14">
        <v>20</v>
      </c>
      <c r="P134" s="14">
        <v>49712</v>
      </c>
      <c r="Q134" s="14">
        <v>12</v>
      </c>
    </row>
    <row r="135" spans="1:17" x14ac:dyDescent="0.2">
      <c r="A135" s="3">
        <v>42036</v>
      </c>
      <c r="B135" s="14">
        <v>16603359</v>
      </c>
      <c r="C135" s="14">
        <v>6277811</v>
      </c>
      <c r="D135" s="14">
        <v>8192</v>
      </c>
      <c r="E135" s="14">
        <v>2332355</v>
      </c>
      <c r="F135" s="14">
        <v>878</v>
      </c>
      <c r="G135" s="14">
        <v>7226994</v>
      </c>
      <c r="H135" s="14">
        <v>27765.837</v>
      </c>
      <c r="I135" s="14">
        <v>85</v>
      </c>
      <c r="J135" s="14">
        <v>141296</v>
      </c>
      <c r="K135" s="14">
        <v>404.95500000000004</v>
      </c>
      <c r="L135" s="14">
        <v>1962</v>
      </c>
      <c r="M135" s="14">
        <v>1147</v>
      </c>
      <c r="N135" s="14">
        <v>3.4750000000000001</v>
      </c>
      <c r="O135" s="14">
        <v>20</v>
      </c>
      <c r="P135" s="14">
        <v>12439</v>
      </c>
      <c r="Q135" s="14">
        <v>12</v>
      </c>
    </row>
    <row r="136" spans="1:17" x14ac:dyDescent="0.2">
      <c r="A136" s="3">
        <v>42064</v>
      </c>
      <c r="B136" s="14">
        <v>15691813</v>
      </c>
      <c r="C136" s="14">
        <v>5119344</v>
      </c>
      <c r="D136" s="14">
        <v>8191</v>
      </c>
      <c r="E136" s="14">
        <v>1997128</v>
      </c>
      <c r="F136" s="14">
        <v>874</v>
      </c>
      <c r="G136" s="14">
        <v>6215128</v>
      </c>
      <c r="H136" s="14">
        <v>31499.543000000005</v>
      </c>
      <c r="I136" s="14">
        <v>83</v>
      </c>
      <c r="J136" s="14">
        <v>94903</v>
      </c>
      <c r="K136" s="14">
        <v>394.52499999999986</v>
      </c>
      <c r="L136" s="14">
        <v>1962</v>
      </c>
      <c r="M136" s="14">
        <v>1035</v>
      </c>
      <c r="N136" s="14">
        <v>3.4750000000000005</v>
      </c>
      <c r="O136" s="14">
        <v>20</v>
      </c>
      <c r="P136" s="14">
        <v>68673</v>
      </c>
      <c r="Q136" s="14">
        <v>12</v>
      </c>
    </row>
    <row r="137" spans="1:17" x14ac:dyDescent="0.2">
      <c r="A137" s="3">
        <v>42095</v>
      </c>
      <c r="B137" s="14">
        <v>13960621</v>
      </c>
      <c r="C137" s="14">
        <v>4279792</v>
      </c>
      <c r="D137" s="14">
        <v>8189</v>
      </c>
      <c r="E137" s="14">
        <v>1913114</v>
      </c>
      <c r="F137" s="14">
        <v>873</v>
      </c>
      <c r="G137" s="14">
        <v>8094050</v>
      </c>
      <c r="H137" s="14">
        <v>25224.010999999995</v>
      </c>
      <c r="I137" s="14">
        <v>76</v>
      </c>
      <c r="J137" s="14">
        <v>98984</v>
      </c>
      <c r="K137" s="14">
        <v>374.88499999999999</v>
      </c>
      <c r="L137" s="14">
        <v>1962</v>
      </c>
      <c r="M137" s="14">
        <v>1157</v>
      </c>
      <c r="N137" s="14">
        <v>3.4749999999999996</v>
      </c>
      <c r="O137" s="14">
        <v>20</v>
      </c>
      <c r="P137" s="14">
        <v>45688</v>
      </c>
      <c r="Q137" s="14">
        <v>11</v>
      </c>
    </row>
    <row r="138" spans="1:17" x14ac:dyDescent="0.2">
      <c r="A138" s="3">
        <v>42125</v>
      </c>
      <c r="B138" s="14">
        <v>12624304</v>
      </c>
      <c r="C138" s="14">
        <v>4173024</v>
      </c>
      <c r="D138" s="14">
        <v>8179</v>
      </c>
      <c r="E138" s="14">
        <v>1785363</v>
      </c>
      <c r="F138" s="14">
        <v>870</v>
      </c>
      <c r="G138" s="14">
        <v>6589912</v>
      </c>
      <c r="H138" s="14">
        <v>26695.923999999995</v>
      </c>
      <c r="I138" s="14">
        <v>76</v>
      </c>
      <c r="J138" s="14">
        <v>62442</v>
      </c>
      <c r="K138" s="14">
        <v>293.77500000000009</v>
      </c>
      <c r="L138" s="14">
        <v>1962</v>
      </c>
      <c r="M138" s="14">
        <v>1139</v>
      </c>
      <c r="N138" s="14">
        <v>3.4749999999999996</v>
      </c>
      <c r="O138" s="14">
        <v>20</v>
      </c>
      <c r="P138" s="14">
        <v>46735</v>
      </c>
      <c r="Q138" s="14">
        <v>11</v>
      </c>
    </row>
    <row r="139" spans="1:17" x14ac:dyDescent="0.2">
      <c r="A139" s="3">
        <v>42156</v>
      </c>
      <c r="B139" s="14">
        <v>13301415</v>
      </c>
      <c r="C139" s="14">
        <v>4543349</v>
      </c>
      <c r="D139" s="14">
        <v>8178</v>
      </c>
      <c r="E139" s="14">
        <v>2012924</v>
      </c>
      <c r="F139" s="14">
        <v>876</v>
      </c>
      <c r="G139" s="14">
        <v>6758443</v>
      </c>
      <c r="H139" s="14">
        <v>25090.399000000009</v>
      </c>
      <c r="I139" s="14">
        <v>75</v>
      </c>
      <c r="J139" s="14">
        <v>55155</v>
      </c>
      <c r="K139" s="14">
        <v>241.42500000000018</v>
      </c>
      <c r="L139" s="14">
        <v>1962</v>
      </c>
      <c r="M139" s="14">
        <v>1185</v>
      </c>
      <c r="N139" s="14">
        <v>3.4750000000000014</v>
      </c>
      <c r="O139" s="14">
        <v>20</v>
      </c>
      <c r="P139" s="14">
        <v>54005</v>
      </c>
      <c r="Q139" s="14">
        <v>11</v>
      </c>
    </row>
    <row r="140" spans="1:17" x14ac:dyDescent="0.2">
      <c r="A140" s="3">
        <v>42186</v>
      </c>
      <c r="B140" s="14">
        <v>15799946</v>
      </c>
      <c r="C140" s="14">
        <v>5297739</v>
      </c>
      <c r="D140" s="14">
        <v>8183</v>
      </c>
      <c r="E140" s="14">
        <v>2231193</v>
      </c>
      <c r="F140" s="14">
        <v>871</v>
      </c>
      <c r="G140" s="14">
        <v>6796101</v>
      </c>
      <c r="H140" s="14">
        <v>27812.929999999982</v>
      </c>
      <c r="I140" s="14">
        <v>76</v>
      </c>
      <c r="J140" s="14">
        <v>33049</v>
      </c>
      <c r="K140" s="14">
        <v>190.42499999999973</v>
      </c>
      <c r="L140" s="14">
        <v>1962</v>
      </c>
      <c r="M140" s="14">
        <v>1143</v>
      </c>
      <c r="N140" s="14">
        <v>3.4749999999999979</v>
      </c>
      <c r="O140" s="14">
        <v>20</v>
      </c>
      <c r="P140" s="14">
        <v>50712</v>
      </c>
      <c r="Q140" s="14">
        <v>11</v>
      </c>
    </row>
    <row r="141" spans="1:17" x14ac:dyDescent="0.2">
      <c r="A141" s="3">
        <v>42217</v>
      </c>
      <c r="B141" s="14">
        <v>15353523</v>
      </c>
      <c r="C141" s="14">
        <v>6118010</v>
      </c>
      <c r="D141" s="14">
        <v>8183</v>
      </c>
      <c r="E141" s="14">
        <v>1719449</v>
      </c>
      <c r="F141" s="14">
        <v>872</v>
      </c>
      <c r="G141" s="14">
        <v>6618941</v>
      </c>
      <c r="H141" s="14">
        <v>23253.848000000013</v>
      </c>
      <c r="I141" s="14">
        <v>76</v>
      </c>
      <c r="J141" s="14">
        <v>28453</v>
      </c>
      <c r="K141" s="14">
        <v>177.71500000000015</v>
      </c>
      <c r="L141" s="14">
        <v>1962</v>
      </c>
      <c r="M141" s="14">
        <v>1133</v>
      </c>
      <c r="N141" s="14">
        <v>3.4750000000000014</v>
      </c>
      <c r="O141" s="14">
        <v>20</v>
      </c>
      <c r="P141" s="14">
        <v>37501</v>
      </c>
      <c r="Q141" s="14">
        <v>11</v>
      </c>
    </row>
    <row r="142" spans="1:17" x14ac:dyDescent="0.2">
      <c r="A142" s="3">
        <v>42248</v>
      </c>
      <c r="B142" s="14">
        <v>14810947</v>
      </c>
      <c r="C142" s="14">
        <v>5514369</v>
      </c>
      <c r="D142" s="14">
        <v>8195</v>
      </c>
      <c r="E142" s="14">
        <v>2115899</v>
      </c>
      <c r="F142" s="14">
        <v>877</v>
      </c>
      <c r="G142" s="14">
        <v>7220675</v>
      </c>
      <c r="H142" s="14">
        <v>24992.574000000001</v>
      </c>
      <c r="I142" s="14">
        <v>75</v>
      </c>
      <c r="J142" s="14">
        <v>57369</v>
      </c>
      <c r="K142" s="14">
        <v>176.83500000000004</v>
      </c>
      <c r="L142" s="14">
        <v>1962</v>
      </c>
      <c r="M142" s="14">
        <v>1165</v>
      </c>
      <c r="N142" s="14">
        <v>3.4749999999999979</v>
      </c>
      <c r="O142" s="14">
        <v>20</v>
      </c>
      <c r="P142" s="14">
        <v>47516</v>
      </c>
      <c r="Q142" s="14">
        <v>11</v>
      </c>
    </row>
    <row r="143" spans="1:17" x14ac:dyDescent="0.2">
      <c r="A143" s="3">
        <v>42278</v>
      </c>
      <c r="B143" s="14">
        <v>14262642</v>
      </c>
      <c r="C143" s="14">
        <v>4223481</v>
      </c>
      <c r="D143" s="14">
        <v>8201</v>
      </c>
      <c r="E143" s="14">
        <v>1659720</v>
      </c>
      <c r="F143" s="14">
        <v>879</v>
      </c>
      <c r="G143" s="14">
        <v>7723711</v>
      </c>
      <c r="H143" s="14">
        <v>31946.772999999994</v>
      </c>
      <c r="I143" s="14">
        <v>75</v>
      </c>
      <c r="J143" s="14">
        <v>53076</v>
      </c>
      <c r="K143" s="14">
        <v>176.83500000000004</v>
      </c>
      <c r="L143" s="14">
        <v>1962</v>
      </c>
      <c r="M143" s="14">
        <v>1109</v>
      </c>
      <c r="N143" s="14">
        <v>3.4750000000000014</v>
      </c>
      <c r="O143" s="14">
        <v>20</v>
      </c>
      <c r="P143" s="14">
        <v>40031</v>
      </c>
      <c r="Q143" s="14">
        <v>11</v>
      </c>
    </row>
    <row r="144" spans="1:17" x14ac:dyDescent="0.2">
      <c r="A144" s="3">
        <v>42309</v>
      </c>
      <c r="B144" s="14">
        <v>12792077</v>
      </c>
      <c r="C144" s="14">
        <v>4268008</v>
      </c>
      <c r="D144" s="14">
        <v>8198</v>
      </c>
      <c r="E144" s="14">
        <v>2091132</v>
      </c>
      <c r="F144" s="14">
        <v>879</v>
      </c>
      <c r="G144" s="14">
        <v>6308019</v>
      </c>
      <c r="H144" s="14">
        <v>28027</v>
      </c>
      <c r="I144" s="14">
        <v>77</v>
      </c>
      <c r="J144" s="14">
        <v>90376</v>
      </c>
      <c r="K144" s="14">
        <v>177</v>
      </c>
      <c r="L144" s="14">
        <v>1962</v>
      </c>
      <c r="M144" s="14">
        <v>1168</v>
      </c>
      <c r="N144" s="14">
        <v>4</v>
      </c>
      <c r="O144" s="14">
        <v>20</v>
      </c>
      <c r="P144" s="14">
        <v>56180</v>
      </c>
      <c r="Q144" s="14">
        <v>11</v>
      </c>
    </row>
    <row r="145" spans="1:17" x14ac:dyDescent="0.2">
      <c r="A145" s="3">
        <v>42339</v>
      </c>
      <c r="B145" s="14">
        <v>13767444</v>
      </c>
      <c r="C145" s="14">
        <v>4891915</v>
      </c>
      <c r="D145" s="14">
        <v>8201</v>
      </c>
      <c r="E145" s="14">
        <v>2016617</v>
      </c>
      <c r="F145" s="14">
        <v>880</v>
      </c>
      <c r="G145" s="14">
        <v>6394569</v>
      </c>
      <c r="H145" s="14">
        <v>22038</v>
      </c>
      <c r="I145" s="14">
        <v>77</v>
      </c>
      <c r="J145" s="14">
        <v>84889</v>
      </c>
      <c r="K145" s="14">
        <v>177</v>
      </c>
      <c r="L145" s="14">
        <v>1962</v>
      </c>
      <c r="M145" s="14">
        <v>1122</v>
      </c>
      <c r="N145" s="14">
        <v>3</v>
      </c>
      <c r="O145" s="14">
        <v>20</v>
      </c>
      <c r="P145" s="14">
        <v>48041</v>
      </c>
      <c r="Q145" s="14">
        <v>11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74"/>
  <sheetViews>
    <sheetView showFormulas="1" defaultGridColor="0" colorId="8" zoomScale="85" workbookViewId="0">
      <selection activeCell="D6" sqref="D6"/>
    </sheetView>
  </sheetViews>
  <sheetFormatPr defaultRowHeight="12.75" x14ac:dyDescent="0.2"/>
  <cols>
    <col min="4" max="4" width="15.6640625" bestFit="1" customWidth="1"/>
    <col min="5" max="5" width="15.6640625" customWidth="1"/>
    <col min="6" max="7" width="12.5" customWidth="1"/>
    <col min="8" max="9" width="14" customWidth="1"/>
    <col min="10" max="11" width="14.83203125" customWidth="1"/>
    <col min="12" max="13" width="15.1640625" customWidth="1"/>
    <col min="15" max="15" width="10.1640625" bestFit="1" customWidth="1"/>
    <col min="16" max="16" width="10.6640625" bestFit="1" customWidth="1"/>
    <col min="19" max="19" width="16.33203125" bestFit="1" customWidth="1"/>
    <col min="22" max="22" width="12.1640625" bestFit="1" customWidth="1"/>
  </cols>
  <sheetData>
    <row r="1" spans="3:22" x14ac:dyDescent="0.2">
      <c r="C1" s="15" t="s">
        <v>27</v>
      </c>
    </row>
    <row r="2" spans="3:22" x14ac:dyDescent="0.2">
      <c r="C2" s="15"/>
      <c r="D2" s="15" t="s">
        <v>28</v>
      </c>
      <c r="E2" s="15"/>
    </row>
    <row r="3" spans="3:22" x14ac:dyDescent="0.2">
      <c r="C3" s="1" t="s">
        <v>0</v>
      </c>
      <c r="D3" s="1" t="s">
        <v>29</v>
      </c>
      <c r="E3" s="1" t="s">
        <v>30</v>
      </c>
      <c r="F3" s="1" t="s">
        <v>31</v>
      </c>
      <c r="G3" s="1" t="s">
        <v>30</v>
      </c>
      <c r="H3" s="1" t="s">
        <v>32</v>
      </c>
      <c r="I3" s="1" t="s">
        <v>30</v>
      </c>
      <c r="J3" s="1" t="s">
        <v>33</v>
      </c>
      <c r="K3" s="1" t="s">
        <v>30</v>
      </c>
      <c r="L3" s="1" t="s">
        <v>9</v>
      </c>
      <c r="M3" s="1" t="s">
        <v>30</v>
      </c>
      <c r="N3" s="1" t="s">
        <v>12</v>
      </c>
      <c r="O3" s="1" t="s">
        <v>30</v>
      </c>
      <c r="P3" s="1" t="s">
        <v>15</v>
      </c>
      <c r="Q3" s="1" t="s">
        <v>30</v>
      </c>
      <c r="R3" s="1"/>
      <c r="S3" s="1" t="s">
        <v>34</v>
      </c>
      <c r="T3" s="1" t="s">
        <v>30</v>
      </c>
      <c r="V3" s="15" t="s">
        <v>35</v>
      </c>
    </row>
    <row r="4" spans="3:22" x14ac:dyDescent="0.2">
      <c r="C4" s="39">
        <v>2004</v>
      </c>
      <c r="D4" s="16">
        <f>SUM('Monthly Data-EOP'!B2:B13)</f>
        <v>87616935.400000006</v>
      </c>
      <c r="E4" s="16"/>
      <c r="F4" s="16">
        <f>SUM('Monthly Data-EOP'!C2:C13)</f>
        <v>30135636.555785924</v>
      </c>
      <c r="G4" s="16"/>
      <c r="H4" s="16">
        <f>SUM('Monthly Data-EOP'!E2:E13)</f>
        <v>14736115.533953398</v>
      </c>
      <c r="I4" s="16"/>
      <c r="J4" s="16">
        <f>SUM('Monthly Data-EOP'!G2:G13)</f>
        <v>40411938.759462096</v>
      </c>
      <c r="K4" s="16"/>
      <c r="L4" s="38">
        <f>SUM('Monthly Data-EOP'!J2:J13)</f>
        <v>38612.252397244301</v>
      </c>
      <c r="M4" s="16"/>
      <c r="N4" s="38">
        <f>SUM('Monthly Data-EOP'!M2:M13)</f>
        <v>41082.519673033152</v>
      </c>
      <c r="O4" s="16"/>
      <c r="P4" s="38">
        <f>SUM('Monthly Data-EOP'!P2:P13)</f>
        <v>7371.6287283058273</v>
      </c>
      <c r="Q4" s="16"/>
      <c r="R4" s="16"/>
      <c r="S4" s="16">
        <f>F4+H4+J4+L4+N4+P4</f>
        <v>85370757.249999985</v>
      </c>
      <c r="T4" s="16"/>
      <c r="V4">
        <f>D4/S4</f>
        <v>1.0263108612639138</v>
      </c>
    </row>
    <row r="5" spans="3:22" x14ac:dyDescent="0.2">
      <c r="C5">
        <v>2005</v>
      </c>
      <c r="D5" s="16">
        <f>SUM('Monthly Data-EOP'!B14:B25)</f>
        <v>87324440.299999997</v>
      </c>
      <c r="E5" s="17">
        <f>D5/D4-1</f>
        <v>-3.3383397703271589E-3</v>
      </c>
      <c r="F5" s="16">
        <f>SUM('Monthly Data-EOP'!C14:C25)</f>
        <v>29392189.159936089</v>
      </c>
      <c r="G5" s="17">
        <f>F5/F4-1</f>
        <v>-2.4670041214281069E-2</v>
      </c>
      <c r="H5" s="16">
        <f>SUM('Monthly Data-EOP'!E14:E25)</f>
        <v>13984029.957886012</v>
      </c>
      <c r="I5" s="17">
        <f t="shared" ref="I5:I11" si="0">H5/H4-1</f>
        <v>-5.1036894650731357E-2</v>
      </c>
      <c r="J5" s="16">
        <f>SUM('Monthly Data-EOP'!G14:G25)</f>
        <v>42490815.793666653</v>
      </c>
      <c r="K5" s="17">
        <f t="shared" ref="K5:K11" si="1">J5/J4-1</f>
        <v>5.144215046395928E-2</v>
      </c>
      <c r="L5" s="16">
        <f>SUM('Monthly Data-EOP'!J14:J25)</f>
        <v>579573.43632195529</v>
      </c>
      <c r="M5" s="17">
        <f t="shared" ref="M5:M11" si="2">L5/L4-1</f>
        <v>14.010091365799695</v>
      </c>
      <c r="N5" s="16">
        <f>SUM('Monthly Data-EOP'!M14:M25)</f>
        <v>69027.652189292276</v>
      </c>
      <c r="O5" s="17">
        <f t="shared" ref="O5:O11" si="3">N5/N4-1</f>
        <v>0.68021953713327132</v>
      </c>
      <c r="P5" s="16">
        <f>SUM('Monthly Data-EOP'!P14:P25)</f>
        <v>0</v>
      </c>
      <c r="Q5" s="17">
        <f t="shared" ref="Q5:Q11" si="4">P5/P4-1</f>
        <v>-1</v>
      </c>
      <c r="R5" s="17"/>
      <c r="S5" s="16">
        <f t="shared" ref="S5:S11" si="5">F5+H5+J5+L5+N5+P5</f>
        <v>86515636.000000015</v>
      </c>
      <c r="T5" s="17">
        <f t="shared" ref="T5:T11" si="6">S5/S4-1</f>
        <v>1.3410666449254594E-2</v>
      </c>
      <c r="V5">
        <f t="shared" ref="V5:V11" si="7">D5/S5</f>
        <v>1.0093486488384595</v>
      </c>
    </row>
    <row r="6" spans="3:22" x14ac:dyDescent="0.2">
      <c r="C6">
        <v>2006</v>
      </c>
      <c r="D6" s="16">
        <f>SUM('Monthly Data-EOP'!B26:B37)</f>
        <v>78033790.270000011</v>
      </c>
      <c r="E6" s="17">
        <f t="shared" ref="E6:G11" si="8">D6/D5-1</f>
        <v>-0.10639232267715992</v>
      </c>
      <c r="F6" s="16">
        <f>SUM('Monthly Data-EOP'!C26:C37)</f>
        <v>29259859.184729151</v>
      </c>
      <c r="G6" s="17">
        <f t="shared" si="8"/>
        <v>-4.5022156902594368E-3</v>
      </c>
      <c r="H6" s="16">
        <f>SUM('Monthly Data-EOP'!E26:E37)</f>
        <v>14153335.275641894</v>
      </c>
      <c r="I6" s="17">
        <f t="shared" si="0"/>
        <v>1.210704770125326E-2</v>
      </c>
      <c r="J6" s="16">
        <f>SUM('Monthly Data-EOP'!G26:G37)</f>
        <v>31349188.192504533</v>
      </c>
      <c r="K6" s="17">
        <f t="shared" si="1"/>
        <v>-0.2622126074318113</v>
      </c>
      <c r="L6" s="16">
        <f>SUM('Monthly Data-EOP'!J26:J37)</f>
        <v>564267.64325486589</v>
      </c>
      <c r="M6" s="17">
        <f t="shared" si="2"/>
        <v>-2.640872080718859E-2</v>
      </c>
      <c r="N6" s="16">
        <f>SUM('Monthly Data-EOP'!M26:M37)</f>
        <v>71424.500765852936</v>
      </c>
      <c r="O6" s="17">
        <f t="shared" si="3"/>
        <v>3.472302042068387E-2</v>
      </c>
      <c r="P6" s="16">
        <f>SUM('Monthly Data-EOP'!P26:P37)</f>
        <v>0</v>
      </c>
      <c r="Q6" s="17" t="e">
        <f t="shared" si="4"/>
        <v>#DIV/0!</v>
      </c>
      <c r="R6" s="17"/>
      <c r="S6" s="16">
        <f t="shared" si="5"/>
        <v>75398074.796896294</v>
      </c>
      <c r="T6" s="17">
        <f t="shared" si="6"/>
        <v>-0.12850349043384157</v>
      </c>
      <c r="V6">
        <f t="shared" si="7"/>
        <v>1.0349573312077753</v>
      </c>
    </row>
    <row r="7" spans="3:22" x14ac:dyDescent="0.2">
      <c r="C7">
        <v>2007</v>
      </c>
      <c r="D7" s="16">
        <f>SUM('Monthly Data-EOP'!B38:B49)</f>
        <v>71833038.870000005</v>
      </c>
      <c r="E7" s="17">
        <f t="shared" si="8"/>
        <v>-7.9462389031023095E-2</v>
      </c>
      <c r="F7" s="16">
        <f>SUM('Monthly Data-EOP'!C38:C49)</f>
        <v>29673636.634316213</v>
      </c>
      <c r="G7" s="17">
        <f t="shared" si="8"/>
        <v>1.4141470981617443E-2</v>
      </c>
      <c r="H7" s="16">
        <f>SUM('Monthly Data-EOP'!E38:E49)</f>
        <v>13842645.039443698</v>
      </c>
      <c r="I7" s="17">
        <f t="shared" si="0"/>
        <v>-2.1951732941202784E-2</v>
      </c>
      <c r="J7" s="16">
        <f>SUM('Monthly Data-EOP'!G38:G49)</f>
        <v>21927990.694886111</v>
      </c>
      <c r="K7" s="17">
        <f t="shared" si="1"/>
        <v>-0.30052444866406436</v>
      </c>
      <c r="L7" s="16">
        <f>SUM('Monthly Data-EOP'!J38:J49)</f>
        <v>537726.07414287957</v>
      </c>
      <c r="M7" s="17">
        <f t="shared" si="2"/>
        <v>-4.7037198445203265E-2</v>
      </c>
      <c r="N7" s="16">
        <f>SUM('Monthly Data-EOP'!M38:M49)</f>
        <v>75740.396291011435</v>
      </c>
      <c r="O7" s="17">
        <f t="shared" si="3"/>
        <v>6.0425980985251426E-2</v>
      </c>
      <c r="P7" s="16">
        <f>SUM('Monthly Data-EOP'!P38:P49)</f>
        <v>28310.032541181903</v>
      </c>
      <c r="Q7" s="17" t="e">
        <f t="shared" si="4"/>
        <v>#DIV/0!</v>
      </c>
      <c r="R7" s="17"/>
      <c r="S7" s="16">
        <f t="shared" si="5"/>
        <v>66086048.871621095</v>
      </c>
      <c r="T7" s="17">
        <f t="shared" si="6"/>
        <v>-0.1235048235695605</v>
      </c>
      <c r="V7">
        <f t="shared" si="7"/>
        <v>1.0869622272250385</v>
      </c>
    </row>
    <row r="8" spans="3:22" x14ac:dyDescent="0.2">
      <c r="C8">
        <v>2008</v>
      </c>
      <c r="D8" s="16">
        <f>SUM('Monthly Data-EOP'!B50:B61)</f>
        <v>68191071.5</v>
      </c>
      <c r="E8" s="17">
        <f t="shared" si="8"/>
        <v>-5.0700449643945378E-2</v>
      </c>
      <c r="F8" s="16">
        <f>SUM('Monthly Data-EOP'!C50:C61)</f>
        <v>29699161</v>
      </c>
      <c r="G8" s="17">
        <f t="shared" si="8"/>
        <v>8.6016978634395613E-4</v>
      </c>
      <c r="H8" s="16">
        <f>SUM('Monthly Data-EOP'!E50:E61)</f>
        <v>13239534.199999999</v>
      </c>
      <c r="I8" s="17">
        <f t="shared" si="0"/>
        <v>-4.3569046069242834E-2</v>
      </c>
      <c r="J8" s="16">
        <f>SUM('Monthly Data-EOP'!G50:G61)</f>
        <v>19273551.376574896</v>
      </c>
      <c r="K8" s="17">
        <f t="shared" si="1"/>
        <v>-0.12105255585183483</v>
      </c>
      <c r="L8" s="16">
        <f>SUM('Monthly Data-EOP'!J50:J61)</f>
        <v>543667.26318245474</v>
      </c>
      <c r="M8" s="17">
        <f t="shared" si="2"/>
        <v>1.1048727828653737E-2</v>
      </c>
      <c r="N8" s="16">
        <f>SUM('Monthly Data-EOP'!M50:M61)</f>
        <v>72742.539897340175</v>
      </c>
      <c r="O8" s="17">
        <f t="shared" si="3"/>
        <v>-3.9580680066061857E-2</v>
      </c>
      <c r="P8" s="16">
        <f>SUM('Monthly Data-EOP'!P50:P61)</f>
        <v>154972.367</v>
      </c>
      <c r="Q8" s="17">
        <f t="shared" si="4"/>
        <v>4.4741147603615623</v>
      </c>
      <c r="R8" s="17"/>
      <c r="S8" s="16">
        <f t="shared" si="5"/>
        <v>62983628.746654689</v>
      </c>
      <c r="T8" s="17">
        <f t="shared" si="6"/>
        <v>-4.6945159802081249E-2</v>
      </c>
      <c r="V8">
        <f t="shared" si="7"/>
        <v>1.0826793066225466</v>
      </c>
    </row>
    <row r="9" spans="3:22" x14ac:dyDescent="0.2">
      <c r="C9">
        <v>2009</v>
      </c>
      <c r="D9" s="16">
        <f>SUM('Monthly Data-EOP'!B62:B73)</f>
        <v>65433305.399999999</v>
      </c>
      <c r="E9" s="17">
        <f t="shared" si="8"/>
        <v>-4.044174756808161E-2</v>
      </c>
      <c r="F9" s="16">
        <f>SUM('Monthly Data-EOP'!C62:C73)</f>
        <v>29586436</v>
      </c>
      <c r="G9" s="17">
        <f t="shared" si="8"/>
        <v>-3.7955617668795627E-3</v>
      </c>
      <c r="H9" s="16">
        <f>SUM('Monthly Data-EOP'!E62:E73)</f>
        <v>12624542.800000001</v>
      </c>
      <c r="I9" s="17">
        <f t="shared" si="0"/>
        <v>-4.645113572046955E-2</v>
      </c>
      <c r="J9" s="16">
        <f>SUM('Monthly Data-EOP'!G62:G73)</f>
        <v>17770090.012132525</v>
      </c>
      <c r="K9" s="17">
        <f t="shared" si="1"/>
        <v>-7.8006452213559396E-2</v>
      </c>
      <c r="L9" s="16">
        <f>SUM('Monthly Data-EOP'!J62:J73)</f>
        <v>554732.98133457778</v>
      </c>
      <c r="M9" s="17">
        <f t="shared" si="2"/>
        <v>2.035384306082344E-2</v>
      </c>
      <c r="N9" s="16">
        <f>SUM('Monthly Data-EOP'!M62:M73)</f>
        <v>70624.021465235666</v>
      </c>
      <c r="O9" s="17">
        <f t="shared" si="3"/>
        <v>-2.9123514728717548E-2</v>
      </c>
      <c r="P9" s="16">
        <f>SUM('Monthly Data-EOP'!P62:P73)</f>
        <v>159317.93</v>
      </c>
      <c r="Q9" s="17">
        <f t="shared" si="4"/>
        <v>2.8040889379975731E-2</v>
      </c>
      <c r="R9" s="17"/>
      <c r="S9" s="16">
        <f t="shared" si="5"/>
        <v>60765743.744932331</v>
      </c>
      <c r="T9" s="17">
        <f t="shared" si="6"/>
        <v>-3.5213674503315362E-2</v>
      </c>
      <c r="V9">
        <f t="shared" si="7"/>
        <v>1.0768123842054831</v>
      </c>
    </row>
    <row r="10" spans="3:22" x14ac:dyDescent="0.2">
      <c r="C10">
        <v>2010</v>
      </c>
      <c r="D10" s="16">
        <f>SUM('Monthly Data-EOP'!B74:B85)</f>
        <v>64807649.499999993</v>
      </c>
      <c r="E10" s="17">
        <f t="shared" si="8"/>
        <v>-9.5617345964003064E-3</v>
      </c>
      <c r="F10" s="16">
        <f>SUM('Monthly Data-EOP'!C74:C85)</f>
        <v>28625240</v>
      </c>
      <c r="G10" s="17">
        <f t="shared" si="8"/>
        <v>-3.2487725118361621E-2</v>
      </c>
      <c r="H10" s="16">
        <f>SUM('Monthly Data-EOP'!E74:E85)</f>
        <v>12306415</v>
      </c>
      <c r="I10" s="17">
        <f t="shared" si="0"/>
        <v>-2.5199154142833691E-2</v>
      </c>
      <c r="J10" s="16">
        <f>SUM('Monthly Data-EOP'!G74:G85)</f>
        <v>17583454.400303438</v>
      </c>
      <c r="K10" s="17">
        <f t="shared" si="1"/>
        <v>-1.0502794960614237E-2</v>
      </c>
      <c r="L10" s="16">
        <f>SUM('Monthly Data-EOP'!J74:J85)</f>
        <v>277802.77668003703</v>
      </c>
      <c r="M10" s="17">
        <f t="shared" si="2"/>
        <v>-0.49921352068936209</v>
      </c>
      <c r="N10" s="16">
        <f>SUM('Monthly Data-EOP'!M74:M85)</f>
        <v>67962.008912351695</v>
      </c>
      <c r="O10" s="17">
        <f t="shared" si="3"/>
        <v>-3.7692735384579179E-2</v>
      </c>
      <c r="P10" s="16">
        <f>SUM('Monthly Data-EOP'!P74:P85)</f>
        <v>160434.53400000001</v>
      </c>
      <c r="Q10" s="17">
        <f t="shared" si="4"/>
        <v>7.0086524473422784E-3</v>
      </c>
      <c r="R10" s="17"/>
      <c r="S10" s="16">
        <f t="shared" si="5"/>
        <v>59021308.719895832</v>
      </c>
      <c r="T10" s="17">
        <f t="shared" si="6"/>
        <v>-2.8707540096256645E-2</v>
      </c>
      <c r="V10">
        <f t="shared" si="7"/>
        <v>1.0980381646155131</v>
      </c>
    </row>
    <row r="11" spans="3:22" x14ac:dyDescent="0.2">
      <c r="C11">
        <v>2011</v>
      </c>
      <c r="D11" s="16">
        <f>SUM('Monthly Data-EOP'!B86:B97)</f>
        <v>64340229.599999994</v>
      </c>
      <c r="E11" s="17">
        <f t="shared" si="8"/>
        <v>-7.2124186512889654E-3</v>
      </c>
      <c r="F11" s="16">
        <f>SUM('Monthly Data-EOP'!C86:C97)</f>
        <v>29052645</v>
      </c>
      <c r="G11" s="17">
        <f t="shared" si="8"/>
        <v>1.4931053853172838E-2</v>
      </c>
      <c r="H11" s="16">
        <f>SUM('Monthly Data-EOP'!E86:E97)</f>
        <v>12351830</v>
      </c>
      <c r="I11" s="17">
        <f t="shared" si="0"/>
        <v>3.690351739316533E-3</v>
      </c>
      <c r="J11" s="16">
        <f>SUM('Monthly Data-EOP'!G86:G97)</f>
        <v>17421028.1837858</v>
      </c>
      <c r="K11" s="17">
        <f t="shared" si="1"/>
        <v>-9.2374463413079644E-3</v>
      </c>
      <c r="L11" s="16">
        <f>SUM('Monthly Data-EOP'!J86:J97)</f>
        <v>551512.36122772645</v>
      </c>
      <c r="M11" s="17">
        <f t="shared" si="2"/>
        <v>0.98526583434023052</v>
      </c>
      <c r="N11" s="16">
        <f>SUM('Monthly Data-EOP'!M86:M97)</f>
        <v>60461.701837858011</v>
      </c>
      <c r="O11" s="17">
        <f t="shared" si="3"/>
        <v>-0.11036029091144994</v>
      </c>
      <c r="P11" s="16">
        <f>SUM('Monthly Data-EOP'!P86:P97)</f>
        <v>157457.614</v>
      </c>
      <c r="Q11" s="17">
        <f t="shared" si="4"/>
        <v>-1.855535666653918E-2</v>
      </c>
      <c r="R11" s="17"/>
      <c r="S11" s="16">
        <f t="shared" si="5"/>
        <v>59594934.860851385</v>
      </c>
      <c r="T11" s="17">
        <f t="shared" si="6"/>
        <v>9.7189668171859811E-3</v>
      </c>
      <c r="V11">
        <f t="shared" si="7"/>
        <v>1.0796258062908941</v>
      </c>
    </row>
    <row r="14" spans="3:22" x14ac:dyDescent="0.2">
      <c r="D14" s="15" t="s">
        <v>36</v>
      </c>
    </row>
    <row r="15" spans="3:22" x14ac:dyDescent="0.2">
      <c r="C15" s="1" t="s">
        <v>0</v>
      </c>
      <c r="F15" s="1" t="s">
        <v>37</v>
      </c>
      <c r="G15" s="1" t="s">
        <v>30</v>
      </c>
      <c r="H15" s="1" t="s">
        <v>38</v>
      </c>
      <c r="I15" s="1" t="s">
        <v>30</v>
      </c>
      <c r="J15" s="1" t="s">
        <v>39</v>
      </c>
      <c r="K15" s="1" t="s">
        <v>30</v>
      </c>
      <c r="L15" s="1" t="s">
        <v>40</v>
      </c>
      <c r="M15" s="1"/>
      <c r="N15" s="1" t="s">
        <v>41</v>
      </c>
      <c r="O15" s="1"/>
      <c r="P15" s="1" t="s">
        <v>42</v>
      </c>
      <c r="Q15" s="18"/>
      <c r="R15" s="18"/>
      <c r="S15" s="1" t="s">
        <v>43</v>
      </c>
    </row>
    <row r="16" spans="3:22" x14ac:dyDescent="0.2">
      <c r="C16">
        <v>2004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S16" s="16"/>
    </row>
    <row r="17" spans="3:23" x14ac:dyDescent="0.2">
      <c r="C17">
        <v>2005</v>
      </c>
      <c r="F17" s="16">
        <f>AVERAGE('Monthly Data-EOP'!D25,'Monthly Data-EOP'!D13)</f>
        <v>3084.5</v>
      </c>
      <c r="G17" s="17"/>
      <c r="H17" s="16">
        <f>AVERAGE('Monthly Data-EOP'!F25,'Monthly Data-EOP'!F13)</f>
        <v>401.5</v>
      </c>
      <c r="I17" s="17"/>
      <c r="J17" s="16">
        <f>AVERAGE('Monthly Data-EOP'!I25,'Monthly Data-EOP'!I13)</f>
        <v>34.5</v>
      </c>
      <c r="K17" s="17"/>
      <c r="L17" s="16">
        <f>AVERAGE('Monthly Data-EOP'!L25,'Monthly Data-EOP'!L13)</f>
        <v>572.5</v>
      </c>
      <c r="M17" s="17"/>
      <c r="N17" s="16">
        <f>AVERAGE('Monthly Data-EOP'!O25,'Monthly Data-EOP'!O13)</f>
        <v>69.5</v>
      </c>
      <c r="O17" s="17"/>
      <c r="P17" s="16">
        <f>AVERAGE('Monthly Data-EOP'!Q25,'Monthly Data-EOP'!Q13)</f>
        <v>0</v>
      </c>
      <c r="S17" s="16">
        <f t="shared" ref="S17:S23" si="9">F17+H17+J17+L17+N17+P17</f>
        <v>4162.5</v>
      </c>
    </row>
    <row r="18" spans="3:23" x14ac:dyDescent="0.2">
      <c r="C18">
        <v>2006</v>
      </c>
      <c r="F18" s="16">
        <f>AVERAGE('Monthly Data-EOP'!D37,'Monthly Data-EOP'!D25)</f>
        <v>3098</v>
      </c>
      <c r="G18" s="17">
        <f t="shared" ref="G18:G24" si="10">F18/F17-1</f>
        <v>4.3767223212838324E-3</v>
      </c>
      <c r="H18" s="16">
        <f>AVERAGE('Monthly Data-EOP'!F37,'Monthly Data-EOP'!F25)</f>
        <v>408.5</v>
      </c>
      <c r="I18" s="17">
        <f t="shared" ref="I18:I23" si="11">H18/H17-1</f>
        <v>1.7434620174346271E-2</v>
      </c>
      <c r="J18" s="16">
        <f>AVERAGE('Monthly Data-EOP'!I37,'Monthly Data-EOP'!I25)</f>
        <v>34.5</v>
      </c>
      <c r="K18" s="17">
        <f t="shared" ref="K18:K23" si="12">J18/J17-1</f>
        <v>0</v>
      </c>
      <c r="L18" s="16">
        <f>AVERAGE('Monthly Data-EOP'!L37,'Monthly Data-EOP'!L25)</f>
        <v>584</v>
      </c>
      <c r="M18" s="17"/>
      <c r="N18" s="16">
        <f>AVERAGE('Monthly Data-EOP'!O37,'Monthly Data-EOP'!O25)</f>
        <v>82</v>
      </c>
      <c r="O18" s="17"/>
      <c r="P18" s="16">
        <f>AVERAGE('Monthly Data-EOP'!Q37,'Monthly Data-EOP'!Q25)</f>
        <v>4</v>
      </c>
      <c r="S18" s="16">
        <f t="shared" si="9"/>
        <v>4211</v>
      </c>
    </row>
    <row r="19" spans="3:23" x14ac:dyDescent="0.2">
      <c r="C19">
        <v>2007</v>
      </c>
      <c r="F19" s="16">
        <f>AVERAGE('Monthly Data-EOP'!D49,'Monthly Data-EOP'!D37)</f>
        <v>3099.5</v>
      </c>
      <c r="G19" s="17">
        <f t="shared" si="10"/>
        <v>4.8418334409294772E-4</v>
      </c>
      <c r="H19" s="16">
        <f>AVERAGE('Monthly Data-EOP'!F49,'Monthly Data-EOP'!F37)</f>
        <v>410.5</v>
      </c>
      <c r="I19" s="17">
        <f t="shared" si="11"/>
        <v>4.8959608323133619E-3</v>
      </c>
      <c r="J19" s="16">
        <f>AVERAGE('Monthly Data-EOP'!I49,'Monthly Data-EOP'!I37)</f>
        <v>34.5</v>
      </c>
      <c r="K19" s="17">
        <f t="shared" si="12"/>
        <v>0</v>
      </c>
      <c r="L19" s="16">
        <f>AVERAGE('Monthly Data-EOP'!L49,'Monthly Data-EOP'!L37)</f>
        <v>589</v>
      </c>
      <c r="M19" s="17"/>
      <c r="N19" s="16">
        <f>AVERAGE('Monthly Data-EOP'!O49,'Monthly Data-EOP'!O37)</f>
        <v>84.5</v>
      </c>
      <c r="O19" s="17"/>
      <c r="P19" s="16">
        <f>AVERAGE('Monthly Data-EOP'!Q49,'Monthly Data-EOP'!Q37)</f>
        <v>8</v>
      </c>
      <c r="S19" s="16">
        <f t="shared" si="9"/>
        <v>4226</v>
      </c>
    </row>
    <row r="20" spans="3:23" x14ac:dyDescent="0.2">
      <c r="C20">
        <v>2008</v>
      </c>
      <c r="F20" s="16">
        <f>AVERAGE('Monthly Data-EOP'!D61,'Monthly Data-EOP'!D49)</f>
        <v>3100</v>
      </c>
      <c r="G20" s="17">
        <f t="shared" si="10"/>
        <v>1.6131634134541883E-4</v>
      </c>
      <c r="H20" s="16">
        <f>AVERAGE('Monthly Data-EOP'!F61,'Monthly Data-EOP'!F49)</f>
        <v>405.5</v>
      </c>
      <c r="I20" s="17">
        <f t="shared" si="11"/>
        <v>-1.218026796589522E-2</v>
      </c>
      <c r="J20" s="16">
        <f>AVERAGE('Monthly Data-EOP'!I61,'Monthly Data-EOP'!I49)</f>
        <v>34.5</v>
      </c>
      <c r="K20" s="17">
        <f t="shared" si="12"/>
        <v>0</v>
      </c>
      <c r="L20" s="16">
        <f>AVERAGE('Monthly Data-EOP'!L61,'Monthly Data-EOP'!L49)</f>
        <v>591.5</v>
      </c>
      <c r="M20" s="17"/>
      <c r="N20" s="16">
        <f>AVERAGE('Monthly Data-EOP'!O61,'Monthly Data-EOP'!O49)</f>
        <v>87.5</v>
      </c>
      <c r="O20" s="17"/>
      <c r="P20" s="16">
        <f>AVERAGE('Monthly Data-EOP'!Q61,'Monthly Data-EOP'!Q49)</f>
        <v>7</v>
      </c>
      <c r="S20" s="16">
        <f t="shared" si="9"/>
        <v>4226</v>
      </c>
    </row>
    <row r="21" spans="3:23" x14ac:dyDescent="0.2">
      <c r="C21">
        <v>2009</v>
      </c>
      <c r="F21" s="16">
        <f>AVERAGE('Monthly Data-EOP'!D73,'Monthly Data-EOP'!D61)</f>
        <v>3102</v>
      </c>
      <c r="G21" s="17">
        <f t="shared" si="10"/>
        <v>6.4516129032266001E-4</v>
      </c>
      <c r="H21" s="16">
        <f>AVERAGE('Monthly Data-EOP'!F73,'Monthly Data-EOP'!F61)</f>
        <v>400</v>
      </c>
      <c r="I21" s="17">
        <f t="shared" si="11"/>
        <v>-1.3563501849568449E-2</v>
      </c>
      <c r="J21" s="16">
        <f>AVERAGE('Monthly Data-EOP'!I73,'Monthly Data-EOP'!I61)</f>
        <v>34</v>
      </c>
      <c r="K21" s="17">
        <f t="shared" si="12"/>
        <v>-1.4492753623188359E-2</v>
      </c>
      <c r="L21" s="16">
        <f>AVERAGE('Monthly Data-EOP'!L73,'Monthly Data-EOP'!L61)</f>
        <v>607.5</v>
      </c>
      <c r="M21" s="17"/>
      <c r="N21" s="16">
        <f>AVERAGE('Monthly Data-EOP'!O73,'Monthly Data-EOP'!O61)</f>
        <v>89</v>
      </c>
      <c r="O21" s="17"/>
      <c r="P21" s="16">
        <f>AVERAGE('Monthly Data-EOP'!Q73,'Monthly Data-EOP'!Q61)</f>
        <v>6</v>
      </c>
      <c r="S21" s="16">
        <f t="shared" si="9"/>
        <v>4238.5</v>
      </c>
    </row>
    <row r="22" spans="3:23" x14ac:dyDescent="0.2">
      <c r="C22">
        <v>2010</v>
      </c>
      <c r="F22" s="16">
        <f>AVERAGE('Monthly Data-EOP'!D85,'Monthly Data-EOP'!D73)</f>
        <v>3102</v>
      </c>
      <c r="G22" s="17">
        <f t="shared" si="10"/>
        <v>0</v>
      </c>
      <c r="H22" s="16">
        <f>AVERAGE('Monthly Data-EOP'!F85,'Monthly Data-EOP'!F73)</f>
        <v>396</v>
      </c>
      <c r="I22" s="17">
        <f t="shared" si="11"/>
        <v>-1.0000000000000009E-2</v>
      </c>
      <c r="J22" s="16">
        <f>AVERAGE('Monthly Data-EOP'!I85,'Monthly Data-EOP'!I73)</f>
        <v>31</v>
      </c>
      <c r="K22" s="17">
        <f t="shared" si="12"/>
        <v>-8.8235294117647078E-2</v>
      </c>
      <c r="L22" s="16">
        <f>AVERAGE('Monthly Data-EOP'!L85,'Monthly Data-EOP'!L73)</f>
        <v>621.5</v>
      </c>
      <c r="M22" s="17"/>
      <c r="N22" s="16">
        <f>AVERAGE('Monthly Data-EOP'!O85,'Monthly Data-EOP'!O73)</f>
        <v>73.5</v>
      </c>
      <c r="O22" s="17"/>
      <c r="P22" s="16">
        <f>AVERAGE('Monthly Data-EOP'!Q85,'Monthly Data-EOP'!Q73)</f>
        <v>6</v>
      </c>
      <c r="S22" s="16">
        <f t="shared" si="9"/>
        <v>4230</v>
      </c>
    </row>
    <row r="23" spans="3:23" x14ac:dyDescent="0.2">
      <c r="C23">
        <v>2011</v>
      </c>
      <c r="F23" s="16">
        <f>AVERAGE('Monthly Data-EOP'!D97,'Monthly Data-EOP'!D85)</f>
        <v>3111.5</v>
      </c>
      <c r="G23" s="17">
        <f t="shared" si="10"/>
        <v>3.0625402965829274E-3</v>
      </c>
      <c r="H23" s="16">
        <f>AVERAGE('Monthly Data-EOP'!F97,'Monthly Data-EOP'!F85)</f>
        <v>398.5</v>
      </c>
      <c r="I23" s="17">
        <f t="shared" si="11"/>
        <v>6.3131313131312705E-3</v>
      </c>
      <c r="J23" s="16">
        <f>AVERAGE('Monthly Data-EOP'!I97,'Monthly Data-EOP'!I85)</f>
        <v>26.5</v>
      </c>
      <c r="K23" s="17">
        <f t="shared" si="12"/>
        <v>-0.14516129032258063</v>
      </c>
      <c r="L23" s="16">
        <f>AVERAGE('Monthly Data-EOP'!L97,'Monthly Data-EOP'!L85)</f>
        <v>622</v>
      </c>
      <c r="M23" s="17"/>
      <c r="N23" s="16">
        <f>AVERAGE('Monthly Data-EOP'!O97,'Monthly Data-EOP'!O85)</f>
        <v>58</v>
      </c>
      <c r="O23" s="17"/>
      <c r="P23" s="16">
        <f>AVERAGE('Monthly Data-EOP'!Q97,'Monthly Data-EOP'!Q85)</f>
        <v>6</v>
      </c>
      <c r="S23" s="16">
        <f t="shared" si="9"/>
        <v>4222.5</v>
      </c>
    </row>
    <row r="24" spans="3:23" x14ac:dyDescent="0.2">
      <c r="C24" s="19">
        <v>2012</v>
      </c>
      <c r="F24" s="20">
        <v>3123</v>
      </c>
      <c r="G24" s="93">
        <f t="shared" si="10"/>
        <v>3.6959665756066684E-3</v>
      </c>
      <c r="H24" s="20">
        <v>403</v>
      </c>
      <c r="I24" s="20"/>
      <c r="J24" s="20">
        <v>25</v>
      </c>
      <c r="K24" s="19"/>
      <c r="L24" s="20">
        <v>622</v>
      </c>
      <c r="M24" s="19"/>
      <c r="N24" s="20">
        <v>58</v>
      </c>
      <c r="O24" s="19"/>
      <c r="P24" s="20">
        <v>6</v>
      </c>
      <c r="S24" s="16"/>
    </row>
    <row r="25" spans="3:23" x14ac:dyDescent="0.2">
      <c r="C25" s="19">
        <v>2013</v>
      </c>
      <c r="F25" s="20">
        <v>3123</v>
      </c>
      <c r="G25" s="20"/>
      <c r="H25" s="20">
        <v>403</v>
      </c>
      <c r="I25" s="20"/>
      <c r="J25" s="20">
        <v>25</v>
      </c>
      <c r="K25" s="19"/>
      <c r="L25" s="20">
        <v>622</v>
      </c>
      <c r="M25" s="19"/>
      <c r="N25" s="20">
        <v>58</v>
      </c>
      <c r="O25" s="19"/>
      <c r="P25" s="20">
        <v>6</v>
      </c>
      <c r="S25" s="16"/>
    </row>
    <row r="26" spans="3:23" x14ac:dyDescent="0.2">
      <c r="F26" s="16"/>
      <c r="G26" s="16"/>
      <c r="H26" s="16"/>
      <c r="I26" s="16"/>
      <c r="J26" s="16"/>
      <c r="L26" s="16"/>
      <c r="N26" s="16"/>
      <c r="P26" s="16"/>
      <c r="S26" s="16"/>
    </row>
    <row r="29" spans="3:23" x14ac:dyDescent="0.2">
      <c r="D29" s="15" t="s">
        <v>44</v>
      </c>
      <c r="R29" s="188" t="s">
        <v>45</v>
      </c>
      <c r="S29" s="189"/>
      <c r="T29" s="190" t="s">
        <v>46</v>
      </c>
      <c r="U29" s="190"/>
      <c r="V29" s="188" t="s">
        <v>47</v>
      </c>
      <c r="W29" s="189"/>
    </row>
    <row r="30" spans="3:23" x14ac:dyDescent="0.2">
      <c r="E30" s="1" t="s">
        <v>0</v>
      </c>
      <c r="F30" s="1" t="s">
        <v>37</v>
      </c>
      <c r="G30" s="18"/>
      <c r="H30" s="1" t="s">
        <v>38</v>
      </c>
      <c r="I30" s="18"/>
      <c r="J30" s="1" t="s">
        <v>39</v>
      </c>
      <c r="K30" s="18"/>
      <c r="L30" s="1" t="s">
        <v>40</v>
      </c>
      <c r="M30" s="18"/>
      <c r="N30" s="1" t="s">
        <v>41</v>
      </c>
      <c r="O30" s="18"/>
      <c r="P30" s="1" t="s">
        <v>42</v>
      </c>
      <c r="R30" s="1" t="s">
        <v>17</v>
      </c>
      <c r="S30" s="1" t="s">
        <v>18</v>
      </c>
      <c r="T30" s="21" t="s">
        <v>17</v>
      </c>
      <c r="U30" s="21" t="s">
        <v>18</v>
      </c>
      <c r="V30" s="1" t="s">
        <v>17</v>
      </c>
      <c r="W30" s="1" t="s">
        <v>18</v>
      </c>
    </row>
    <row r="31" spans="3:23" x14ac:dyDescent="0.2">
      <c r="E31">
        <v>2004</v>
      </c>
      <c r="F31" s="16"/>
      <c r="H31" s="16"/>
      <c r="J31" s="16"/>
      <c r="L31" s="16"/>
      <c r="N31" s="16"/>
      <c r="P31" s="16"/>
      <c r="R31" s="16">
        <f>SUM('Monthly Data-EOP'!R2:R13)</f>
        <v>3797.9000000000005</v>
      </c>
      <c r="S31" s="16">
        <f>SUM('Monthly Data-EOP'!S2:S13)</f>
        <v>228.90000000000003</v>
      </c>
      <c r="T31" s="22">
        <v>3712.41</v>
      </c>
      <c r="U31" s="22">
        <v>376.92</v>
      </c>
      <c r="V31" s="16">
        <f>R31-T31</f>
        <v>85.490000000000691</v>
      </c>
      <c r="W31" s="16">
        <f>S31-U31</f>
        <v>-148.01999999999998</v>
      </c>
    </row>
    <row r="32" spans="3:23" x14ac:dyDescent="0.2">
      <c r="E32">
        <v>2005</v>
      </c>
      <c r="F32" s="16">
        <f t="shared" ref="F32:F38" si="13">F5/F17</f>
        <v>9528.9963235325304</v>
      </c>
      <c r="H32" s="16">
        <f t="shared" ref="H32:H38" si="14">H5/H17</f>
        <v>34829.464403203019</v>
      </c>
      <c r="J32" s="16">
        <f t="shared" ref="J32:J38" si="15">J5/J17</f>
        <v>1231617.8490917871</v>
      </c>
      <c r="L32" s="16">
        <f t="shared" ref="L32:L38" si="16">L5/L17</f>
        <v>1012.3553472872582</v>
      </c>
      <c r="N32" s="16">
        <f t="shared" ref="N32:N38" si="17">N5/N17</f>
        <v>993.2036286229104</v>
      </c>
      <c r="P32" s="16"/>
      <c r="R32" s="16">
        <f>SUM('Monthly Data-EOP'!R14:R25)</f>
        <v>3796.8</v>
      </c>
      <c r="S32" s="16">
        <f>SUM('Monthly Data-EOP'!S14:S25)</f>
        <v>536.20000000000005</v>
      </c>
      <c r="T32" s="22">
        <v>3712.41</v>
      </c>
      <c r="U32" s="22">
        <v>376.92</v>
      </c>
      <c r="V32" s="16">
        <f t="shared" ref="V32:W38" si="18">R32-T32</f>
        <v>84.390000000000327</v>
      </c>
      <c r="W32" s="16">
        <f t="shared" si="18"/>
        <v>159.28000000000003</v>
      </c>
    </row>
    <row r="33" spans="4:23" x14ac:dyDescent="0.2">
      <c r="E33">
        <v>2006</v>
      </c>
      <c r="F33" s="16">
        <f t="shared" si="13"/>
        <v>9444.7576451675759</v>
      </c>
      <c r="H33" s="16">
        <f t="shared" si="14"/>
        <v>34647.087578070728</v>
      </c>
      <c r="J33" s="16">
        <f t="shared" si="15"/>
        <v>908672.12152187049</v>
      </c>
      <c r="L33" s="16">
        <f t="shared" si="16"/>
        <v>966.21171790216761</v>
      </c>
      <c r="N33" s="16">
        <f t="shared" si="17"/>
        <v>871.03049714454801</v>
      </c>
      <c r="P33" s="16">
        <f t="shared" ref="P33:P38" si="19">P6/P18</f>
        <v>0</v>
      </c>
      <c r="R33" s="16">
        <f>SUM('Monthly Data-EOP'!R26:R37)</f>
        <v>3378.4999999999995</v>
      </c>
      <c r="S33" s="16">
        <f>SUM('Monthly Data-EOP'!S26:S37)</f>
        <v>382.5</v>
      </c>
      <c r="T33" s="22">
        <v>3712.41</v>
      </c>
      <c r="U33" s="22">
        <v>376.92</v>
      </c>
      <c r="V33" s="16">
        <f t="shared" si="18"/>
        <v>-333.91000000000031</v>
      </c>
      <c r="W33" s="16">
        <f t="shared" si="18"/>
        <v>5.5799999999999841</v>
      </c>
    </row>
    <row r="34" spans="4:23" x14ac:dyDescent="0.2">
      <c r="E34">
        <v>2007</v>
      </c>
      <c r="F34" s="16">
        <f t="shared" si="13"/>
        <v>9573.6849925201532</v>
      </c>
      <c r="H34" s="16">
        <f t="shared" si="14"/>
        <v>33721.425187438974</v>
      </c>
      <c r="J34" s="16">
        <f t="shared" si="15"/>
        <v>635593.93318510463</v>
      </c>
      <c r="L34" s="16">
        <f t="shared" si="16"/>
        <v>912.94749430030492</v>
      </c>
      <c r="N34" s="16">
        <f t="shared" si="17"/>
        <v>896.33605078120047</v>
      </c>
      <c r="P34" s="16">
        <f t="shared" si="19"/>
        <v>3538.7540676477379</v>
      </c>
      <c r="R34" s="16">
        <f>SUM('Monthly Data-EOP'!R38:R49)</f>
        <v>3719.3999999999996</v>
      </c>
      <c r="S34" s="16">
        <f>SUM('Monthly Data-EOP'!S38:S49)</f>
        <v>436</v>
      </c>
      <c r="T34" s="22">
        <v>3712.41</v>
      </c>
      <c r="U34" s="22">
        <v>376.92</v>
      </c>
      <c r="V34" s="16">
        <f t="shared" si="18"/>
        <v>6.9899999999997817</v>
      </c>
      <c r="W34" s="16">
        <f t="shared" si="18"/>
        <v>59.079999999999984</v>
      </c>
    </row>
    <row r="35" spans="4:23" x14ac:dyDescent="0.2">
      <c r="E35">
        <v>2008</v>
      </c>
      <c r="F35" s="16">
        <f t="shared" si="13"/>
        <v>9580.3745161290317</v>
      </c>
      <c r="H35" s="16">
        <f t="shared" si="14"/>
        <v>32649.899383477186</v>
      </c>
      <c r="J35" s="16">
        <f t="shared" si="15"/>
        <v>558653.6630891274</v>
      </c>
      <c r="L35" s="16">
        <f t="shared" si="16"/>
        <v>919.13315838115761</v>
      </c>
      <c r="N35" s="16">
        <f t="shared" si="17"/>
        <v>831.3433131124591</v>
      </c>
      <c r="P35" s="16">
        <f t="shared" si="19"/>
        <v>22138.909571428572</v>
      </c>
      <c r="R35" s="16">
        <f>SUM('Monthly Data-EOP'!R50:R61)</f>
        <v>3835.9999999999995</v>
      </c>
      <c r="S35" s="16">
        <f>SUM('Monthly Data-EOP'!S50:S61)</f>
        <v>275.7</v>
      </c>
      <c r="T35" s="22">
        <v>3712.41</v>
      </c>
      <c r="U35" s="22">
        <v>376.92</v>
      </c>
      <c r="V35" s="16">
        <f t="shared" si="18"/>
        <v>123.58999999999969</v>
      </c>
      <c r="W35" s="16">
        <f t="shared" si="18"/>
        <v>-101.22000000000003</v>
      </c>
    </row>
    <row r="36" spans="4:23" x14ac:dyDescent="0.2">
      <c r="E36">
        <v>2009</v>
      </c>
      <c r="F36" s="16">
        <f t="shared" si="13"/>
        <v>9537.8581560283692</v>
      </c>
      <c r="H36" s="16">
        <f t="shared" si="14"/>
        <v>31561.357000000004</v>
      </c>
      <c r="J36" s="16">
        <f t="shared" si="15"/>
        <v>522649.70623919193</v>
      </c>
      <c r="L36" s="16">
        <f t="shared" si="16"/>
        <v>913.14071001576588</v>
      </c>
      <c r="N36" s="16">
        <f t="shared" si="17"/>
        <v>793.5283310700637</v>
      </c>
      <c r="P36" s="16">
        <f t="shared" si="19"/>
        <v>26552.988333333331</v>
      </c>
      <c r="R36" s="16">
        <f>SUM('Monthly Data-EOP'!R62:R73)</f>
        <v>3835.8</v>
      </c>
      <c r="S36" s="16">
        <f>SUM('Monthly Data-EOP'!S62:S73)</f>
        <v>197.9</v>
      </c>
      <c r="T36" s="22">
        <v>3712.41</v>
      </c>
      <c r="U36" s="22">
        <v>376.92</v>
      </c>
      <c r="V36" s="16">
        <f t="shared" si="18"/>
        <v>123.39000000000033</v>
      </c>
      <c r="W36" s="16">
        <f t="shared" si="18"/>
        <v>-179.02</v>
      </c>
    </row>
    <row r="37" spans="4:23" x14ac:dyDescent="0.2">
      <c r="E37">
        <v>2010</v>
      </c>
      <c r="F37" s="16">
        <f t="shared" si="13"/>
        <v>9227.9948420373948</v>
      </c>
      <c r="H37" s="16">
        <f t="shared" si="14"/>
        <v>31076.805555555555</v>
      </c>
      <c r="J37" s="16">
        <f t="shared" si="15"/>
        <v>567208.20646140119</v>
      </c>
      <c r="L37" s="16">
        <f t="shared" si="16"/>
        <v>446.98757309740472</v>
      </c>
      <c r="N37" s="16">
        <f t="shared" si="17"/>
        <v>924.65318248097549</v>
      </c>
      <c r="P37" s="16">
        <f t="shared" si="19"/>
        <v>26739.089000000004</v>
      </c>
      <c r="R37" s="16">
        <f>SUM('Monthly Data-EOP'!R74:R85)</f>
        <v>3500.8999999999996</v>
      </c>
      <c r="S37" s="16">
        <f>SUM('Monthly Data-EOP'!S74:S85)</f>
        <v>439.6</v>
      </c>
      <c r="T37" s="22">
        <v>3712.41</v>
      </c>
      <c r="U37" s="22">
        <v>376.92</v>
      </c>
      <c r="V37" s="16">
        <f t="shared" si="18"/>
        <v>-211.51000000000022</v>
      </c>
      <c r="W37" s="16">
        <f t="shared" si="18"/>
        <v>62.680000000000007</v>
      </c>
    </row>
    <row r="38" spans="4:23" x14ac:dyDescent="0.2">
      <c r="E38">
        <v>2011</v>
      </c>
      <c r="F38" s="16">
        <f t="shared" si="13"/>
        <v>9337.1830306925913</v>
      </c>
      <c r="H38" s="16">
        <f t="shared" si="14"/>
        <v>30995.809284818068</v>
      </c>
      <c r="J38" s="16">
        <f t="shared" si="15"/>
        <v>657397.28995418118</v>
      </c>
      <c r="L38" s="16">
        <f t="shared" si="16"/>
        <v>886.67582190952805</v>
      </c>
      <c r="N38" s="16">
        <f t="shared" si="17"/>
        <v>1042.4431351354829</v>
      </c>
      <c r="P38" s="16">
        <f t="shared" si="19"/>
        <v>26242.935666666668</v>
      </c>
      <c r="R38" s="16">
        <f>SUM('Monthly Data-EOP'!R86:R97)</f>
        <v>3647.4999999999995</v>
      </c>
      <c r="S38" s="16">
        <f>SUM('Monthly Data-EOP'!S86:S97)</f>
        <v>427.99999999999994</v>
      </c>
      <c r="T38" s="22">
        <v>3712.41</v>
      </c>
      <c r="U38" s="22">
        <v>376.92</v>
      </c>
      <c r="V38" s="16">
        <f t="shared" si="18"/>
        <v>-64.910000000000309</v>
      </c>
      <c r="W38" s="16">
        <f t="shared" si="18"/>
        <v>51.079999999999927</v>
      </c>
    </row>
    <row r="40" spans="4:23" x14ac:dyDescent="0.2">
      <c r="D40" s="15" t="s">
        <v>48</v>
      </c>
    </row>
    <row r="41" spans="4:23" x14ac:dyDescent="0.2">
      <c r="E41" s="1" t="s">
        <v>0</v>
      </c>
      <c r="G41" s="1" t="s">
        <v>49</v>
      </c>
      <c r="I41" s="1" t="s">
        <v>50</v>
      </c>
    </row>
    <row r="42" spans="4:23" x14ac:dyDescent="0.2">
      <c r="E42">
        <v>2004</v>
      </c>
    </row>
    <row r="43" spans="4:23" x14ac:dyDescent="0.2">
      <c r="E43">
        <v>2005</v>
      </c>
    </row>
    <row r="44" spans="4:23" x14ac:dyDescent="0.2">
      <c r="E44">
        <v>2006</v>
      </c>
    </row>
    <row r="45" spans="4:23" x14ac:dyDescent="0.2">
      <c r="E45">
        <v>2007</v>
      </c>
      <c r="G45" s="23">
        <f t="shared" ref="G45:G51" si="20">AVERAGE($F$34:$F$38)</f>
        <v>9451.4191074815062</v>
      </c>
      <c r="I45" s="23">
        <f t="shared" ref="I45:I51" si="21">AVERAGE($H$34:$H$38)</f>
        <v>32001.059282257957</v>
      </c>
    </row>
    <row r="46" spans="4:23" x14ac:dyDescent="0.2">
      <c r="E46">
        <v>2008</v>
      </c>
      <c r="G46" s="23">
        <f t="shared" si="20"/>
        <v>9451.4191074815062</v>
      </c>
      <c r="I46" s="23">
        <f t="shared" si="21"/>
        <v>32001.059282257957</v>
      </c>
    </row>
    <row r="47" spans="4:23" x14ac:dyDescent="0.2">
      <c r="E47">
        <v>2009</v>
      </c>
      <c r="G47" s="23">
        <f t="shared" si="20"/>
        <v>9451.4191074815062</v>
      </c>
      <c r="I47" s="23">
        <f t="shared" si="21"/>
        <v>32001.059282257957</v>
      </c>
    </row>
    <row r="48" spans="4:23" x14ac:dyDescent="0.2">
      <c r="E48">
        <v>2010</v>
      </c>
      <c r="G48" s="23">
        <f t="shared" si="20"/>
        <v>9451.4191074815062</v>
      </c>
      <c r="I48" s="23">
        <f t="shared" si="21"/>
        <v>32001.059282257957</v>
      </c>
    </row>
    <row r="49" spans="4:23" x14ac:dyDescent="0.2">
      <c r="E49">
        <v>2011</v>
      </c>
      <c r="G49" s="23">
        <f t="shared" si="20"/>
        <v>9451.4191074815062</v>
      </c>
      <c r="I49" s="23">
        <f t="shared" si="21"/>
        <v>32001.059282257957</v>
      </c>
    </row>
    <row r="50" spans="4:23" x14ac:dyDescent="0.2">
      <c r="D50" s="15" t="s">
        <v>51</v>
      </c>
      <c r="E50" s="19">
        <v>2012</v>
      </c>
      <c r="G50" s="24">
        <f t="shared" si="20"/>
        <v>9451.4191074815062</v>
      </c>
      <c r="I50" s="24">
        <f t="shared" si="21"/>
        <v>32001.059282257957</v>
      </c>
    </row>
    <row r="51" spans="4:23" x14ac:dyDescent="0.2">
      <c r="E51" s="19">
        <v>2013</v>
      </c>
      <c r="G51" s="24">
        <f t="shared" si="20"/>
        <v>9451.4191074815062</v>
      </c>
      <c r="I51" s="24">
        <f t="shared" si="21"/>
        <v>32001.059282257957</v>
      </c>
    </row>
    <row r="54" spans="4:23" x14ac:dyDescent="0.2">
      <c r="D54" s="15" t="s">
        <v>52</v>
      </c>
    </row>
    <row r="56" spans="4:23" x14ac:dyDescent="0.2">
      <c r="E56" s="1" t="s">
        <v>0</v>
      </c>
      <c r="F56" s="1" t="s">
        <v>53</v>
      </c>
      <c r="G56" s="1" t="s">
        <v>30</v>
      </c>
      <c r="H56" s="21" t="s">
        <v>54</v>
      </c>
      <c r="I56" s="1" t="s">
        <v>30</v>
      </c>
      <c r="J56" s="1" t="s">
        <v>55</v>
      </c>
      <c r="K56" s="1" t="s">
        <v>30</v>
      </c>
      <c r="L56" s="1" t="s">
        <v>56</v>
      </c>
      <c r="M56" s="1" t="s">
        <v>30</v>
      </c>
      <c r="O56" s="1" t="s">
        <v>39</v>
      </c>
      <c r="P56" s="1" t="s">
        <v>30</v>
      </c>
      <c r="R56" s="1" t="s">
        <v>40</v>
      </c>
      <c r="S56" s="1" t="s">
        <v>30</v>
      </c>
      <c r="T56" s="1" t="s">
        <v>41</v>
      </c>
      <c r="U56" s="1" t="s">
        <v>30</v>
      </c>
      <c r="V56" s="1" t="s">
        <v>42</v>
      </c>
      <c r="W56" s="1" t="s">
        <v>30</v>
      </c>
    </row>
    <row r="57" spans="4:23" x14ac:dyDescent="0.2">
      <c r="E57">
        <v>2007</v>
      </c>
      <c r="F57" s="16">
        <f>F7</f>
        <v>29673636.634316213</v>
      </c>
      <c r="H57" s="22">
        <f t="shared" ref="H57:H63" si="22">G45*F19</f>
        <v>29294673.52363893</v>
      </c>
      <c r="J57" s="16">
        <f>H7</f>
        <v>13842645.039443698</v>
      </c>
      <c r="L57" s="22">
        <f t="shared" ref="L57:L63" si="23">I45*H19</f>
        <v>13136434.835366892</v>
      </c>
      <c r="O57" s="16">
        <f>J7</f>
        <v>21927990.694886111</v>
      </c>
      <c r="R57" s="16">
        <f>L7</f>
        <v>537726.07414287957</v>
      </c>
      <c r="T57" s="16">
        <f>N7</f>
        <v>75740.396291011435</v>
      </c>
      <c r="V57" s="16"/>
    </row>
    <row r="58" spans="4:23" x14ac:dyDescent="0.2">
      <c r="E58">
        <v>2008</v>
      </c>
      <c r="F58" s="16">
        <f>F8</f>
        <v>29699161</v>
      </c>
      <c r="G58" s="17">
        <f t="shared" ref="G58:I61" si="24">F58/F57-1</f>
        <v>8.6016978634395613E-4</v>
      </c>
      <c r="H58" s="22">
        <f t="shared" si="22"/>
        <v>29299399.233192671</v>
      </c>
      <c r="I58" s="25">
        <f t="shared" si="24"/>
        <v>1.6131634134541883E-4</v>
      </c>
      <c r="J58" s="16">
        <f>H8</f>
        <v>13239534.199999999</v>
      </c>
      <c r="K58" s="17">
        <f>J58/J57-1</f>
        <v>-4.3569046069242834E-2</v>
      </c>
      <c r="L58" s="22">
        <f t="shared" si="23"/>
        <v>12976429.538955601</v>
      </c>
      <c r="M58" s="25">
        <f t="shared" ref="M58:M63" si="25">L58/L57-1</f>
        <v>-1.2180267965895331E-2</v>
      </c>
      <c r="O58" s="16">
        <f>J8</f>
        <v>19273551.376574896</v>
      </c>
      <c r="P58" s="17">
        <f t="shared" ref="P58:P63" si="26">O58/O57-1</f>
        <v>-0.12105255585183483</v>
      </c>
      <c r="R58" s="16">
        <f>L8</f>
        <v>543667.26318245474</v>
      </c>
      <c r="S58" s="17">
        <f t="shared" ref="S58:S63" si="27">R58/R57-1</f>
        <v>1.1048727828653737E-2</v>
      </c>
      <c r="T58" s="16">
        <f>N8</f>
        <v>72742.539897340175</v>
      </c>
      <c r="U58" s="17">
        <f t="shared" ref="U58:U63" si="28">T58/T57-1</f>
        <v>-3.9580680066061857E-2</v>
      </c>
      <c r="V58" s="16">
        <f>P8</f>
        <v>154972.367</v>
      </c>
      <c r="W58" s="17" t="e">
        <f t="shared" ref="W58:W63" si="29">V58/V57-1</f>
        <v>#DIV/0!</v>
      </c>
    </row>
    <row r="59" spans="4:23" x14ac:dyDescent="0.2">
      <c r="E59">
        <v>2009</v>
      </c>
      <c r="F59" s="16">
        <f>F9</f>
        <v>29586436</v>
      </c>
      <c r="G59" s="17">
        <f t="shared" si="24"/>
        <v>-3.7955617668795627E-3</v>
      </c>
      <c r="H59" s="22">
        <f t="shared" si="22"/>
        <v>29318302.071407631</v>
      </c>
      <c r="I59" s="25">
        <f t="shared" si="24"/>
        <v>6.4516129032243796E-4</v>
      </c>
      <c r="J59" s="16">
        <f>H9</f>
        <v>12624542.800000001</v>
      </c>
      <c r="K59" s="17">
        <f>J59/J58-1</f>
        <v>-4.645113572046955E-2</v>
      </c>
      <c r="L59" s="22">
        <f t="shared" si="23"/>
        <v>12800423.712903183</v>
      </c>
      <c r="M59" s="25">
        <f t="shared" si="25"/>
        <v>-1.3563501849568338E-2</v>
      </c>
      <c r="O59" s="16">
        <f>J9</f>
        <v>17770090.012132525</v>
      </c>
      <c r="P59" s="17">
        <f t="shared" si="26"/>
        <v>-7.8006452213559396E-2</v>
      </c>
      <c r="R59" s="16">
        <f>L9</f>
        <v>554732.98133457778</v>
      </c>
      <c r="S59" s="17">
        <f t="shared" si="27"/>
        <v>2.035384306082344E-2</v>
      </c>
      <c r="T59" s="16">
        <f>N9</f>
        <v>70624.021465235666</v>
      </c>
      <c r="U59" s="17">
        <f t="shared" si="28"/>
        <v>-2.9123514728717548E-2</v>
      </c>
      <c r="V59" s="16">
        <f>P9</f>
        <v>159317.93</v>
      </c>
      <c r="W59" s="17">
        <f t="shared" si="29"/>
        <v>2.8040889379975731E-2</v>
      </c>
    </row>
    <row r="60" spans="4:23" x14ac:dyDescent="0.2">
      <c r="E60">
        <v>2010</v>
      </c>
      <c r="F60" s="16">
        <f>F10</f>
        <v>28625240</v>
      </c>
      <c r="G60" s="17">
        <f t="shared" si="24"/>
        <v>-3.2487725118361621E-2</v>
      </c>
      <c r="H60" s="22">
        <f t="shared" si="22"/>
        <v>29318302.071407631</v>
      </c>
      <c r="I60" s="25">
        <f t="shared" si="24"/>
        <v>0</v>
      </c>
      <c r="J60" s="16">
        <f>H10</f>
        <v>12306415</v>
      </c>
      <c r="K60" s="17">
        <f>J60/J59-1</f>
        <v>-2.5199154142833691E-2</v>
      </c>
      <c r="L60" s="22">
        <f t="shared" si="23"/>
        <v>12672419.47577415</v>
      </c>
      <c r="M60" s="25">
        <f t="shared" si="25"/>
        <v>-1.0000000000000009E-2</v>
      </c>
      <c r="O60" s="16">
        <f>J10</f>
        <v>17583454.400303438</v>
      </c>
      <c r="P60" s="17">
        <f t="shared" si="26"/>
        <v>-1.0502794960614237E-2</v>
      </c>
      <c r="R60" s="16">
        <f>L10</f>
        <v>277802.77668003703</v>
      </c>
      <c r="S60" s="17">
        <f t="shared" si="27"/>
        <v>-0.49921352068936209</v>
      </c>
      <c r="T60" s="16">
        <f>N10</f>
        <v>67962.008912351695</v>
      </c>
      <c r="U60" s="17">
        <f t="shared" si="28"/>
        <v>-3.7692735384579179E-2</v>
      </c>
      <c r="V60" s="16">
        <f>P10</f>
        <v>160434.53400000001</v>
      </c>
      <c r="W60" s="17">
        <f t="shared" si="29"/>
        <v>7.0086524473422784E-3</v>
      </c>
    </row>
    <row r="61" spans="4:23" x14ac:dyDescent="0.2">
      <c r="E61">
        <v>2011</v>
      </c>
      <c r="F61" s="16">
        <f>F11</f>
        <v>29052645</v>
      </c>
      <c r="G61" s="17">
        <f t="shared" si="24"/>
        <v>1.4931053853172838E-2</v>
      </c>
      <c r="H61" s="22">
        <f t="shared" si="22"/>
        <v>29408090.552928705</v>
      </c>
      <c r="I61" s="25">
        <f t="shared" si="24"/>
        <v>3.0625402965829274E-3</v>
      </c>
      <c r="J61" s="16">
        <f>H11</f>
        <v>12351830</v>
      </c>
      <c r="K61" s="17">
        <f>J61/J60-1</f>
        <v>3.690351739316533E-3</v>
      </c>
      <c r="L61" s="22">
        <f t="shared" si="23"/>
        <v>12752422.123979796</v>
      </c>
      <c r="M61" s="25">
        <f t="shared" si="25"/>
        <v>6.3131313131312705E-3</v>
      </c>
      <c r="O61" s="16">
        <f>J11</f>
        <v>17421028.1837858</v>
      </c>
      <c r="P61" s="17">
        <f t="shared" si="26"/>
        <v>-9.2374463413079644E-3</v>
      </c>
      <c r="R61" s="16">
        <f>L11</f>
        <v>551512.36122772645</v>
      </c>
      <c r="S61" s="17">
        <f t="shared" si="27"/>
        <v>0.98526583434023052</v>
      </c>
      <c r="T61" s="16">
        <f>N11</f>
        <v>60461.701837858011</v>
      </c>
      <c r="U61" s="17">
        <f t="shared" si="28"/>
        <v>-0.11036029091144994</v>
      </c>
      <c r="V61" s="16">
        <f>P11</f>
        <v>157457.614</v>
      </c>
      <c r="W61" s="17">
        <f t="shared" si="29"/>
        <v>-1.855535666653918E-2</v>
      </c>
    </row>
    <row r="62" spans="4:23" x14ac:dyDescent="0.2">
      <c r="E62" s="19">
        <v>2012</v>
      </c>
      <c r="H62" s="20">
        <f t="shared" si="22"/>
        <v>29516781.872664742</v>
      </c>
      <c r="I62" s="26">
        <f>H62/H61-1</f>
        <v>3.6959665756066684E-3</v>
      </c>
      <c r="L62" s="20">
        <f t="shared" si="23"/>
        <v>12896426.890749956</v>
      </c>
      <c r="M62" s="26">
        <f t="shared" si="25"/>
        <v>1.1292346298619638E-2</v>
      </c>
      <c r="O62" s="20">
        <f>$J$38*J24</f>
        <v>16434932.248854529</v>
      </c>
      <c r="P62" s="26">
        <f t="shared" si="26"/>
        <v>-5.6603773584905648E-2</v>
      </c>
      <c r="R62" s="20">
        <f>$L$38*L24</f>
        <v>551512.36122772645</v>
      </c>
      <c r="S62" s="26">
        <f t="shared" si="27"/>
        <v>0</v>
      </c>
      <c r="T62" s="20">
        <f>$N$38*N24</f>
        <v>60461.701837858003</v>
      </c>
      <c r="U62" s="26">
        <f t="shared" si="28"/>
        <v>0</v>
      </c>
      <c r="V62" s="20">
        <f>$P$38*P24</f>
        <v>157457.614</v>
      </c>
      <c r="W62" s="26">
        <f t="shared" si="29"/>
        <v>0</v>
      </c>
    </row>
    <row r="63" spans="4:23" x14ac:dyDescent="0.2">
      <c r="E63" s="19">
        <v>2013</v>
      </c>
      <c r="H63" s="20">
        <f t="shared" si="22"/>
        <v>29516781.872664742</v>
      </c>
      <c r="I63" s="26">
        <f>H63/H62-1</f>
        <v>0</v>
      </c>
      <c r="L63" s="20">
        <f t="shared" si="23"/>
        <v>12896426.890749956</v>
      </c>
      <c r="M63" s="26">
        <f t="shared" si="25"/>
        <v>0</v>
      </c>
      <c r="O63" s="20">
        <f>$J$38*J25</f>
        <v>16434932.248854529</v>
      </c>
      <c r="P63" s="26">
        <f t="shared" si="26"/>
        <v>0</v>
      </c>
      <c r="R63" s="20">
        <f>$L$38*L25</f>
        <v>551512.36122772645</v>
      </c>
      <c r="S63" s="26">
        <f t="shared" si="27"/>
        <v>0</v>
      </c>
      <c r="T63" s="20">
        <f>$N$38*N25</f>
        <v>60461.701837858003</v>
      </c>
      <c r="U63" s="26">
        <f t="shared" si="28"/>
        <v>0</v>
      </c>
      <c r="V63" s="20">
        <f>$P$38*P25</f>
        <v>157457.614</v>
      </c>
      <c r="W63" s="26">
        <f t="shared" si="29"/>
        <v>0</v>
      </c>
    </row>
    <row r="65" spans="4:11" x14ac:dyDescent="0.2">
      <c r="D65" t="s">
        <v>67</v>
      </c>
    </row>
    <row r="67" spans="4:11" x14ac:dyDescent="0.2">
      <c r="E67" s="1" t="s">
        <v>0</v>
      </c>
      <c r="F67" s="18" t="s">
        <v>39</v>
      </c>
      <c r="G67" s="1" t="s">
        <v>30</v>
      </c>
      <c r="H67" s="1" t="s">
        <v>40</v>
      </c>
      <c r="I67" s="1" t="s">
        <v>30</v>
      </c>
      <c r="J67" s="1" t="s">
        <v>41</v>
      </c>
      <c r="K67" s="1" t="s">
        <v>30</v>
      </c>
    </row>
    <row r="68" spans="4:11" x14ac:dyDescent="0.2">
      <c r="E68">
        <v>2007</v>
      </c>
      <c r="F68" s="16"/>
      <c r="H68" s="16"/>
      <c r="J68" s="16"/>
    </row>
    <row r="69" spans="4:11" x14ac:dyDescent="0.2">
      <c r="E69">
        <v>2008</v>
      </c>
      <c r="F69" s="16"/>
      <c r="G69" s="17"/>
      <c r="H69" s="16"/>
      <c r="I69" s="17"/>
      <c r="J69" s="16"/>
      <c r="K69" s="17"/>
    </row>
    <row r="70" spans="4:11" x14ac:dyDescent="0.2">
      <c r="E70">
        <v>2009</v>
      </c>
      <c r="F70" s="16"/>
      <c r="G70" s="17"/>
      <c r="H70" s="16"/>
      <c r="I70" s="17"/>
      <c r="J70" s="16"/>
      <c r="K70" s="17"/>
    </row>
    <row r="71" spans="4:11" x14ac:dyDescent="0.2">
      <c r="E71">
        <v>2010</v>
      </c>
      <c r="F71" s="16"/>
      <c r="G71" s="17"/>
      <c r="H71" s="16"/>
      <c r="I71" s="17"/>
      <c r="J71" s="16"/>
      <c r="K71" s="17"/>
    </row>
    <row r="72" spans="4:11" x14ac:dyDescent="0.2">
      <c r="E72">
        <v>2011</v>
      </c>
      <c r="F72" s="16"/>
      <c r="G72" s="17"/>
      <c r="H72" s="16"/>
      <c r="I72" s="17"/>
      <c r="J72" s="16"/>
      <c r="K72" s="17"/>
    </row>
    <row r="73" spans="4:11" x14ac:dyDescent="0.2">
      <c r="E73" s="19">
        <v>2012</v>
      </c>
      <c r="F73" s="20"/>
      <c r="G73" s="26"/>
      <c r="H73" s="20"/>
      <c r="I73" s="26"/>
      <c r="J73" s="20"/>
      <c r="K73" s="26"/>
    </row>
    <row r="74" spans="4:11" x14ac:dyDescent="0.2">
      <c r="E74" s="19">
        <v>2013</v>
      </c>
      <c r="F74" s="20"/>
      <c r="G74" s="26"/>
      <c r="H74" s="20"/>
      <c r="I74" s="26"/>
      <c r="J74" s="20"/>
      <c r="K74" s="26"/>
    </row>
  </sheetData>
  <mergeCells count="3">
    <mergeCell ref="R29:S29"/>
    <mergeCell ref="T29:U29"/>
    <mergeCell ref="V29:W29"/>
  </mergeCells>
  <phoneticPr fontId="0" type="noConversion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topLeftCell="C7" workbookViewId="0">
      <selection activeCell="D6" sqref="D6"/>
    </sheetView>
  </sheetViews>
  <sheetFormatPr defaultRowHeight="12.75" x14ac:dyDescent="0.2"/>
  <cols>
    <col min="3" max="3" width="15.6640625" bestFit="1" customWidth="1"/>
    <col min="4" max="4" width="6.6640625" bestFit="1" customWidth="1"/>
    <col min="5" max="5" width="12.5" customWidth="1"/>
    <col min="6" max="6" width="6.6640625" bestFit="1" customWidth="1"/>
    <col min="7" max="7" width="12.83203125" customWidth="1"/>
    <col min="8" max="8" width="7.6640625" bestFit="1" customWidth="1"/>
    <col min="9" max="9" width="13" customWidth="1"/>
    <col min="10" max="10" width="7" bestFit="1" customWidth="1"/>
    <col min="11" max="11" width="11.1640625" bestFit="1" customWidth="1"/>
    <col min="12" max="12" width="7.1640625" customWidth="1"/>
    <col min="13" max="13" width="10" bestFit="1" customWidth="1"/>
    <col min="14" max="14" width="7.6640625" bestFit="1" customWidth="1"/>
    <col min="15" max="15" width="9.83203125" bestFit="1" customWidth="1"/>
    <col min="16" max="16" width="7" customWidth="1"/>
    <col min="18" max="18" width="16.33203125" bestFit="1" customWidth="1"/>
  </cols>
  <sheetData>
    <row r="1" spans="2:21" x14ac:dyDescent="0.2">
      <c r="B1" t="s">
        <v>58</v>
      </c>
      <c r="C1" t="s">
        <v>28</v>
      </c>
    </row>
    <row r="2" spans="2:21" x14ac:dyDescent="0.2">
      <c r="B2" s="18" t="s">
        <v>0</v>
      </c>
      <c r="C2" t="s">
        <v>29</v>
      </c>
      <c r="D2" s="31" t="s">
        <v>30</v>
      </c>
      <c r="E2" s="18" t="s">
        <v>2</v>
      </c>
      <c r="F2" s="31" t="s">
        <v>30</v>
      </c>
      <c r="G2" s="18" t="s">
        <v>57</v>
      </c>
      <c r="H2" s="31" t="s">
        <v>30</v>
      </c>
      <c r="I2" s="18" t="s">
        <v>33</v>
      </c>
      <c r="J2" s="31" t="s">
        <v>30</v>
      </c>
      <c r="K2" s="18" t="s">
        <v>59</v>
      </c>
      <c r="L2" s="31" t="s">
        <v>30</v>
      </c>
      <c r="M2" s="28" t="s">
        <v>60</v>
      </c>
      <c r="N2" s="31" t="s">
        <v>30</v>
      </c>
      <c r="O2" s="28" t="s">
        <v>61</v>
      </c>
      <c r="P2" s="31" t="s">
        <v>30</v>
      </c>
      <c r="R2" s="28" t="s">
        <v>34</v>
      </c>
      <c r="S2" s="27" t="s">
        <v>30</v>
      </c>
      <c r="U2" s="1" t="s">
        <v>35</v>
      </c>
    </row>
    <row r="3" spans="2:21" x14ac:dyDescent="0.2">
      <c r="B3" s="37">
        <v>2004</v>
      </c>
      <c r="C3" s="16">
        <f>SUM('Monthly Data-FE'!B2:B13)</f>
        <v>303048017.81</v>
      </c>
      <c r="D3" s="32"/>
      <c r="E3" s="16">
        <f>SUM('Monthly Data-FE'!C2:C13)</f>
        <v>123000551.67773034</v>
      </c>
      <c r="F3" s="32"/>
      <c r="G3" s="16">
        <f>SUM('Monthly Data-FE'!E2:E13)</f>
        <v>43521643.352428734</v>
      </c>
      <c r="H3" s="32"/>
      <c r="I3" s="16">
        <f>SUM('Monthly Data-FE'!G2:G13)</f>
        <v>116483707.19958015</v>
      </c>
      <c r="J3" s="32"/>
      <c r="K3" s="16">
        <f>SUM('Monthly Data-FE'!J2:J13)</f>
        <v>2682876.096862508</v>
      </c>
      <c r="L3" s="32"/>
      <c r="M3" s="16">
        <f>SUM('Monthly Data-FE'!M2:M13)</f>
        <v>840915.387398188</v>
      </c>
      <c r="N3" s="32"/>
      <c r="O3" s="38">
        <f>SUM('Monthly Data-FE'!P2:P13)</f>
        <v>0</v>
      </c>
      <c r="P3" s="32"/>
      <c r="R3" s="16">
        <f>E3+G3+I3+K3+M3+O3</f>
        <v>286529693.71399987</v>
      </c>
      <c r="S3" s="29"/>
      <c r="U3">
        <f>C3/R3</f>
        <v>1.0576496065098506</v>
      </c>
    </row>
    <row r="4" spans="2:21" x14ac:dyDescent="0.2">
      <c r="B4">
        <v>2005</v>
      </c>
      <c r="C4" s="16">
        <f>SUM('Monthly Data-FE'!B14:B25)</f>
        <v>308035878.08000004</v>
      </c>
      <c r="D4" s="33">
        <f>C4/C3-1</f>
        <v>1.6458976719416318E-2</v>
      </c>
      <c r="E4" s="16">
        <f>SUM('Monthly Data-FE'!C14:C25)</f>
        <v>114785067.71766853</v>
      </c>
      <c r="F4" s="33">
        <f>E4/E3-1</f>
        <v>-6.6792252945230057E-2</v>
      </c>
      <c r="G4" s="16">
        <f>SUM('Monthly Data-FE'!E14:E25)</f>
        <v>42619546.53590326</v>
      </c>
      <c r="H4" s="33">
        <f>G4/G3-1</f>
        <v>-2.0727544895777328E-2</v>
      </c>
      <c r="I4" s="16">
        <f>SUM('Monthly Data-FE'!G14:G25)</f>
        <v>138424327.70577091</v>
      </c>
      <c r="J4" s="33">
        <f>I4/I3-1</f>
        <v>0.18835784878136019</v>
      </c>
      <c r="K4" s="16">
        <f>SUM('Monthly Data-FE'!J14:J25)</f>
        <v>2611125.1382757202</v>
      </c>
      <c r="L4" s="33">
        <f>K4/K3-1</f>
        <v>-2.6744044822158197E-2</v>
      </c>
      <c r="M4" s="16">
        <f>SUM('Monthly Data-FE'!M14:M25)</f>
        <v>847058.90238154097</v>
      </c>
      <c r="N4" s="33">
        <f>M4/M3-1</f>
        <v>7.3057468984616403E-3</v>
      </c>
      <c r="O4" s="38">
        <f>SUM('Monthly Data-FE'!P14:P25)</f>
        <v>0</v>
      </c>
      <c r="P4" s="33"/>
      <c r="R4" s="16">
        <f>E4+G4+I4+K4+M4+O4</f>
        <v>299287126</v>
      </c>
      <c r="S4" s="30">
        <f t="shared" ref="S4:S10" si="0">R4/R3-1</f>
        <v>4.4523944868115395E-2</v>
      </c>
      <c r="U4">
        <f>C4/R4</f>
        <v>1.0292319693029497</v>
      </c>
    </row>
    <row r="5" spans="2:21" x14ac:dyDescent="0.2">
      <c r="B5">
        <v>2006</v>
      </c>
      <c r="C5" s="16">
        <f>SUM('Monthly Data-FE'!B26:B37)</f>
        <v>299465583.74000001</v>
      </c>
      <c r="D5" s="33">
        <f t="shared" ref="D5:P10" si="1">C5/C4-1</f>
        <v>-2.7822390019691889E-2</v>
      </c>
      <c r="E5" s="16">
        <f>SUM('Monthly Data-FE'!C26:C37)</f>
        <v>114433846.87441108</v>
      </c>
      <c r="F5" s="33">
        <f t="shared" si="1"/>
        <v>-3.0598130073968832E-3</v>
      </c>
      <c r="G5" s="16">
        <f>SUM('Monthly Data-FE'!E26:E37)</f>
        <v>38287464.934123963</v>
      </c>
      <c r="H5" s="33">
        <f t="shared" si="1"/>
        <v>-0.10164541751118572</v>
      </c>
      <c r="I5" s="16">
        <f>SUM('Monthly Data-FE'!G26:G37)</f>
        <v>131467898.46954048</v>
      </c>
      <c r="J5" s="33">
        <f t="shared" si="1"/>
        <v>-5.0254383398680713E-2</v>
      </c>
      <c r="K5" s="16">
        <f>SUM('Monthly Data-FE'!J26:J37)</f>
        <v>2355629.9595871177</v>
      </c>
      <c r="L5" s="33">
        <f t="shared" si="1"/>
        <v>-9.7848691716598823E-2</v>
      </c>
      <c r="M5" s="16">
        <f>SUM('Monthly Data-FE'!M26:M37)</f>
        <v>796294.3122747523</v>
      </c>
      <c r="N5" s="33">
        <f t="shared" si="1"/>
        <v>-5.9930413297188623E-2</v>
      </c>
      <c r="O5" s="38">
        <f>SUM('Monthly Data-FE'!P26:P37)</f>
        <v>0</v>
      </c>
      <c r="P5" s="33"/>
      <c r="R5" s="16">
        <f t="shared" ref="R5:R10" si="2">E5+G5+I5+K5+M5+O5</f>
        <v>287341134.54993737</v>
      </c>
      <c r="S5" s="30">
        <f t="shared" si="0"/>
        <v>-3.9914818955702813E-2</v>
      </c>
      <c r="U5">
        <f t="shared" ref="U5:U10" si="3">C5/R5</f>
        <v>1.0421953132782509</v>
      </c>
    </row>
    <row r="6" spans="2:21" x14ac:dyDescent="0.2">
      <c r="B6">
        <v>2007</v>
      </c>
      <c r="C6" s="16">
        <f>SUM('Monthly Data-FE'!B38:B49)</f>
        <v>308113038.19</v>
      </c>
      <c r="D6" s="33">
        <f t="shared" si="1"/>
        <v>2.8876288026165486E-2</v>
      </c>
      <c r="E6" s="16">
        <f>SUM('Monthly Data-FE'!C38:C49)</f>
        <v>113173456.78828363</v>
      </c>
      <c r="F6" s="33">
        <f t="shared" si="1"/>
        <v>-1.1014137167919325E-2</v>
      </c>
      <c r="G6" s="16">
        <f>SUM('Monthly Data-FE'!E38:E49)</f>
        <v>38329663.945434712</v>
      </c>
      <c r="H6" s="33">
        <f t="shared" si="1"/>
        <v>1.1021625846305838E-3</v>
      </c>
      <c r="I6" s="16">
        <f>SUM('Monthly Data-FE'!G38:G49)</f>
        <v>142610397.01335588</v>
      </c>
      <c r="J6" s="33">
        <f t="shared" si="1"/>
        <v>8.4754519342963297E-2</v>
      </c>
      <c r="K6" s="16">
        <f>SUM('Monthly Data-FE'!J38:J49)</f>
        <v>2147469.4168469147</v>
      </c>
      <c r="L6" s="33">
        <f t="shared" si="1"/>
        <v>-8.8367250506819151E-2</v>
      </c>
      <c r="M6" s="16">
        <f>SUM('Monthly Data-FE'!M38:M49)</f>
        <v>792560.25393967377</v>
      </c>
      <c r="N6" s="33">
        <f t="shared" si="1"/>
        <v>-4.689294243998221E-3</v>
      </c>
      <c r="O6" s="38">
        <f>SUM('Monthly Data-FE'!P38:P49)</f>
        <v>142599.27408258629</v>
      </c>
      <c r="P6" s="33"/>
      <c r="R6" s="16">
        <f t="shared" si="2"/>
        <v>297196146.69194347</v>
      </c>
      <c r="S6" s="30">
        <f t="shared" si="0"/>
        <v>3.4297254924680498E-2</v>
      </c>
      <c r="U6">
        <f t="shared" si="3"/>
        <v>1.0367329510142416</v>
      </c>
    </row>
    <row r="7" spans="2:21" x14ac:dyDescent="0.2">
      <c r="B7">
        <v>2008</v>
      </c>
      <c r="C7" s="16">
        <f>SUM('Monthly Data-FE'!B50:B61)</f>
        <v>303055000.30000001</v>
      </c>
      <c r="D7" s="33">
        <f t="shared" si="1"/>
        <v>-1.6416176088208667E-2</v>
      </c>
      <c r="E7" s="16">
        <f>SUM('Monthly Data-FE'!C50:C61)</f>
        <v>111437380</v>
      </c>
      <c r="F7" s="33">
        <f t="shared" si="1"/>
        <v>-1.5339964312757082E-2</v>
      </c>
      <c r="G7" s="16">
        <f>SUM('Monthly Data-FE'!E50:E61)</f>
        <v>33923010.799999997</v>
      </c>
      <c r="H7" s="33">
        <f t="shared" si="1"/>
        <v>-0.11496717403283085</v>
      </c>
      <c r="I7" s="16">
        <f>SUM('Monthly Data-FE'!G50:G61)</f>
        <v>138863809.7347075</v>
      </c>
      <c r="J7" s="33">
        <f t="shared" si="1"/>
        <v>-2.6271487613189204E-2</v>
      </c>
      <c r="K7" s="16">
        <f>SUM('Monthly Data-FE'!J50:J61)</f>
        <v>2186728.6883290387</v>
      </c>
      <c r="L7" s="33">
        <f t="shared" si="1"/>
        <v>1.8281644047703161E-2</v>
      </c>
      <c r="M7" s="16">
        <f>SUM('Monthly Data-FE'!M50:M61)</f>
        <v>768334.39589235594</v>
      </c>
      <c r="N7" s="33">
        <f t="shared" si="1"/>
        <v>-3.0566582069811665E-2</v>
      </c>
      <c r="O7" s="38">
        <f>SUM('Monthly Data-FE'!P50:P61)</f>
        <v>653734.72900000005</v>
      </c>
      <c r="P7" s="33"/>
      <c r="R7" s="16">
        <f t="shared" si="2"/>
        <v>287832998.34792894</v>
      </c>
      <c r="S7" s="30">
        <f t="shared" si="0"/>
        <v>-3.1504945297019082E-2</v>
      </c>
      <c r="U7">
        <f t="shared" si="3"/>
        <v>1.0528848396099146</v>
      </c>
    </row>
    <row r="8" spans="2:21" x14ac:dyDescent="0.2">
      <c r="B8">
        <v>2009</v>
      </c>
      <c r="C8" s="16">
        <f>SUM('Monthly Data-FE'!B62:B73)</f>
        <v>288969755.80000001</v>
      </c>
      <c r="D8" s="33">
        <f t="shared" si="1"/>
        <v>-4.6477518886197999E-2</v>
      </c>
      <c r="E8" s="16">
        <f>SUM('Monthly Data-FE'!C62:C73)</f>
        <v>111596385</v>
      </c>
      <c r="F8" s="33">
        <f t="shared" si="1"/>
        <v>1.4268551539886598E-3</v>
      </c>
      <c r="G8" s="16">
        <f>SUM('Monthly Data-FE'!E62:E73)</f>
        <v>33818908.200000003</v>
      </c>
      <c r="H8" s="33">
        <f t="shared" si="1"/>
        <v>-3.0687901086891012E-3</v>
      </c>
      <c r="I8" s="16">
        <f>SUM('Monthly Data-FE'!G62:G73)</f>
        <v>127215231.44021375</v>
      </c>
      <c r="J8" s="33">
        <f t="shared" si="1"/>
        <v>-8.3884910811159452E-2</v>
      </c>
      <c r="K8" s="16">
        <f>SUM('Monthly Data-FE'!J62:J73)</f>
        <v>2164346.0112606166</v>
      </c>
      <c r="L8" s="33">
        <f t="shared" si="1"/>
        <v>-1.0235690045995338E-2</v>
      </c>
      <c r="M8" s="16">
        <f>SUM('Monthly Data-FE'!M62:M73)</f>
        <v>684716.66874663625</v>
      </c>
      <c r="N8" s="33">
        <f t="shared" si="1"/>
        <v>-0.10882986313349241</v>
      </c>
      <c r="O8" s="16">
        <f>SUM('Monthly Data-FE'!P62:P73)</f>
        <v>644528.92700000003</v>
      </c>
      <c r="P8" s="33">
        <f t="shared" si="1"/>
        <v>-1.4081861635348414E-2</v>
      </c>
      <c r="R8" s="16">
        <f t="shared" si="2"/>
        <v>276124116.24722099</v>
      </c>
      <c r="S8" s="30">
        <f t="shared" si="0"/>
        <v>-4.067942927987156E-2</v>
      </c>
      <c r="U8">
        <f t="shared" si="3"/>
        <v>1.0465212518463183</v>
      </c>
    </row>
    <row r="9" spans="2:21" x14ac:dyDescent="0.2">
      <c r="B9">
        <v>2010</v>
      </c>
      <c r="C9" s="16">
        <f>SUM('Monthly Data-FE'!B74:B85)</f>
        <v>295471193.80000001</v>
      </c>
      <c r="D9" s="33">
        <f t="shared" si="1"/>
        <v>2.2498679773601316E-2</v>
      </c>
      <c r="E9" s="16">
        <f>SUM('Monthly Data-FE'!C74:C85)</f>
        <v>114051203</v>
      </c>
      <c r="F9" s="33">
        <f t="shared" si="1"/>
        <v>2.1997289607544213E-2</v>
      </c>
      <c r="G9" s="16">
        <f>SUM('Monthly Data-FE'!E74:E85)</f>
        <v>34886294.600000001</v>
      </c>
      <c r="H9" s="33">
        <f t="shared" si="1"/>
        <v>3.1561823157850943E-2</v>
      </c>
      <c r="I9" s="16">
        <f>SUM('Monthly Data-FE'!G74:G85)</f>
        <v>129724134.05466202</v>
      </c>
      <c r="J9" s="33">
        <f t="shared" si="1"/>
        <v>1.9721715599970047E-2</v>
      </c>
      <c r="K9" s="16">
        <f>SUM('Monthly Data-FE'!J74:J85)</f>
        <v>1967173.6902158158</v>
      </c>
      <c r="L9" s="33">
        <f t="shared" si="1"/>
        <v>-9.1100184544872453E-2</v>
      </c>
      <c r="M9" s="16">
        <f>SUM('Monthly Data-FE'!M74:M85)</f>
        <v>709442.25035290455</v>
      </c>
      <c r="N9" s="33">
        <f t="shared" si="1"/>
        <v>3.6110675750786303E-2</v>
      </c>
      <c r="O9" s="16">
        <f>SUM('Monthly Data-FE'!P74:P85)</f>
        <v>668730.51800000004</v>
      </c>
      <c r="P9" s="33">
        <f t="shared" si="1"/>
        <v>3.7549270461215478E-2</v>
      </c>
      <c r="R9" s="16">
        <f t="shared" si="2"/>
        <v>282006978.11323076</v>
      </c>
      <c r="S9" s="30">
        <f t="shared" si="0"/>
        <v>2.1305136059693863E-2</v>
      </c>
      <c r="U9">
        <f t="shared" si="3"/>
        <v>1.0477442642620109</v>
      </c>
    </row>
    <row r="10" spans="2:21" x14ac:dyDescent="0.2">
      <c r="B10">
        <v>2011</v>
      </c>
      <c r="C10" s="16">
        <f>SUM('Monthly Data-FE'!B86:B97)</f>
        <v>290459287.04000002</v>
      </c>
      <c r="D10" s="33">
        <f t="shared" si="1"/>
        <v>-1.6962420923484212E-2</v>
      </c>
      <c r="E10" s="16">
        <f>SUM('Monthly Data-FE'!C86:C97)</f>
        <v>113713280.40000001</v>
      </c>
      <c r="F10" s="33">
        <f t="shared" si="1"/>
        <v>-2.9629025482528215E-3</v>
      </c>
      <c r="G10" s="16">
        <f>SUM('Monthly Data-FE'!E86:E97)</f>
        <v>34941916.700000003</v>
      </c>
      <c r="H10" s="33">
        <f t="shared" si="1"/>
        <v>1.5943825687925184E-3</v>
      </c>
      <c r="I10" s="16">
        <f>SUM('Monthly Data-FE'!G86:G97)</f>
        <v>124961991.41333851</v>
      </c>
      <c r="J10" s="33">
        <f t="shared" si="1"/>
        <v>-3.6709766274615308E-2</v>
      </c>
      <c r="K10" s="16">
        <f>SUM('Monthly Data-FE'!J86:J97)</f>
        <v>2136308.2815898377</v>
      </c>
      <c r="L10" s="33">
        <f t="shared" si="1"/>
        <v>8.5978473693121948E-2</v>
      </c>
      <c r="M10" s="16">
        <f>SUM('Monthly Data-FE'!M86:M97)</f>
        <v>687242.01183716685</v>
      </c>
      <c r="N10" s="33">
        <f t="shared" si="1"/>
        <v>-3.1292523816694673E-2</v>
      </c>
      <c r="O10" s="16">
        <f>SUM('Monthly Data-FE'!P86:P97)</f>
        <v>788655.647</v>
      </c>
      <c r="P10" s="33">
        <f t="shared" si="1"/>
        <v>0.1793325200092033</v>
      </c>
      <c r="R10" s="16">
        <f t="shared" si="2"/>
        <v>277229394.45376563</v>
      </c>
      <c r="S10" s="30">
        <f t="shared" si="0"/>
        <v>-1.6941366810954817E-2</v>
      </c>
      <c r="U10">
        <f t="shared" si="3"/>
        <v>1.0477218247808884</v>
      </c>
    </row>
    <row r="11" spans="2:21" x14ac:dyDescent="0.2">
      <c r="D11" s="30"/>
    </row>
    <row r="12" spans="2:21" x14ac:dyDescent="0.2">
      <c r="C12" t="s">
        <v>64</v>
      </c>
    </row>
    <row r="13" spans="2:21" x14ac:dyDescent="0.2">
      <c r="B13" s="18" t="s">
        <v>0</v>
      </c>
      <c r="E13" s="18" t="s">
        <v>37</v>
      </c>
      <c r="F13" s="31" t="s">
        <v>30</v>
      </c>
      <c r="G13" s="18" t="s">
        <v>38</v>
      </c>
      <c r="H13" s="31" t="s">
        <v>30</v>
      </c>
      <c r="I13" s="18" t="s">
        <v>39</v>
      </c>
      <c r="J13" s="31" t="s">
        <v>30</v>
      </c>
      <c r="K13" s="18" t="s">
        <v>40</v>
      </c>
      <c r="L13" s="31" t="s">
        <v>30</v>
      </c>
      <c r="M13" s="28" t="s">
        <v>41</v>
      </c>
      <c r="N13" s="31" t="s">
        <v>30</v>
      </c>
      <c r="O13" s="28" t="s">
        <v>42</v>
      </c>
      <c r="P13" s="31" t="s">
        <v>30</v>
      </c>
    </row>
    <row r="14" spans="2:21" x14ac:dyDescent="0.2">
      <c r="B14" s="37">
        <v>2004</v>
      </c>
      <c r="E14" s="16"/>
      <c r="F14" s="32"/>
      <c r="G14" s="16"/>
      <c r="H14" s="32"/>
      <c r="I14" s="16"/>
      <c r="J14" s="32"/>
      <c r="K14" s="16"/>
      <c r="L14" s="32"/>
      <c r="M14" s="16"/>
      <c r="N14" s="32"/>
      <c r="O14" s="38"/>
      <c r="P14" s="32"/>
    </row>
    <row r="15" spans="2:21" x14ac:dyDescent="0.2">
      <c r="B15">
        <v>2005</v>
      </c>
      <c r="E15" s="16">
        <f>AVERAGE('Monthly Data-FE'!D25,'Monthly Data-FE'!D13)</f>
        <v>13767.5</v>
      </c>
      <c r="F15" s="33"/>
      <c r="G15" s="16">
        <f>AVERAGE('Monthly Data-FE'!F25,'Monthly Data-FE'!F13)</f>
        <v>1157</v>
      </c>
      <c r="H15" s="33"/>
      <c r="I15" s="16">
        <f>AVERAGE('Monthly Data-FE'!I25,'Monthly Data-FE'!I13)</f>
        <v>136</v>
      </c>
      <c r="J15" s="33"/>
      <c r="K15" s="16">
        <f>AVERAGE('Monthly Data-FE'!L25,'Monthly Data-FE'!L13)</f>
        <v>3024</v>
      </c>
      <c r="L15" s="33"/>
      <c r="M15" s="16">
        <f>AVERAGE('Monthly Data-FE'!O25,'Monthly Data-FE'!O13)</f>
        <v>862</v>
      </c>
      <c r="N15" s="33"/>
      <c r="O15" s="38">
        <f>AVERAGE('Monthly Data-FE'!Q25,'Monthly Data-FE'!Q13)</f>
        <v>108</v>
      </c>
      <c r="P15" s="33"/>
    </row>
    <row r="16" spans="2:21" x14ac:dyDescent="0.2">
      <c r="B16">
        <v>2006</v>
      </c>
      <c r="E16" s="16">
        <f>AVERAGE('Monthly Data-FE'!D37,'Monthly Data-FE'!D25)</f>
        <v>13868.5</v>
      </c>
      <c r="F16" s="33">
        <f t="shared" ref="F16:F21" si="4">E16/E15-1</f>
        <v>7.3361176684219043E-3</v>
      </c>
      <c r="G16" s="16">
        <f>AVERAGE('Monthly Data-FE'!F37,'Monthly Data-FE'!F25)</f>
        <v>1166</v>
      </c>
      <c r="H16" s="33">
        <f t="shared" ref="H16:H21" si="5">G16/G15-1</f>
        <v>7.7787381158167523E-3</v>
      </c>
      <c r="I16" s="16">
        <f>AVERAGE('Monthly Data-FE'!I37,'Monthly Data-FE'!I25)</f>
        <v>136.5</v>
      </c>
      <c r="J16" s="33">
        <f t="shared" ref="J16:J21" si="6">I16/I15-1</f>
        <v>3.6764705882352811E-3</v>
      </c>
      <c r="K16" s="16">
        <f>AVERAGE('Monthly Data-FE'!L37,'Monthly Data-FE'!L25)</f>
        <v>3034</v>
      </c>
      <c r="L16" s="33">
        <f t="shared" ref="L16:L21" si="7">K16/K15-1</f>
        <v>3.3068783068783691E-3</v>
      </c>
      <c r="M16" s="16">
        <f>AVERAGE('Monthly Data-FE'!O37,'Monthly Data-FE'!O25)</f>
        <v>911.5</v>
      </c>
      <c r="N16" s="33">
        <f t="shared" ref="N16:N21" si="8">M16/M15-1</f>
        <v>5.7424593967517312E-2</v>
      </c>
      <c r="O16" s="38">
        <f>AVERAGE('Monthly Data-FE'!Q37,'Monthly Data-FE'!Q25)</f>
        <v>111.5</v>
      </c>
      <c r="P16" s="33">
        <f t="shared" ref="P16:P21" si="9">O16/O15-1</f>
        <v>3.240740740740744E-2</v>
      </c>
    </row>
    <row r="17" spans="2:16" x14ac:dyDescent="0.2">
      <c r="B17">
        <v>2007</v>
      </c>
      <c r="E17" s="16">
        <f>AVERAGE('Monthly Data-FE'!D49,'Monthly Data-FE'!D37)</f>
        <v>13996</v>
      </c>
      <c r="F17" s="33">
        <f t="shared" si="4"/>
        <v>9.1934960522046527E-3</v>
      </c>
      <c r="G17" s="16">
        <f>AVERAGE('Monthly Data-FE'!F49,'Monthly Data-FE'!F37)</f>
        <v>1169</v>
      </c>
      <c r="H17" s="33">
        <f t="shared" si="5"/>
        <v>2.572898799313883E-3</v>
      </c>
      <c r="I17" s="16">
        <f>AVERAGE('Monthly Data-FE'!I49,'Monthly Data-FE'!I37)</f>
        <v>137.5</v>
      </c>
      <c r="J17" s="33">
        <f t="shared" si="6"/>
        <v>7.3260073260073E-3</v>
      </c>
      <c r="K17" s="16">
        <f>AVERAGE('Monthly Data-FE'!L49,'Monthly Data-FE'!L37)</f>
        <v>3052.5</v>
      </c>
      <c r="L17" s="33">
        <f t="shared" si="7"/>
        <v>6.0975609756097615E-3</v>
      </c>
      <c r="M17" s="16">
        <f>AVERAGE('Monthly Data-FE'!O49,'Monthly Data-FE'!O37)</f>
        <v>961</v>
      </c>
      <c r="N17" s="33">
        <f t="shared" si="8"/>
        <v>5.430608886450905E-2</v>
      </c>
      <c r="O17" s="38">
        <f>AVERAGE('Monthly Data-FE'!Q49,'Monthly Data-FE'!Q37)</f>
        <v>114</v>
      </c>
      <c r="P17" s="33">
        <f t="shared" si="9"/>
        <v>2.2421524663677195E-2</v>
      </c>
    </row>
    <row r="18" spans="2:16" x14ac:dyDescent="0.2">
      <c r="B18">
        <v>2008</v>
      </c>
      <c r="E18" s="16">
        <f>AVERAGE('Monthly Data-FE'!D61,'Monthly Data-FE'!D49)</f>
        <v>14127.5</v>
      </c>
      <c r="F18" s="33">
        <f t="shared" si="4"/>
        <v>9.3955415833095746E-3</v>
      </c>
      <c r="G18" s="16">
        <f>AVERAGE('Monthly Data-FE'!F61,'Monthly Data-FE'!F49)</f>
        <v>1175.5</v>
      </c>
      <c r="H18" s="33">
        <f t="shared" si="5"/>
        <v>5.5603079555175405E-3</v>
      </c>
      <c r="I18" s="16">
        <f>AVERAGE('Monthly Data-FE'!I61,'Monthly Data-FE'!I49)</f>
        <v>142.5</v>
      </c>
      <c r="J18" s="33">
        <f t="shared" si="6"/>
        <v>3.6363636363636376E-2</v>
      </c>
      <c r="K18" s="16">
        <f>AVERAGE('Monthly Data-FE'!L61,'Monthly Data-FE'!L49)</f>
        <v>3072.5</v>
      </c>
      <c r="L18" s="33">
        <f t="shared" si="7"/>
        <v>6.5520065520066062E-3</v>
      </c>
      <c r="M18" s="16">
        <f>AVERAGE('Monthly Data-FE'!O61,'Monthly Data-FE'!O49)</f>
        <v>961</v>
      </c>
      <c r="N18" s="33">
        <f t="shared" si="8"/>
        <v>0</v>
      </c>
      <c r="O18" s="38">
        <f>AVERAGE('Monthly Data-FE'!Q61,'Monthly Data-FE'!Q49)</f>
        <v>111.5</v>
      </c>
      <c r="P18" s="33">
        <f t="shared" si="9"/>
        <v>-2.1929824561403466E-2</v>
      </c>
    </row>
    <row r="19" spans="2:16" x14ac:dyDescent="0.2">
      <c r="B19">
        <v>2009</v>
      </c>
      <c r="E19" s="16">
        <f>AVERAGE('Monthly Data-FE'!D73,'Monthly Data-FE'!D61)</f>
        <v>14215</v>
      </c>
      <c r="F19" s="33">
        <f t="shared" si="4"/>
        <v>6.1935940541497647E-3</v>
      </c>
      <c r="G19" s="16">
        <f>AVERAGE('Monthly Data-FE'!F73,'Monthly Data-FE'!F61)</f>
        <v>1195</v>
      </c>
      <c r="H19" s="33">
        <f t="shared" si="5"/>
        <v>1.6588685665674285E-2</v>
      </c>
      <c r="I19" s="16">
        <f>AVERAGE('Monthly Data-FE'!I73,'Monthly Data-FE'!I61)</f>
        <v>137.5</v>
      </c>
      <c r="J19" s="33">
        <f t="shared" si="6"/>
        <v>-3.5087719298245612E-2</v>
      </c>
      <c r="K19" s="16">
        <f>AVERAGE('Monthly Data-FE'!L73,'Monthly Data-FE'!L61)</f>
        <v>3084</v>
      </c>
      <c r="L19" s="33">
        <f t="shared" si="7"/>
        <v>3.742880390561476E-3</v>
      </c>
      <c r="M19" s="16">
        <f>AVERAGE('Monthly Data-FE'!O73,'Monthly Data-FE'!O61)</f>
        <v>961</v>
      </c>
      <c r="N19" s="33">
        <f t="shared" si="8"/>
        <v>0</v>
      </c>
      <c r="O19" s="16">
        <f>AVERAGE('Monthly Data-FE'!Q73,'Monthly Data-FE'!Q61)</f>
        <v>64</v>
      </c>
      <c r="P19" s="33">
        <f t="shared" si="9"/>
        <v>-0.42600896860986548</v>
      </c>
    </row>
    <row r="20" spans="2:16" x14ac:dyDescent="0.2">
      <c r="B20">
        <v>2010</v>
      </c>
      <c r="E20" s="16">
        <f>AVERAGE('Monthly Data-FE'!D85,'Monthly Data-FE'!D73)</f>
        <v>14263</v>
      </c>
      <c r="F20" s="33">
        <f t="shared" si="4"/>
        <v>3.3767147379528684E-3</v>
      </c>
      <c r="G20" s="16">
        <f>AVERAGE('Monthly Data-FE'!F85,'Monthly Data-FE'!F73)</f>
        <v>1209</v>
      </c>
      <c r="H20" s="33">
        <f t="shared" si="5"/>
        <v>1.1715481171548081E-2</v>
      </c>
      <c r="I20" s="16">
        <f>AVERAGE('Monthly Data-FE'!I85,'Monthly Data-FE'!I73)</f>
        <v>128</v>
      </c>
      <c r="J20" s="33">
        <f t="shared" si="6"/>
        <v>-6.9090909090909092E-2</v>
      </c>
      <c r="K20" s="16">
        <f>AVERAGE('Monthly Data-FE'!L85,'Monthly Data-FE'!L73)</f>
        <v>3081</v>
      </c>
      <c r="L20" s="33">
        <f t="shared" si="7"/>
        <v>-9.7276264591439343E-4</v>
      </c>
      <c r="M20" s="16">
        <f>AVERAGE('Monthly Data-FE'!O85,'Monthly Data-FE'!O73)</f>
        <v>911.5</v>
      </c>
      <c r="N20" s="33">
        <f t="shared" si="8"/>
        <v>-5.150884495317376E-2</v>
      </c>
      <c r="O20" s="16">
        <f>AVERAGE('Monthly Data-FE'!Q85,'Monthly Data-FE'!Q73)</f>
        <v>19</v>
      </c>
      <c r="P20" s="33">
        <f t="shared" si="9"/>
        <v>-0.703125</v>
      </c>
    </row>
    <row r="21" spans="2:16" x14ac:dyDescent="0.2">
      <c r="B21">
        <v>2011</v>
      </c>
      <c r="E21" s="16">
        <f>AVERAGE('Monthly Data-FE'!D97,'Monthly Data-FE'!D85)</f>
        <v>14323.5</v>
      </c>
      <c r="F21" s="33">
        <f t="shared" si="4"/>
        <v>4.2417443735538463E-3</v>
      </c>
      <c r="G21" s="16">
        <f>AVERAGE('Monthly Data-FE'!F97,'Monthly Data-FE'!F85)</f>
        <v>1211.5</v>
      </c>
      <c r="H21" s="33">
        <f t="shared" si="5"/>
        <v>2.0678246484697738E-3</v>
      </c>
      <c r="I21" s="16">
        <f>AVERAGE('Monthly Data-FE'!I97,'Monthly Data-FE'!I85)</f>
        <v>125</v>
      </c>
      <c r="J21" s="33">
        <f t="shared" si="6"/>
        <v>-2.34375E-2</v>
      </c>
      <c r="K21" s="16">
        <f>AVERAGE('Monthly Data-FE'!L97,'Monthly Data-FE'!L85)</f>
        <v>3074</v>
      </c>
      <c r="L21" s="33">
        <f t="shared" si="7"/>
        <v>-2.2719896137617379E-3</v>
      </c>
      <c r="M21" s="16">
        <f>AVERAGE('Monthly Data-FE'!O97,'Monthly Data-FE'!O85)</f>
        <v>862</v>
      </c>
      <c r="N21" s="33">
        <f t="shared" si="8"/>
        <v>-5.430608886450905E-2</v>
      </c>
      <c r="O21" s="16">
        <f>AVERAGE('Monthly Data-FE'!Q97,'Monthly Data-FE'!Q85)</f>
        <v>19</v>
      </c>
      <c r="P21" s="33">
        <f t="shared" si="9"/>
        <v>0</v>
      </c>
    </row>
    <row r="23" spans="2:16" x14ac:dyDescent="0.2">
      <c r="C23" t="s">
        <v>65</v>
      </c>
    </row>
    <row r="24" spans="2:16" x14ac:dyDescent="0.2">
      <c r="B24" s="18" t="s">
        <v>0</v>
      </c>
      <c r="E24" s="18" t="s">
        <v>37</v>
      </c>
      <c r="F24" s="31" t="s">
        <v>30</v>
      </c>
      <c r="G24" s="18" t="s">
        <v>38</v>
      </c>
      <c r="H24" s="31" t="s">
        <v>30</v>
      </c>
      <c r="I24" s="18" t="s">
        <v>39</v>
      </c>
      <c r="J24" s="31" t="s">
        <v>30</v>
      </c>
      <c r="K24" s="18" t="s">
        <v>40</v>
      </c>
      <c r="L24" s="31" t="s">
        <v>30</v>
      </c>
      <c r="M24" s="28" t="s">
        <v>41</v>
      </c>
      <c r="N24" s="31" t="s">
        <v>30</v>
      </c>
      <c r="O24" s="28" t="s">
        <v>42</v>
      </c>
      <c r="P24" s="31" t="s">
        <v>30</v>
      </c>
    </row>
    <row r="25" spans="2:16" x14ac:dyDescent="0.2">
      <c r="B25" s="37">
        <v>2004</v>
      </c>
      <c r="E25" s="16"/>
      <c r="F25" s="32"/>
      <c r="G25" s="16"/>
      <c r="H25" s="32"/>
      <c r="I25" s="16"/>
      <c r="J25" s="32"/>
      <c r="K25" s="16"/>
      <c r="L25" s="32"/>
      <c r="M25" s="16"/>
      <c r="N25" s="32"/>
      <c r="O25" s="38"/>
      <c r="P25" s="32"/>
    </row>
    <row r="26" spans="2:16" x14ac:dyDescent="0.2">
      <c r="B26">
        <v>2005</v>
      </c>
      <c r="E26" s="16">
        <f t="shared" ref="E26:E32" si="10">E4/E15</f>
        <v>8337.3936965802459</v>
      </c>
      <c r="F26" s="33"/>
      <c r="G26" s="16">
        <f t="shared" ref="G26:G32" si="11">G4/G15</f>
        <v>36836.254568628574</v>
      </c>
      <c r="H26" s="33"/>
      <c r="I26" s="16">
        <f t="shared" ref="I26:I32" si="12">I4/I15</f>
        <v>1017825.9390130214</v>
      </c>
      <c r="J26" s="33"/>
      <c r="K26" s="16">
        <f t="shared" ref="K26:K32" si="13">K4/K15</f>
        <v>863.46730763085986</v>
      </c>
      <c r="L26" s="33"/>
      <c r="M26" s="16">
        <f t="shared" ref="M26:M32" si="14">M4/M15</f>
        <v>982.66694011779691</v>
      </c>
      <c r="N26" s="33"/>
      <c r="O26" s="38"/>
      <c r="P26" s="33"/>
    </row>
    <row r="27" spans="2:16" x14ac:dyDescent="0.2">
      <c r="B27">
        <v>2006</v>
      </c>
      <c r="E27" s="16">
        <f t="shared" si="10"/>
        <v>8251.3499566940245</v>
      </c>
      <c r="F27" s="33">
        <f t="shared" ref="F27:F32" si="15">E27/E26-1</f>
        <v>-1.0320220325149565E-2</v>
      </c>
      <c r="G27" s="16">
        <f t="shared" si="11"/>
        <v>32836.59085259345</v>
      </c>
      <c r="H27" s="33">
        <f t="shared" ref="H27:H32" si="16">G27/G26-1</f>
        <v>-0.10857954379111656</v>
      </c>
      <c r="I27" s="16">
        <f t="shared" si="12"/>
        <v>963134.78732264088</v>
      </c>
      <c r="J27" s="33">
        <f t="shared" ref="J27:J32" si="17">I27/I26-1</f>
        <v>-5.3733305071212989E-2</v>
      </c>
      <c r="K27" s="16">
        <f t="shared" si="13"/>
        <v>776.41066565165386</v>
      </c>
      <c r="L27" s="33">
        <f t="shared" ref="L27:L32" si="18">K27/K26-1</f>
        <v>-0.10082216339848216</v>
      </c>
      <c r="M27" s="16">
        <f t="shared" si="14"/>
        <v>873.60868049890541</v>
      </c>
      <c r="N27" s="33">
        <f t="shared" ref="N27:N32" si="19">M27/M26-1</f>
        <v>-0.11098191581149375</v>
      </c>
      <c r="O27" s="38"/>
      <c r="P27" s="33"/>
    </row>
    <row r="28" spans="2:16" x14ac:dyDescent="0.2">
      <c r="B28">
        <v>2007</v>
      </c>
      <c r="E28" s="16">
        <f t="shared" si="10"/>
        <v>8086.12866449583</v>
      </c>
      <c r="F28" s="33">
        <f t="shared" si="15"/>
        <v>-2.0023546821469673E-2</v>
      </c>
      <c r="G28" s="16">
        <f t="shared" si="11"/>
        <v>32788.420825863737</v>
      </c>
      <c r="H28" s="33">
        <f t="shared" si="16"/>
        <v>-1.4669618702487508E-3</v>
      </c>
      <c r="I28" s="16">
        <f t="shared" si="12"/>
        <v>1037166.5237334974</v>
      </c>
      <c r="J28" s="33">
        <f t="shared" si="17"/>
        <v>7.6865395565923533E-2</v>
      </c>
      <c r="K28" s="16">
        <f t="shared" si="13"/>
        <v>703.51168447073371</v>
      </c>
      <c r="L28" s="33">
        <f t="shared" si="18"/>
        <v>-9.3892297473444519E-2</v>
      </c>
      <c r="M28" s="16">
        <f t="shared" si="14"/>
        <v>824.72450982276143</v>
      </c>
      <c r="N28" s="33">
        <f t="shared" si="19"/>
        <v>-5.5956599067018109E-2</v>
      </c>
      <c r="O28" s="38"/>
      <c r="P28" s="33"/>
    </row>
    <row r="29" spans="2:16" x14ac:dyDescent="0.2">
      <c r="B29">
        <v>2008</v>
      </c>
      <c r="E29" s="16">
        <f t="shared" si="10"/>
        <v>7887.9759334631035</v>
      </c>
      <c r="F29" s="33">
        <f t="shared" si="15"/>
        <v>-2.4505265653608221E-2</v>
      </c>
      <c r="G29" s="16">
        <f t="shared" si="11"/>
        <v>28858.367333049762</v>
      </c>
      <c r="H29" s="33">
        <f t="shared" si="16"/>
        <v>-0.11986101781742176</v>
      </c>
      <c r="I29" s="16">
        <f t="shared" si="12"/>
        <v>974482.87533128075</v>
      </c>
      <c r="J29" s="33">
        <f t="shared" si="17"/>
        <v>-6.0437400328515967E-2</v>
      </c>
      <c r="K29" s="16">
        <f t="shared" si="13"/>
        <v>711.70990669781565</v>
      </c>
      <c r="L29" s="33">
        <f t="shared" si="18"/>
        <v>1.1653285095399202E-2</v>
      </c>
      <c r="M29" s="16">
        <f t="shared" si="14"/>
        <v>799.51550040827885</v>
      </c>
      <c r="N29" s="33">
        <f t="shared" si="19"/>
        <v>-3.0566582069811554E-2</v>
      </c>
      <c r="O29" s="38"/>
      <c r="P29" s="33"/>
    </row>
    <row r="30" spans="2:16" x14ac:dyDescent="0.2">
      <c r="B30">
        <v>2009</v>
      </c>
      <c r="E30" s="16">
        <f t="shared" si="10"/>
        <v>7850.6074569117127</v>
      </c>
      <c r="F30" s="33">
        <f t="shared" si="15"/>
        <v>-4.7373973838920058E-3</v>
      </c>
      <c r="G30" s="16">
        <f t="shared" si="11"/>
        <v>28300.341589958163</v>
      </c>
      <c r="H30" s="33">
        <f t="shared" si="16"/>
        <v>-1.9336705249174857E-2</v>
      </c>
      <c r="I30" s="16">
        <f t="shared" si="12"/>
        <v>925201.68320155458</v>
      </c>
      <c r="J30" s="33">
        <f t="shared" si="17"/>
        <v>-5.0571634840656188E-2</v>
      </c>
      <c r="K30" s="16">
        <f t="shared" si="13"/>
        <v>701.79831752938276</v>
      </c>
      <c r="L30" s="33">
        <f t="shared" si="18"/>
        <v>-1.3926445417094979E-2</v>
      </c>
      <c r="M30" s="16">
        <f t="shared" si="14"/>
        <v>712.50433792574006</v>
      </c>
      <c r="N30" s="33">
        <f t="shared" si="19"/>
        <v>-0.10882986313349252</v>
      </c>
      <c r="O30" s="16">
        <f>O8/O19</f>
        <v>10070.764484375</v>
      </c>
      <c r="P30" s="33"/>
    </row>
    <row r="31" spans="2:16" x14ac:dyDescent="0.2">
      <c r="B31">
        <v>2010</v>
      </c>
      <c r="E31" s="16">
        <f t="shared" si="10"/>
        <v>7996.2983243356939</v>
      </c>
      <c r="F31" s="33">
        <f t="shared" si="15"/>
        <v>1.855791010104757E-2</v>
      </c>
      <c r="G31" s="16">
        <f t="shared" si="11"/>
        <v>28855.49594706369</v>
      </c>
      <c r="H31" s="33">
        <f t="shared" si="16"/>
        <v>1.9616524957511983E-2</v>
      </c>
      <c r="I31" s="16">
        <f t="shared" si="12"/>
        <v>1013469.797302047</v>
      </c>
      <c r="J31" s="33">
        <f t="shared" si="17"/>
        <v>9.5404186679655334E-2</v>
      </c>
      <c r="K31" s="16">
        <f t="shared" si="13"/>
        <v>638.48545609081975</v>
      </c>
      <c r="L31" s="33">
        <f t="shared" si="18"/>
        <v>-9.0215179856016459E-2</v>
      </c>
      <c r="M31" s="16">
        <f t="shared" si="14"/>
        <v>778.32391700812343</v>
      </c>
      <c r="N31" s="33">
        <f t="shared" si="19"/>
        <v>9.2377794181574879E-2</v>
      </c>
      <c r="O31" s="16">
        <f>O9/O20</f>
        <v>35196.343052631579</v>
      </c>
      <c r="P31" s="33">
        <f>O31/O30-1</f>
        <v>2.4949028057640938</v>
      </c>
    </row>
    <row r="32" spans="2:16" x14ac:dyDescent="0.2">
      <c r="B32">
        <v>2011</v>
      </c>
      <c r="E32" s="16">
        <f t="shared" si="10"/>
        <v>7938.931155094775</v>
      </c>
      <c r="F32" s="33">
        <f t="shared" si="15"/>
        <v>-7.1742157325883626E-3</v>
      </c>
      <c r="G32" s="16">
        <f t="shared" si="11"/>
        <v>28841.862732150228</v>
      </c>
      <c r="H32" s="33">
        <f t="shared" si="16"/>
        <v>-4.7246510468823555E-4</v>
      </c>
      <c r="I32" s="16">
        <f t="shared" si="12"/>
        <v>999695.93130670814</v>
      </c>
      <c r="J32" s="33">
        <f t="shared" si="17"/>
        <v>-1.3590800665206015E-2</v>
      </c>
      <c r="K32" s="16">
        <f t="shared" si="13"/>
        <v>694.96040390040264</v>
      </c>
      <c r="L32" s="33">
        <f t="shared" si="18"/>
        <v>8.8451424023587633E-2</v>
      </c>
      <c r="M32" s="16">
        <f t="shared" si="14"/>
        <v>797.26451489230499</v>
      </c>
      <c r="N32" s="33">
        <f t="shared" si="19"/>
        <v>2.4335109676430378E-2</v>
      </c>
      <c r="O32" s="16">
        <f>O10/O21</f>
        <v>41508.191947368417</v>
      </c>
      <c r="P32" s="33">
        <f>O32/O31-1</f>
        <v>0.1793325200092033</v>
      </c>
    </row>
  </sheetData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workbookViewId="0">
      <selection activeCell="D6" sqref="D6"/>
    </sheetView>
  </sheetViews>
  <sheetFormatPr defaultRowHeight="12.75" x14ac:dyDescent="0.2"/>
  <cols>
    <col min="3" max="3" width="15.6640625" bestFit="1" customWidth="1"/>
    <col min="4" max="4" width="6.83203125" bestFit="1" customWidth="1"/>
    <col min="5" max="5" width="12.5" customWidth="1"/>
    <col min="6" max="6" width="6.83203125" bestFit="1" customWidth="1"/>
    <col min="7" max="7" width="12.83203125" customWidth="1"/>
    <col min="8" max="8" width="7.83203125" bestFit="1" customWidth="1"/>
    <col min="9" max="9" width="13" customWidth="1"/>
    <col min="10" max="10" width="7.83203125" bestFit="1" customWidth="1"/>
    <col min="11" max="11" width="11.1640625" bestFit="1" customWidth="1"/>
    <col min="12" max="12" width="7.83203125" bestFit="1" customWidth="1"/>
    <col min="13" max="13" width="10" bestFit="1" customWidth="1"/>
    <col min="14" max="14" width="7.83203125" bestFit="1" customWidth="1"/>
    <col min="15" max="15" width="9.83203125" bestFit="1" customWidth="1"/>
    <col min="16" max="16" width="8.33203125" bestFit="1" customWidth="1"/>
    <col min="18" max="18" width="16.33203125" bestFit="1" customWidth="1"/>
    <col min="19" max="19" width="6.83203125" bestFit="1" customWidth="1"/>
  </cols>
  <sheetData>
    <row r="1" spans="2:21" x14ac:dyDescent="0.2">
      <c r="B1" t="s">
        <v>62</v>
      </c>
    </row>
    <row r="2" spans="2:21" x14ac:dyDescent="0.2">
      <c r="B2" s="18" t="s">
        <v>0</v>
      </c>
      <c r="C2" t="s">
        <v>29</v>
      </c>
      <c r="D2" s="27" t="s">
        <v>30</v>
      </c>
      <c r="E2" s="18" t="s">
        <v>2</v>
      </c>
      <c r="F2" s="27" t="s">
        <v>30</v>
      </c>
      <c r="G2" s="18" t="s">
        <v>57</v>
      </c>
      <c r="H2" s="27" t="s">
        <v>30</v>
      </c>
      <c r="I2" s="18" t="s">
        <v>33</v>
      </c>
      <c r="J2" s="27" t="s">
        <v>30</v>
      </c>
      <c r="K2" s="28" t="s">
        <v>59</v>
      </c>
      <c r="L2" s="27" t="s">
        <v>30</v>
      </c>
      <c r="M2" s="28" t="s">
        <v>60</v>
      </c>
      <c r="N2" s="27" t="s">
        <v>30</v>
      </c>
      <c r="O2" s="28" t="s">
        <v>61</v>
      </c>
      <c r="P2" s="27" t="s">
        <v>30</v>
      </c>
      <c r="R2" s="28" t="s">
        <v>34</v>
      </c>
      <c r="S2" s="27" t="s">
        <v>30</v>
      </c>
      <c r="U2" s="1" t="s">
        <v>35</v>
      </c>
    </row>
    <row r="3" spans="2:21" x14ac:dyDescent="0.2">
      <c r="B3" s="37">
        <v>2004</v>
      </c>
      <c r="C3" s="16">
        <f>SUM('Monthly Data-PC'!B2:B13)</f>
        <v>192496762.00999999</v>
      </c>
      <c r="D3" s="34"/>
      <c r="E3" s="35">
        <f>SUM('Monthly Data-PC'!C2:C13)</f>
        <v>61221619.81736128</v>
      </c>
      <c r="F3" s="34"/>
      <c r="G3" s="35">
        <f>SUM('Monthly Data-PC'!E2:E13)</f>
        <v>27694687.647084385</v>
      </c>
      <c r="H3" s="34"/>
      <c r="I3" s="35">
        <f>SUM('Monthly Data-PC'!G2:G13)</f>
        <v>91607758.079320624</v>
      </c>
      <c r="J3" s="34"/>
      <c r="K3" s="36">
        <f>SUM('Monthly Data-PC'!J2:J13)</f>
        <v>159098.85400789586</v>
      </c>
      <c r="L3" s="34"/>
      <c r="M3" s="36">
        <f>SUM('Monthly Data-PC'!M2:M13)</f>
        <v>4578.9384016305303</v>
      </c>
      <c r="N3" s="34"/>
      <c r="O3" s="36">
        <f>SUM('Monthly Data-PC'!P2:P13)</f>
        <v>232792.21382422556</v>
      </c>
      <c r="P3" s="34"/>
      <c r="Q3" s="16"/>
      <c r="R3" s="16">
        <f>E3+G3+I3+K3+M3+O3</f>
        <v>180920535.55000004</v>
      </c>
      <c r="S3" s="29"/>
      <c r="U3">
        <f>C3/R3</f>
        <v>1.0639851436698886</v>
      </c>
    </row>
    <row r="4" spans="2:21" x14ac:dyDescent="0.2">
      <c r="B4">
        <v>2005</v>
      </c>
      <c r="C4" s="16">
        <f>SUM('Monthly Data-PC'!B14:B25)</f>
        <v>195959587.69999996</v>
      </c>
      <c r="D4" s="30">
        <f>C4/C3-1</f>
        <v>1.7989007471305385E-2</v>
      </c>
      <c r="E4" s="16">
        <f>SUM('Monthly Data-PC'!C14:C25)</f>
        <v>69411159.314027607</v>
      </c>
      <c r="F4" s="30">
        <f>E4/E3-1</f>
        <v>0.13376874903175828</v>
      </c>
      <c r="G4" s="16">
        <f>SUM('Monthly Data-PC'!E14:E25)</f>
        <v>27949639.935809202</v>
      </c>
      <c r="H4" s="30">
        <f>G4/G3-1</f>
        <v>9.2058192521864424E-3</v>
      </c>
      <c r="I4" s="16">
        <f>SUM('Monthly Data-PC'!G14:G25)</f>
        <v>102180936.60903658</v>
      </c>
      <c r="J4" s="30">
        <f>I4/I3-1</f>
        <v>0.11541793786243448</v>
      </c>
      <c r="K4" s="16">
        <f>SUM('Monthly Data-PC'!J14:J25)</f>
        <v>1834852.0874239283</v>
      </c>
      <c r="L4" s="30"/>
      <c r="M4" s="16">
        <f>SUM('Monthly Data-PC'!M14:M25)</f>
        <v>15820.053702688694</v>
      </c>
      <c r="N4" s="30">
        <f>M4/M3-1</f>
        <v>2.4549610226368794</v>
      </c>
      <c r="O4" s="16">
        <f>SUM('Monthly Data-PC'!P14:P25)</f>
        <v>0</v>
      </c>
      <c r="P4" s="29"/>
      <c r="R4" s="16">
        <f>E4+G4+I4+K4+M4+O4</f>
        <v>201392407.99999997</v>
      </c>
      <c r="S4" s="30">
        <f t="shared" ref="S4:S10" si="0">R4/R3-1</f>
        <v>0.11315394566882775</v>
      </c>
      <c r="U4">
        <f>C4/R4</f>
        <v>0.97302370852033304</v>
      </c>
    </row>
    <row r="5" spans="2:21" x14ac:dyDescent="0.2">
      <c r="B5">
        <v>2006</v>
      </c>
      <c r="C5" s="16">
        <f>SUM('Monthly Data-PC'!B26:B37)</f>
        <v>201584864.27000001</v>
      </c>
      <c r="D5" s="30">
        <f>C5/C4-1</f>
        <v>2.8706309479544112E-2</v>
      </c>
      <c r="E5" s="16">
        <f>SUM('Monthly Data-PC'!C26:C37)</f>
        <v>64607126.828895561</v>
      </c>
      <c r="F5" s="30">
        <f>E5/E4-1</f>
        <v>-6.9211241140603952E-2</v>
      </c>
      <c r="G5" s="16">
        <f>SUM('Monthly Data-PC'!E26:E37)</f>
        <v>27726124.406899076</v>
      </c>
      <c r="H5" s="30">
        <f t="shared" ref="H5:H10" si="1">G5/G4-1</f>
        <v>-7.9970808004491412E-3</v>
      </c>
      <c r="I5" s="16">
        <f>SUM('Monthly Data-PC'!G26:G37)</f>
        <v>105045704.35067068</v>
      </c>
      <c r="J5" s="30">
        <f t="shared" ref="J5:J10" si="2">I5/I4-1</f>
        <v>2.8036225118930336E-2</v>
      </c>
      <c r="K5" s="16">
        <f>SUM('Monthly Data-PC'!J26:J37)</f>
        <v>1882492.3896762624</v>
      </c>
      <c r="L5" s="30">
        <f t="shared" ref="L5:L10" si="3">K5/K4-1</f>
        <v>2.5964110447300071E-2</v>
      </c>
      <c r="M5" s="16">
        <f>SUM('Monthly Data-PC'!M26:M37)</f>
        <v>14706.023858450581</v>
      </c>
      <c r="N5" s="30">
        <f t="shared" ref="N5:N10" si="4">M5/M4-1</f>
        <v>-7.0418840869596933E-2</v>
      </c>
      <c r="O5" s="16">
        <f>SUM('Monthly Data-PC'!P26:P37)</f>
        <v>0</v>
      </c>
      <c r="P5" s="30"/>
      <c r="R5" s="16">
        <f t="shared" ref="R5:R10" si="5">E5+G5+I5+K5+M5+O5</f>
        <v>199276154.00000003</v>
      </c>
      <c r="S5" s="30">
        <f t="shared" si="0"/>
        <v>-1.0508112103212675E-2</v>
      </c>
      <c r="U5">
        <f t="shared" ref="U5:U10" si="6">C5/R5</f>
        <v>1.0115854818735612</v>
      </c>
    </row>
    <row r="6" spans="2:21" x14ac:dyDescent="0.2">
      <c r="B6">
        <v>2007</v>
      </c>
      <c r="C6" s="16">
        <f>SUM('Monthly Data-PC'!B38:B49)</f>
        <v>199297136.92000002</v>
      </c>
      <c r="D6" s="30">
        <f t="shared" ref="D6:F10" si="7">C6/C5-1</f>
        <v>-1.1348705957089367E-2</v>
      </c>
      <c r="E6" s="16">
        <f>SUM('Monthly Data-PC'!C38:C49)</f>
        <v>65310298.075968295</v>
      </c>
      <c r="F6" s="30">
        <f t="shared" si="7"/>
        <v>1.0883803097063938E-2</v>
      </c>
      <c r="G6" s="16">
        <f>SUM('Monthly Data-PC'!E38:E49)</f>
        <v>26180948.828532469</v>
      </c>
      <c r="H6" s="30">
        <f t="shared" si="1"/>
        <v>-5.5729951856600679E-2</v>
      </c>
      <c r="I6" s="16">
        <f>SUM('Monthly Data-PC'!G38:G49)</f>
        <v>100174043.01407748</v>
      </c>
      <c r="J6" s="30">
        <f t="shared" si="2"/>
        <v>-4.6376587854847329E-2</v>
      </c>
      <c r="K6" s="16">
        <f>SUM('Monthly Data-PC'!J38:J49)</f>
        <v>1791642.3671807409</v>
      </c>
      <c r="L6" s="30">
        <f t="shared" si="3"/>
        <v>-4.8260499215694197E-2</v>
      </c>
      <c r="M6" s="16">
        <f>SUM('Monthly Data-PC'!M38:M49)</f>
        <v>13991.781863981172</v>
      </c>
      <c r="N6" s="30">
        <f t="shared" si="4"/>
        <v>-4.8567988284541008E-2</v>
      </c>
      <c r="O6" s="16">
        <f>SUM('Monthly Data-PC'!P38:P49)</f>
        <v>175151.93237703148</v>
      </c>
      <c r="P6" s="30"/>
      <c r="R6" s="16">
        <f t="shared" si="5"/>
        <v>193646076.00000003</v>
      </c>
      <c r="S6" s="30">
        <f t="shared" si="0"/>
        <v>-2.8252642812446105E-2</v>
      </c>
      <c r="U6">
        <f t="shared" si="6"/>
        <v>1.0291824189610741</v>
      </c>
    </row>
    <row r="7" spans="2:21" x14ac:dyDescent="0.2">
      <c r="B7">
        <v>2008</v>
      </c>
      <c r="C7" s="16">
        <f>SUM('Monthly Data-PC'!B50:B61)</f>
        <v>205167974.10000002</v>
      </c>
      <c r="D7" s="30">
        <f t="shared" si="7"/>
        <v>2.9457709582434211E-2</v>
      </c>
      <c r="E7" s="16">
        <f>SUM('Monthly Data-PC'!C50:C61)</f>
        <v>64024829</v>
      </c>
      <c r="F7" s="30">
        <f t="shared" si="7"/>
        <v>-1.9682486741571026E-2</v>
      </c>
      <c r="G7" s="16">
        <f>SUM('Monthly Data-PC'!E50:E61)</f>
        <v>24983111</v>
      </c>
      <c r="H7" s="30">
        <f t="shared" si="1"/>
        <v>-4.5752269575006554E-2</v>
      </c>
      <c r="I7" s="16">
        <f>SUM('Monthly Data-PC'!G50:G61)</f>
        <v>101312433.35942645</v>
      </c>
      <c r="J7" s="30">
        <f t="shared" si="2"/>
        <v>1.1364124987837343E-2</v>
      </c>
      <c r="K7" s="16">
        <f>SUM('Monthly Data-PC'!J50:J61)</f>
        <v>1784998.4929277273</v>
      </c>
      <c r="L7" s="30">
        <f t="shared" si="3"/>
        <v>-3.7082591786820052E-3</v>
      </c>
      <c r="M7" s="16">
        <f>SUM('Monthly Data-PC'!M50:M61)</f>
        <v>12843.968223212556</v>
      </c>
      <c r="N7" s="30">
        <f t="shared" si="4"/>
        <v>-8.2034843876705565E-2</v>
      </c>
      <c r="O7" s="16">
        <f>SUM('Monthly Data-PC'!P50:P61)</f>
        <v>776225.46699999995</v>
      </c>
      <c r="P7" s="30"/>
      <c r="R7" s="16">
        <f t="shared" si="5"/>
        <v>192894441.28757739</v>
      </c>
      <c r="S7" s="30">
        <f t="shared" si="0"/>
        <v>-3.8814869268130048E-3</v>
      </c>
      <c r="U7">
        <f t="shared" si="6"/>
        <v>1.0636282348547546</v>
      </c>
    </row>
    <row r="8" spans="2:21" x14ac:dyDescent="0.2">
      <c r="B8">
        <v>2009</v>
      </c>
      <c r="C8" s="16">
        <f>SUM('Monthly Data-PC'!B62:B73)</f>
        <v>193252102.80000001</v>
      </c>
      <c r="D8" s="30">
        <f t="shared" si="7"/>
        <v>-5.8078612669792973E-2</v>
      </c>
      <c r="E8" s="16">
        <f>SUM('Monthly Data-PC'!C62:C73)</f>
        <v>63037704</v>
      </c>
      <c r="F8" s="30">
        <f t="shared" si="7"/>
        <v>-1.5417846723182915E-2</v>
      </c>
      <c r="G8" s="16">
        <f>SUM('Monthly Data-PC'!E62:E73)</f>
        <v>23155644</v>
      </c>
      <c r="H8" s="30">
        <f t="shared" si="1"/>
        <v>-7.3148095927684897E-2</v>
      </c>
      <c r="I8" s="16">
        <f>SUM('Monthly Data-PC'!G62:G73)</f>
        <v>101400950.77839404</v>
      </c>
      <c r="J8" s="30">
        <f t="shared" si="2"/>
        <v>8.7370736278291616E-4</v>
      </c>
      <c r="K8" s="16">
        <f>SUM('Monthly Data-PC'!J62:J73)</f>
        <v>1824489.3762836661</v>
      </c>
      <c r="L8" s="30">
        <f t="shared" si="3"/>
        <v>2.2123762856049556E-2</v>
      </c>
      <c r="M8" s="16">
        <f>SUM('Monthly Data-PC'!M62:M73)</f>
        <v>11664.023445068788</v>
      </c>
      <c r="N8" s="30">
        <f t="shared" si="4"/>
        <v>-9.1867618919461824E-2</v>
      </c>
      <c r="O8" s="16">
        <f>SUM('Monthly Data-PC'!P62:P73)</f>
        <v>780483.49499999988</v>
      </c>
      <c r="P8" s="30">
        <f>O8/O7-1</f>
        <v>5.4855556549266993E-3</v>
      </c>
      <c r="R8" s="16">
        <f t="shared" si="5"/>
        <v>190210935.67312279</v>
      </c>
      <c r="S8" s="30">
        <f t="shared" si="0"/>
        <v>-1.3911783027764302E-2</v>
      </c>
      <c r="U8">
        <f t="shared" si="6"/>
        <v>1.0159883926553175</v>
      </c>
    </row>
    <row r="9" spans="2:21" x14ac:dyDescent="0.2">
      <c r="B9">
        <v>2010</v>
      </c>
      <c r="C9" s="16">
        <f>SUM('Monthly Data-PC'!B74:B85)</f>
        <v>201725426.09999999</v>
      </c>
      <c r="D9" s="30">
        <f t="shared" si="7"/>
        <v>4.3845956536727515E-2</v>
      </c>
      <c r="E9" s="16">
        <f>SUM('Monthly Data-PC'!C74:C85)</f>
        <v>64264350</v>
      </c>
      <c r="F9" s="30">
        <f t="shared" si="7"/>
        <v>1.9458925724832765E-2</v>
      </c>
      <c r="G9" s="16">
        <f>SUM('Monthly Data-PC'!E74:E85)</f>
        <v>22781401.469999999</v>
      </c>
      <c r="H9" s="30">
        <f t="shared" si="1"/>
        <v>-1.6162043690082672E-2</v>
      </c>
      <c r="I9" s="16">
        <f>SUM('Monthly Data-PC'!G74:G85)</f>
        <v>102093243.05884923</v>
      </c>
      <c r="J9" s="30">
        <f t="shared" si="2"/>
        <v>6.8272760278960121E-3</v>
      </c>
      <c r="K9" s="16">
        <f>SUM('Monthly Data-PC'!J74:J85)</f>
        <v>1628021.6955563508</v>
      </c>
      <c r="L9" s="30">
        <f t="shared" si="3"/>
        <v>-0.10768365290649362</v>
      </c>
      <c r="M9" s="16">
        <f>SUM('Monthly Data-PC'!M74:M85)</f>
        <v>12475.084152922775</v>
      </c>
      <c r="N9" s="30">
        <f t="shared" si="4"/>
        <v>6.9535243278071368E-2</v>
      </c>
      <c r="O9" s="16">
        <f>SUM('Monthly Data-PC'!P74:P85)</f>
        <v>695082.46799999999</v>
      </c>
      <c r="P9" s="30">
        <f>O9/O8-1</f>
        <v>-0.1094206700681094</v>
      </c>
      <c r="R9" s="16">
        <f t="shared" si="5"/>
        <v>191474573.77655852</v>
      </c>
      <c r="S9" s="30">
        <f t="shared" si="0"/>
        <v>6.6433514927199955E-3</v>
      </c>
      <c r="U9">
        <f t="shared" si="6"/>
        <v>1.0535363631904657</v>
      </c>
    </row>
    <row r="10" spans="2:21" x14ac:dyDescent="0.2">
      <c r="B10">
        <v>2011</v>
      </c>
      <c r="C10" s="16">
        <f>SUM('Monthly Data-PC'!B86:B97)</f>
        <v>212603910.42000002</v>
      </c>
      <c r="D10" s="30">
        <f t="shared" si="7"/>
        <v>5.3927184739752665E-2</v>
      </c>
      <c r="E10" s="16">
        <f>SUM('Monthly Data-PC'!C86:C97)</f>
        <v>64016802</v>
      </c>
      <c r="F10" s="30">
        <f t="shared" si="7"/>
        <v>-3.8520268235809896E-3</v>
      </c>
      <c r="G10" s="16">
        <f>SUM('Monthly Data-PC'!E86:E97)</f>
        <v>23639289.530000009</v>
      </c>
      <c r="H10" s="30">
        <f t="shared" si="1"/>
        <v>3.7657387370558792E-2</v>
      </c>
      <c r="I10" s="16">
        <f>SUM('Monthly Data-PC'!G86:G97)</f>
        <v>97295952.247736454</v>
      </c>
      <c r="J10" s="30">
        <f t="shared" si="2"/>
        <v>-4.6989307689515702E-2</v>
      </c>
      <c r="K10" s="16">
        <f>SUM('Monthly Data-PC'!J86:J97)</f>
        <v>1787582.0067424388</v>
      </c>
      <c r="L10" s="30">
        <f t="shared" si="3"/>
        <v>9.8008713042095463E-2</v>
      </c>
      <c r="M10" s="16">
        <f>SUM('Monthly Data-PC'!M86:M97)</f>
        <v>13331.116547871314</v>
      </c>
      <c r="N10" s="30">
        <f t="shared" si="4"/>
        <v>6.8619368370992584E-2</v>
      </c>
      <c r="O10" s="16">
        <f>SUM('Monthly Data-PC'!P86:P97)</f>
        <v>581814.92000000004</v>
      </c>
      <c r="P10" s="30">
        <f>O10/O9-1</f>
        <v>-0.16295555306683396</v>
      </c>
      <c r="R10" s="16">
        <f t="shared" si="5"/>
        <v>187334771.82102677</v>
      </c>
      <c r="S10" s="30">
        <f t="shared" si="0"/>
        <v>-2.1620635439370095E-2</v>
      </c>
      <c r="U10">
        <f t="shared" si="6"/>
        <v>1.1348876044385103</v>
      </c>
    </row>
    <row r="12" spans="2:21" x14ac:dyDescent="0.2">
      <c r="C12" t="s">
        <v>64</v>
      </c>
    </row>
    <row r="13" spans="2:21" x14ac:dyDescent="0.2">
      <c r="B13" s="18" t="s">
        <v>0</v>
      </c>
      <c r="E13" s="18" t="s">
        <v>37</v>
      </c>
      <c r="F13" s="31" t="s">
        <v>30</v>
      </c>
      <c r="G13" s="18" t="s">
        <v>38</v>
      </c>
      <c r="H13" s="31" t="s">
        <v>30</v>
      </c>
      <c r="I13" s="18" t="s">
        <v>39</v>
      </c>
      <c r="J13" s="31" t="s">
        <v>30</v>
      </c>
      <c r="K13" s="18" t="s">
        <v>40</v>
      </c>
      <c r="L13" s="31" t="s">
        <v>30</v>
      </c>
      <c r="M13" s="28" t="s">
        <v>41</v>
      </c>
      <c r="N13" s="31" t="s">
        <v>30</v>
      </c>
      <c r="O13" s="28" t="s">
        <v>42</v>
      </c>
      <c r="P13" s="31" t="s">
        <v>30</v>
      </c>
    </row>
    <row r="14" spans="2:21" x14ac:dyDescent="0.2">
      <c r="B14" s="37">
        <v>2004</v>
      </c>
      <c r="E14" s="16"/>
      <c r="F14" s="34"/>
      <c r="G14" s="16"/>
      <c r="H14" s="34"/>
      <c r="I14" s="16"/>
      <c r="J14" s="34"/>
      <c r="K14" s="16"/>
      <c r="L14" s="34"/>
      <c r="M14" s="16"/>
      <c r="N14" s="34"/>
      <c r="O14" s="16"/>
      <c r="P14" s="34"/>
    </row>
    <row r="15" spans="2:21" x14ac:dyDescent="0.2">
      <c r="B15">
        <v>2005</v>
      </c>
      <c r="E15" s="16">
        <f>AVERAGE('Monthly Data-PC'!D14:D25)</f>
        <v>8098</v>
      </c>
      <c r="F15" s="30"/>
      <c r="G15" s="16">
        <f>AVERAGE('Monthly Data-PC'!F14:F25)</f>
        <v>968</v>
      </c>
      <c r="H15" s="30"/>
      <c r="I15" s="16">
        <f>AVERAGE('Monthly Data-PC'!I14:I25)</f>
        <v>69</v>
      </c>
      <c r="J15" s="30"/>
      <c r="K15" s="16">
        <f>AVERAGE('Monthly Data-PC'!L14:L25)</f>
        <v>2009</v>
      </c>
      <c r="L15" s="30"/>
      <c r="M15" s="16">
        <f>AVERAGE('Monthly Data-PC'!O14:O25)</f>
        <v>44</v>
      </c>
      <c r="N15" s="30"/>
      <c r="O15" s="16">
        <f>AVERAGE('Monthly Data-PC'!Q14:Q25)</f>
        <v>0</v>
      </c>
      <c r="P15" s="29"/>
    </row>
    <row r="16" spans="2:21" x14ac:dyDescent="0.2">
      <c r="B16">
        <v>2006</v>
      </c>
      <c r="E16" s="16">
        <f>AVERAGE('Monthly Data-PC'!D26:D37)</f>
        <v>8115</v>
      </c>
      <c r="F16" s="30">
        <f t="shared" ref="F16:F21" si="8">E16/E15-1</f>
        <v>2.0992837737712211E-3</v>
      </c>
      <c r="G16" s="16">
        <f>AVERAGE('Monthly Data-PC'!F26:F37)</f>
        <v>937</v>
      </c>
      <c r="H16" s="30">
        <f t="shared" ref="H16:H21" si="9">G16/G15-1</f>
        <v>-3.2024793388429784E-2</v>
      </c>
      <c r="I16" s="16">
        <f>AVERAGE('Monthly Data-PC'!I26:I37)</f>
        <v>74</v>
      </c>
      <c r="J16" s="30">
        <f t="shared" ref="J16:J21" si="10">I16/I15-1</f>
        <v>7.2463768115942129E-2</v>
      </c>
      <c r="K16" s="16">
        <f>AVERAGE('Monthly Data-PC'!L26:L37)</f>
        <v>2006</v>
      </c>
      <c r="L16" s="30">
        <f t="shared" ref="L16:L21" si="11">K16/K15-1</f>
        <v>-1.4932802389248101E-3</v>
      </c>
      <c r="M16" s="16">
        <f>AVERAGE('Monthly Data-PC'!O26:O37)</f>
        <v>42</v>
      </c>
      <c r="N16" s="30">
        <f t="shared" ref="N16:N21" si="12">M16/M15-1</f>
        <v>-4.5454545454545414E-2</v>
      </c>
      <c r="O16" s="16">
        <f>AVERAGE('Monthly Data-PC'!Q26:Q37)</f>
        <v>19</v>
      </c>
      <c r="P16" s="30" t="e">
        <f t="shared" ref="P16:P21" si="13">O16/O15-1</f>
        <v>#DIV/0!</v>
      </c>
    </row>
    <row r="17" spans="2:16" x14ac:dyDescent="0.2">
      <c r="B17">
        <v>2007</v>
      </c>
      <c r="E17" s="16">
        <f>AVERAGE('Monthly Data-PC'!D38:D49)</f>
        <v>8131</v>
      </c>
      <c r="F17" s="30">
        <f t="shared" si="8"/>
        <v>1.9716574245225438E-3</v>
      </c>
      <c r="G17" s="16">
        <f>AVERAGE('Monthly Data-PC'!F38:F49)</f>
        <v>930</v>
      </c>
      <c r="H17" s="30">
        <f t="shared" si="9"/>
        <v>-7.4706510138741189E-3</v>
      </c>
      <c r="I17" s="16">
        <f>AVERAGE('Monthly Data-PC'!I38:I49)</f>
        <v>79</v>
      </c>
      <c r="J17" s="30">
        <f t="shared" si="10"/>
        <v>6.7567567567567544E-2</v>
      </c>
      <c r="K17" s="16">
        <f>AVERAGE('Monthly Data-PC'!L38:L49)</f>
        <v>1997</v>
      </c>
      <c r="L17" s="30">
        <f t="shared" si="11"/>
        <v>-4.4865403788634239E-3</v>
      </c>
      <c r="M17" s="16">
        <f>AVERAGE('Monthly Data-PC'!O38:O49)</f>
        <v>40</v>
      </c>
      <c r="N17" s="30">
        <f t="shared" si="12"/>
        <v>-4.7619047619047672E-2</v>
      </c>
      <c r="O17" s="16">
        <f>AVERAGE('Monthly Data-PC'!Q38:Q49)</f>
        <v>19</v>
      </c>
      <c r="P17" s="30">
        <f t="shared" si="13"/>
        <v>0</v>
      </c>
    </row>
    <row r="18" spans="2:16" x14ac:dyDescent="0.2">
      <c r="B18">
        <v>2008</v>
      </c>
      <c r="E18" s="16">
        <f>AVERAGE('Monthly Data-PC'!D50:D61)</f>
        <v>8151</v>
      </c>
      <c r="F18" s="30">
        <f t="shared" si="8"/>
        <v>2.4597220514082085E-3</v>
      </c>
      <c r="G18" s="16">
        <f>AVERAGE('Monthly Data-PC'!F50:F61)</f>
        <v>910</v>
      </c>
      <c r="H18" s="30">
        <f t="shared" si="9"/>
        <v>-2.1505376344086002E-2</v>
      </c>
      <c r="I18" s="16">
        <f>AVERAGE('Monthly Data-PC'!I50:I61)</f>
        <v>77</v>
      </c>
      <c r="J18" s="30">
        <f t="shared" si="10"/>
        <v>-2.5316455696202556E-2</v>
      </c>
      <c r="K18" s="16">
        <f>AVERAGE('Monthly Data-PC'!L50:L61)</f>
        <v>1991</v>
      </c>
      <c r="L18" s="30">
        <f t="shared" si="11"/>
        <v>-3.0045067601401909E-3</v>
      </c>
      <c r="M18" s="16">
        <f>AVERAGE('Monthly Data-PC'!O50:O61)</f>
        <v>38</v>
      </c>
      <c r="N18" s="30">
        <f t="shared" si="12"/>
        <v>-5.0000000000000044E-2</v>
      </c>
      <c r="O18" s="16">
        <f>AVERAGE('Monthly Data-PC'!Q50:Q61)</f>
        <v>14</v>
      </c>
      <c r="P18" s="30">
        <f t="shared" si="13"/>
        <v>-0.26315789473684215</v>
      </c>
    </row>
    <row r="19" spans="2:16" x14ac:dyDescent="0.2">
      <c r="B19">
        <v>2009</v>
      </c>
      <c r="E19" s="16">
        <f>AVERAGE('Monthly Data-PC'!D62:D73)</f>
        <v>8170</v>
      </c>
      <c r="F19" s="30">
        <f t="shared" si="8"/>
        <v>2.3310023310023631E-3</v>
      </c>
      <c r="G19" s="16">
        <f>AVERAGE('Monthly Data-PC'!F62:F73)</f>
        <v>913</v>
      </c>
      <c r="H19" s="30">
        <f t="shared" si="9"/>
        <v>3.296703296703285E-3</v>
      </c>
      <c r="I19" s="16">
        <f>AVERAGE('Monthly Data-PC'!I62:I73)</f>
        <v>80</v>
      </c>
      <c r="J19" s="30">
        <f t="shared" si="10"/>
        <v>3.8961038961038863E-2</v>
      </c>
      <c r="K19" s="16">
        <f>AVERAGE('Monthly Data-PC'!L62:L73)</f>
        <v>2034</v>
      </c>
      <c r="L19" s="30">
        <f t="shared" si="11"/>
        <v>2.1597187343043611E-2</v>
      </c>
      <c r="M19" s="16">
        <f>AVERAGE('Monthly Data-PC'!O62:O73)</f>
        <v>38</v>
      </c>
      <c r="N19" s="30">
        <f t="shared" si="12"/>
        <v>0</v>
      </c>
      <c r="O19" s="16">
        <f>AVERAGE('Monthly Data-PC'!Q62:Q73)</f>
        <v>14</v>
      </c>
      <c r="P19" s="30">
        <f t="shared" si="13"/>
        <v>0</v>
      </c>
    </row>
    <row r="20" spans="2:16" x14ac:dyDescent="0.2">
      <c r="B20">
        <v>2010</v>
      </c>
      <c r="E20" s="16">
        <f>AVERAGE('Monthly Data-PC'!D74:D85)</f>
        <v>8151</v>
      </c>
      <c r="F20" s="30">
        <f t="shared" si="8"/>
        <v>-2.3255813953488857E-3</v>
      </c>
      <c r="G20" s="16">
        <f>AVERAGE('Monthly Data-PC'!F74:F85)</f>
        <v>898</v>
      </c>
      <c r="H20" s="30">
        <f t="shared" si="9"/>
        <v>-1.6429353778751321E-2</v>
      </c>
      <c r="I20" s="16">
        <f>AVERAGE('Monthly Data-PC'!I74:I85)</f>
        <v>81</v>
      </c>
      <c r="J20" s="30">
        <f t="shared" si="10"/>
        <v>1.2499999999999956E-2</v>
      </c>
      <c r="K20" s="16">
        <f>AVERAGE('Monthly Data-PC'!L74:L85)</f>
        <v>2015</v>
      </c>
      <c r="L20" s="30">
        <f t="shared" si="11"/>
        <v>-9.3411996066863345E-3</v>
      </c>
      <c r="M20" s="16">
        <f>AVERAGE('Monthly Data-PC'!O74:O85)</f>
        <v>46</v>
      </c>
      <c r="N20" s="30">
        <f t="shared" si="12"/>
        <v>0.21052631578947367</v>
      </c>
      <c r="O20" s="16">
        <f>AVERAGE('Monthly Data-PC'!Q74:Q85)</f>
        <v>14</v>
      </c>
      <c r="P20" s="30">
        <f t="shared" si="13"/>
        <v>0</v>
      </c>
    </row>
    <row r="21" spans="2:16" x14ac:dyDescent="0.2">
      <c r="B21">
        <v>2011</v>
      </c>
      <c r="E21" s="16">
        <f>AVERAGE('Monthly Data-PC'!D86:D97)</f>
        <v>8145.833333333333</v>
      </c>
      <c r="F21" s="30">
        <f t="shared" si="8"/>
        <v>-6.3386905492168744E-4</v>
      </c>
      <c r="G21" s="16">
        <f>AVERAGE('Monthly Data-PC'!F86:F97)</f>
        <v>896.75</v>
      </c>
      <c r="H21" s="30">
        <f t="shared" si="9"/>
        <v>-1.3919821826280376E-3</v>
      </c>
      <c r="I21" s="16">
        <f>AVERAGE('Monthly Data-PC'!I86:I97)</f>
        <v>75.5</v>
      </c>
      <c r="J21" s="30">
        <f t="shared" si="10"/>
        <v>-6.7901234567901203E-2</v>
      </c>
      <c r="K21" s="16">
        <f>AVERAGE('Monthly Data-PC'!L86:L97)</f>
        <v>2000</v>
      </c>
      <c r="L21" s="30">
        <f t="shared" si="11"/>
        <v>-7.4441687344912744E-3</v>
      </c>
      <c r="M21" s="16">
        <f>AVERAGE('Monthly Data-PC'!O86:O97)</f>
        <v>41</v>
      </c>
      <c r="N21" s="30">
        <f t="shared" si="12"/>
        <v>-0.10869565217391308</v>
      </c>
      <c r="O21" s="16">
        <f>AVERAGE('Monthly Data-PC'!Q86:Q97)</f>
        <v>13.666666666666666</v>
      </c>
      <c r="P21" s="30">
        <f t="shared" si="13"/>
        <v>-2.3809523809523836E-2</v>
      </c>
    </row>
    <row r="23" spans="2:16" x14ac:dyDescent="0.2">
      <c r="C23" t="s">
        <v>65</v>
      </c>
    </row>
    <row r="24" spans="2:16" x14ac:dyDescent="0.2">
      <c r="B24" s="18" t="s">
        <v>0</v>
      </c>
      <c r="E24" s="18" t="s">
        <v>37</v>
      </c>
      <c r="F24" s="31" t="s">
        <v>30</v>
      </c>
      <c r="G24" s="18" t="s">
        <v>38</v>
      </c>
      <c r="H24" s="31" t="s">
        <v>30</v>
      </c>
      <c r="I24" s="18" t="s">
        <v>39</v>
      </c>
      <c r="J24" s="31" t="s">
        <v>30</v>
      </c>
      <c r="K24" s="18" t="s">
        <v>40</v>
      </c>
      <c r="L24" s="31" t="s">
        <v>30</v>
      </c>
      <c r="M24" s="28" t="s">
        <v>41</v>
      </c>
      <c r="N24" s="31" t="s">
        <v>30</v>
      </c>
      <c r="O24" s="28" t="s">
        <v>42</v>
      </c>
      <c r="P24" s="31" t="s">
        <v>30</v>
      </c>
    </row>
    <row r="25" spans="2:16" x14ac:dyDescent="0.2">
      <c r="B25" s="37">
        <v>2004</v>
      </c>
      <c r="E25" s="16"/>
      <c r="F25" s="34"/>
      <c r="G25" s="16"/>
      <c r="H25" s="34"/>
      <c r="I25" s="16"/>
      <c r="J25" s="34"/>
      <c r="K25" s="16"/>
      <c r="L25" s="34"/>
      <c r="M25" s="16"/>
      <c r="N25" s="34"/>
      <c r="O25" s="16"/>
      <c r="P25" s="34"/>
    </row>
    <row r="26" spans="2:16" x14ac:dyDescent="0.2">
      <c r="B26">
        <v>2005</v>
      </c>
      <c r="E26" s="16">
        <f t="shared" ref="E26:E32" si="14">E4/E15</f>
        <v>8571.3953215642887</v>
      </c>
      <c r="F26" s="30"/>
      <c r="G26" s="16">
        <f t="shared" ref="G26:G32" si="15">G4/G15</f>
        <v>28873.594975009506</v>
      </c>
      <c r="H26" s="30"/>
      <c r="I26" s="16">
        <f t="shared" ref="I26:I32" si="16">I4/I15</f>
        <v>1480883.1392613996</v>
      </c>
      <c r="J26" s="30"/>
      <c r="K26" s="16">
        <f t="shared" ref="K26:K32" si="17">K4/K15</f>
        <v>913.31612116671397</v>
      </c>
      <c r="L26" s="30"/>
      <c r="M26" s="16">
        <f t="shared" ref="M26:M32" si="18">M4/M15</f>
        <v>359.54667506110667</v>
      </c>
      <c r="N26" s="30"/>
      <c r="O26" s="16"/>
      <c r="P26" s="30"/>
    </row>
    <row r="27" spans="2:16" x14ac:dyDescent="0.2">
      <c r="B27">
        <v>2006</v>
      </c>
      <c r="E27" s="16">
        <f t="shared" si="14"/>
        <v>7961.4450805786273</v>
      </c>
      <c r="F27" s="30">
        <f t="shared" ref="F27:F32" si="19">E27/E26-1</f>
        <v>-7.1161137493112925E-2</v>
      </c>
      <c r="G27" s="16">
        <f t="shared" si="15"/>
        <v>29590.314201599867</v>
      </c>
      <c r="H27" s="30">
        <f t="shared" ref="H27:H32" si="20">G27/G26-1</f>
        <v>2.482265291906649E-2</v>
      </c>
      <c r="I27" s="16">
        <f t="shared" si="16"/>
        <v>1419536.5452793336</v>
      </c>
      <c r="J27" s="30">
        <f t="shared" ref="J27:L32" si="21">I27/I26-1</f>
        <v>-4.1425681983700002E-2</v>
      </c>
      <c r="K27" s="16">
        <f t="shared" si="17"/>
        <v>938.43090213173593</v>
      </c>
      <c r="L27" s="30">
        <f t="shared" si="21"/>
        <v>2.7498453583562288E-2</v>
      </c>
      <c r="M27" s="16">
        <f t="shared" si="18"/>
        <v>350.14342520120431</v>
      </c>
      <c r="N27" s="30">
        <f t="shared" ref="N27:N32" si="22">M27/M26-1</f>
        <v>-2.6153071387196802E-2</v>
      </c>
      <c r="O27" s="16">
        <f t="shared" ref="O27:O32" si="23">O5/O16</f>
        <v>0</v>
      </c>
      <c r="P27" s="30"/>
    </row>
    <row r="28" spans="2:16" x14ac:dyDescent="0.2">
      <c r="B28">
        <v>2007</v>
      </c>
      <c r="E28" s="16">
        <f t="shared" si="14"/>
        <v>8032.2590180750576</v>
      </c>
      <c r="F28" s="30">
        <f t="shared" si="19"/>
        <v>8.8946085515524409E-3</v>
      </c>
      <c r="G28" s="16">
        <f t="shared" si="15"/>
        <v>28151.557880142438</v>
      </c>
      <c r="H28" s="30">
        <f t="shared" si="20"/>
        <v>-4.8622542892080567E-2</v>
      </c>
      <c r="I28" s="16">
        <f t="shared" si="16"/>
        <v>1268025.8609376897</v>
      </c>
      <c r="J28" s="30">
        <f t="shared" si="21"/>
        <v>-0.10673250001593304</v>
      </c>
      <c r="K28" s="16">
        <f t="shared" si="17"/>
        <v>897.1669339913575</v>
      </c>
      <c r="L28" s="30">
        <f t="shared" si="21"/>
        <v>-4.3971237569695676E-2</v>
      </c>
      <c r="M28" s="16">
        <f t="shared" si="18"/>
        <v>349.79454659952933</v>
      </c>
      <c r="N28" s="30">
        <f t="shared" si="22"/>
        <v>-9.9638769876797539E-4</v>
      </c>
      <c r="O28" s="16">
        <f t="shared" si="23"/>
        <v>9218.5227566858666</v>
      </c>
      <c r="P28" s="30"/>
    </row>
    <row r="29" spans="2:16" x14ac:dyDescent="0.2">
      <c r="B29">
        <v>2008</v>
      </c>
      <c r="E29" s="16">
        <f t="shared" si="14"/>
        <v>7854.8434547908228</v>
      </c>
      <c r="F29" s="30">
        <f t="shared" si="19"/>
        <v>-2.2087878750547629E-2</v>
      </c>
      <c r="G29" s="16">
        <f t="shared" si="15"/>
        <v>27453.968131868132</v>
      </c>
      <c r="H29" s="30">
        <f t="shared" si="20"/>
        <v>-2.4779791983248312E-2</v>
      </c>
      <c r="I29" s="16">
        <f t="shared" si="16"/>
        <v>1315745.887784759</v>
      </c>
      <c r="J29" s="30">
        <f t="shared" si="21"/>
        <v>3.7633323039469424E-2</v>
      </c>
      <c r="K29" s="16">
        <f t="shared" si="17"/>
        <v>896.5336478793206</v>
      </c>
      <c r="L29" s="30">
        <f t="shared" si="21"/>
        <v>-7.0587321940129844E-4</v>
      </c>
      <c r="M29" s="16">
        <f t="shared" si="18"/>
        <v>337.99916376875149</v>
      </c>
      <c r="N29" s="30">
        <f t="shared" si="22"/>
        <v>-3.3720888291269069E-2</v>
      </c>
      <c r="O29" s="16">
        <f t="shared" si="23"/>
        <v>55444.676214285711</v>
      </c>
      <c r="P29" s="30"/>
    </row>
    <row r="30" spans="2:16" x14ac:dyDescent="0.2">
      <c r="B30">
        <v>2009</v>
      </c>
      <c r="E30" s="16">
        <f t="shared" si="14"/>
        <v>7715.7532435740513</v>
      </c>
      <c r="F30" s="30">
        <f t="shared" si="19"/>
        <v>-1.7707572661035953E-2</v>
      </c>
      <c r="G30" s="16">
        <f t="shared" si="15"/>
        <v>25362.151150054764</v>
      </c>
      <c r="H30" s="30">
        <f t="shared" si="20"/>
        <v>-7.6193611494187574E-2</v>
      </c>
      <c r="I30" s="16">
        <f t="shared" si="16"/>
        <v>1267511.8847299255</v>
      </c>
      <c r="J30" s="30">
        <f t="shared" si="21"/>
        <v>-3.6659056663321365E-2</v>
      </c>
      <c r="K30" s="16">
        <f t="shared" si="17"/>
        <v>896.99576021812493</v>
      </c>
      <c r="L30" s="30">
        <f t="shared" si="21"/>
        <v>5.154433856413565E-4</v>
      </c>
      <c r="M30" s="16">
        <f t="shared" si="18"/>
        <v>306.94798539654704</v>
      </c>
      <c r="N30" s="30">
        <f t="shared" si="22"/>
        <v>-9.1867618919461824E-2</v>
      </c>
      <c r="O30" s="16">
        <f t="shared" si="23"/>
        <v>55748.82107142856</v>
      </c>
      <c r="P30" s="30">
        <f>O30/O29-1</f>
        <v>5.4855556549264772E-3</v>
      </c>
    </row>
    <row r="31" spans="2:16" x14ac:dyDescent="0.2">
      <c r="B31">
        <v>2010</v>
      </c>
      <c r="E31" s="16">
        <f t="shared" si="14"/>
        <v>7884.228928965771</v>
      </c>
      <c r="F31" s="30">
        <f t="shared" si="19"/>
        <v>2.18352868570586E-2</v>
      </c>
      <c r="G31" s="16">
        <f t="shared" si="15"/>
        <v>25369.043953229397</v>
      </c>
      <c r="H31" s="30">
        <f t="shared" si="20"/>
        <v>2.7177517923671068E-4</v>
      </c>
      <c r="I31" s="16">
        <f t="shared" si="16"/>
        <v>1260410.408133941</v>
      </c>
      <c r="J31" s="30">
        <f t="shared" si="21"/>
        <v>-5.6026903428189057E-3</v>
      </c>
      <c r="K31" s="16">
        <f t="shared" si="17"/>
        <v>807.9512136756083</v>
      </c>
      <c r="L31" s="30">
        <f t="shared" si="21"/>
        <v>-9.9269751866902234E-2</v>
      </c>
      <c r="M31" s="16">
        <f t="shared" si="18"/>
        <v>271.19748158527773</v>
      </c>
      <c r="N31" s="30">
        <f t="shared" si="22"/>
        <v>-0.11647088598768007</v>
      </c>
      <c r="O31" s="16">
        <f t="shared" si="23"/>
        <v>49648.747714285717</v>
      </c>
      <c r="P31" s="30">
        <f>O31/O30-1</f>
        <v>-0.10942067006810929</v>
      </c>
    </row>
    <row r="32" spans="2:16" x14ac:dyDescent="0.2">
      <c r="B32">
        <v>2011</v>
      </c>
      <c r="E32" s="16">
        <f t="shared" si="14"/>
        <v>7858.8401432225064</v>
      </c>
      <c r="F32" s="30">
        <f t="shared" si="19"/>
        <v>-3.2201989531264186E-3</v>
      </c>
      <c r="G32" s="16">
        <f t="shared" si="15"/>
        <v>26361.070008363546</v>
      </c>
      <c r="H32" s="30">
        <f t="shared" si="20"/>
        <v>3.910380134793634E-2</v>
      </c>
      <c r="I32" s="16">
        <f t="shared" si="16"/>
        <v>1288688.1092415424</v>
      </c>
      <c r="J32" s="30">
        <f t="shared" si="21"/>
        <v>2.243531228012241E-2</v>
      </c>
      <c r="K32" s="16">
        <f t="shared" si="17"/>
        <v>893.7910033712194</v>
      </c>
      <c r="L32" s="30">
        <f t="shared" si="21"/>
        <v>0.10624377838991128</v>
      </c>
      <c r="M32" s="16">
        <f t="shared" si="18"/>
        <v>325.14918409442231</v>
      </c>
      <c r="N32" s="30">
        <f t="shared" si="22"/>
        <v>0.19893880353818671</v>
      </c>
      <c r="O32" s="16">
        <f t="shared" si="23"/>
        <v>42571.823414634149</v>
      </c>
      <c r="P32" s="30">
        <f>O32/O31-1</f>
        <v>-0.14253983484895194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5"/>
  <sheetViews>
    <sheetView topLeftCell="A10" workbookViewId="0">
      <selection activeCell="V10" sqref="V10"/>
    </sheetView>
  </sheetViews>
  <sheetFormatPr defaultRowHeight="12.75" x14ac:dyDescent="0.2"/>
  <cols>
    <col min="2" max="3" width="12.6640625" bestFit="1" customWidth="1"/>
    <col min="5" max="5" width="14.6640625" bestFit="1" customWidth="1"/>
    <col min="6" max="8" width="12" bestFit="1" customWidth="1"/>
    <col min="10" max="10" width="22.33203125" bestFit="1" customWidth="1"/>
  </cols>
  <sheetData>
    <row r="1" spans="1:24" x14ac:dyDescent="0.2">
      <c r="A1" s="18" t="s">
        <v>0</v>
      </c>
      <c r="B1" s="18" t="s">
        <v>129</v>
      </c>
      <c r="C1" s="18" t="s">
        <v>130</v>
      </c>
      <c r="E1" s="95" t="s">
        <v>17</v>
      </c>
      <c r="F1" s="28" t="s">
        <v>125</v>
      </c>
      <c r="G1" s="28" t="s">
        <v>100</v>
      </c>
      <c r="H1" s="28" t="s">
        <v>101</v>
      </c>
      <c r="I1" s="28" t="s">
        <v>102</v>
      </c>
      <c r="J1" s="28" t="s">
        <v>83</v>
      </c>
      <c r="K1" s="28" t="s">
        <v>84</v>
      </c>
      <c r="L1" s="28" t="s">
        <v>85</v>
      </c>
      <c r="M1" s="50" t="s">
        <v>86</v>
      </c>
      <c r="N1" s="50" t="s">
        <v>126</v>
      </c>
      <c r="O1" s="50" t="s">
        <v>107</v>
      </c>
      <c r="P1" s="50" t="s">
        <v>108</v>
      </c>
      <c r="Q1" s="50" t="s">
        <v>109</v>
      </c>
      <c r="S1" s="50" t="s">
        <v>136</v>
      </c>
      <c r="T1" s="50" t="s">
        <v>137</v>
      </c>
    </row>
    <row r="2" spans="1:24" x14ac:dyDescent="0.2">
      <c r="A2" s="3">
        <v>34335</v>
      </c>
      <c r="B2" s="18">
        <v>999.89999999999986</v>
      </c>
      <c r="C2" s="18">
        <v>0</v>
      </c>
      <c r="E2">
        <v>1994</v>
      </c>
      <c r="F2">
        <f t="shared" ref="F2:Q11" ca="1" si="0">OFFSET($S$2,(ROW()-2)*12+COLUMN()-6,0)</f>
        <v>0</v>
      </c>
      <c r="G2">
        <f t="shared" ca="1" si="0"/>
        <v>0</v>
      </c>
      <c r="H2">
        <f t="shared" ca="1" si="0"/>
        <v>0</v>
      </c>
      <c r="I2">
        <f t="shared" ca="1" si="0"/>
        <v>0</v>
      </c>
      <c r="J2">
        <f t="shared" ca="1" si="0"/>
        <v>0</v>
      </c>
      <c r="K2">
        <f t="shared" ca="1" si="0"/>
        <v>0</v>
      </c>
      <c r="L2">
        <f t="shared" ca="1" si="0"/>
        <v>0</v>
      </c>
      <c r="M2">
        <f t="shared" ca="1" si="0"/>
        <v>0</v>
      </c>
      <c r="N2">
        <f t="shared" ca="1" si="0"/>
        <v>0</v>
      </c>
      <c r="O2">
        <f t="shared" ca="1" si="0"/>
        <v>0</v>
      </c>
      <c r="P2">
        <f t="shared" ca="1" si="0"/>
        <v>0</v>
      </c>
      <c r="Q2">
        <f t="shared" ca="1" si="0"/>
        <v>0</v>
      </c>
    </row>
    <row r="3" spans="1:24" x14ac:dyDescent="0.2">
      <c r="A3" s="3">
        <v>34366</v>
      </c>
      <c r="B3" s="18">
        <v>788.09999999999991</v>
      </c>
      <c r="C3" s="18">
        <v>0</v>
      </c>
      <c r="E3">
        <v>1995</v>
      </c>
      <c r="F3">
        <f t="shared" ca="1" si="0"/>
        <v>606.20000000000005</v>
      </c>
      <c r="G3">
        <f t="shared" ca="1" si="0"/>
        <v>689.3</v>
      </c>
      <c r="H3">
        <f t="shared" ca="1" si="0"/>
        <v>489.7999999999999</v>
      </c>
      <c r="I3">
        <f t="shared" ca="1" si="0"/>
        <v>406.09999999999985</v>
      </c>
      <c r="J3">
        <f t="shared" ca="1" si="0"/>
        <v>155.09999999999997</v>
      </c>
      <c r="K3">
        <f t="shared" ca="1" si="0"/>
        <v>18.5</v>
      </c>
      <c r="L3">
        <f t="shared" ca="1" si="0"/>
        <v>9.4</v>
      </c>
      <c r="M3">
        <f t="shared" ca="1" si="0"/>
        <v>1</v>
      </c>
      <c r="N3">
        <f t="shared" ca="1" si="0"/>
        <v>95.600000000000023</v>
      </c>
      <c r="O3">
        <f t="shared" ca="1" si="0"/>
        <v>193.59999999999997</v>
      </c>
      <c r="P3">
        <f t="shared" ca="1" si="0"/>
        <v>481.2</v>
      </c>
      <c r="Q3">
        <f t="shared" ca="1" si="0"/>
        <v>678.59999999999991</v>
      </c>
    </row>
    <row r="4" spans="1:24" x14ac:dyDescent="0.2">
      <c r="A4" s="3">
        <v>34394</v>
      </c>
      <c r="B4" s="18">
        <v>611.10000000000014</v>
      </c>
      <c r="C4" s="18">
        <v>0</v>
      </c>
      <c r="E4">
        <v>1996</v>
      </c>
      <c r="F4">
        <f t="shared" ca="1" si="0"/>
        <v>727.29999999999984</v>
      </c>
      <c r="G4">
        <f t="shared" ca="1" si="0"/>
        <v>662.7</v>
      </c>
      <c r="H4">
        <f t="shared" ca="1" si="0"/>
        <v>623.00000000000023</v>
      </c>
      <c r="I4">
        <f t="shared" ca="1" si="0"/>
        <v>380.7999999999999</v>
      </c>
      <c r="J4">
        <f t="shared" ca="1" si="0"/>
        <v>187.99999999999991</v>
      </c>
      <c r="K4">
        <f t="shared" ca="1" si="0"/>
        <v>14.7</v>
      </c>
      <c r="L4">
        <f t="shared" ca="1" si="0"/>
        <v>10.399999999999999</v>
      </c>
      <c r="M4">
        <f t="shared" ca="1" si="0"/>
        <v>1.2</v>
      </c>
      <c r="N4">
        <f t="shared" ca="1" si="0"/>
        <v>75.100000000000009</v>
      </c>
      <c r="O4">
        <f t="shared" ca="1" si="0"/>
        <v>248.89999999999995</v>
      </c>
      <c r="P4">
        <f t="shared" ca="1" si="0"/>
        <v>531.10000000000014</v>
      </c>
      <c r="Q4">
        <f t="shared" ca="1" si="0"/>
        <v>567.59999999999991</v>
      </c>
    </row>
    <row r="5" spans="1:24" x14ac:dyDescent="0.2">
      <c r="A5" s="3">
        <v>34425</v>
      </c>
      <c r="B5" s="18">
        <v>350.79999999999995</v>
      </c>
      <c r="C5" s="18">
        <v>0</v>
      </c>
      <c r="E5">
        <v>1997</v>
      </c>
      <c r="F5">
        <f t="shared" ca="1" si="0"/>
        <v>741.09999999999991</v>
      </c>
      <c r="G5">
        <f t="shared" ca="1" si="0"/>
        <v>571.70000000000005</v>
      </c>
      <c r="H5">
        <f t="shared" ca="1" si="0"/>
        <v>574.10000000000014</v>
      </c>
      <c r="I5">
        <f t="shared" ca="1" si="0"/>
        <v>411.29999999999995</v>
      </c>
      <c r="J5">
        <f t="shared" ca="1" si="0"/>
        <v>279.89999999999992</v>
      </c>
      <c r="K5">
        <f t="shared" ca="1" si="0"/>
        <v>35.299999999999997</v>
      </c>
      <c r="L5">
        <f t="shared" ca="1" si="0"/>
        <v>16.299999999999997</v>
      </c>
      <c r="M5">
        <f t="shared" ca="1" si="0"/>
        <v>21.2</v>
      </c>
      <c r="N5">
        <f t="shared" ca="1" si="0"/>
        <v>103.4</v>
      </c>
      <c r="O5">
        <f t="shared" ca="1" si="0"/>
        <v>272.59999999999997</v>
      </c>
      <c r="P5">
        <f t="shared" ca="1" si="0"/>
        <v>478.70000000000005</v>
      </c>
      <c r="Q5">
        <f t="shared" ca="1" si="0"/>
        <v>571.5</v>
      </c>
    </row>
    <row r="6" spans="1:24" x14ac:dyDescent="0.2">
      <c r="A6" s="3">
        <v>34455</v>
      </c>
      <c r="B6" s="18">
        <v>210.79999999999998</v>
      </c>
      <c r="C6" s="18">
        <v>4.8</v>
      </c>
      <c r="E6">
        <v>1998</v>
      </c>
      <c r="F6">
        <f t="shared" ca="1" si="0"/>
        <v>576.60000000000014</v>
      </c>
      <c r="G6">
        <f t="shared" ca="1" si="0"/>
        <v>469.6</v>
      </c>
      <c r="H6">
        <f t="shared" ca="1" si="0"/>
        <v>462.6</v>
      </c>
      <c r="I6">
        <f t="shared" ca="1" si="0"/>
        <v>272.59999999999991</v>
      </c>
      <c r="J6">
        <f t="shared" ca="1" si="0"/>
        <v>51.3</v>
      </c>
      <c r="K6">
        <f t="shared" ca="1" si="0"/>
        <v>57.7</v>
      </c>
      <c r="L6">
        <f t="shared" ca="1" si="0"/>
        <v>0.2</v>
      </c>
      <c r="M6">
        <f t="shared" ca="1" si="0"/>
        <v>4</v>
      </c>
      <c r="N6">
        <f t="shared" ca="1" si="0"/>
        <v>36.9</v>
      </c>
      <c r="O6">
        <f t="shared" ca="1" si="0"/>
        <v>196.4</v>
      </c>
      <c r="P6">
        <f t="shared" ca="1" si="0"/>
        <v>363.29999999999995</v>
      </c>
      <c r="Q6">
        <f t="shared" ca="1" si="0"/>
        <v>502.2</v>
      </c>
    </row>
    <row r="7" spans="1:24" x14ac:dyDescent="0.2">
      <c r="A7" s="3">
        <v>34486</v>
      </c>
      <c r="B7" s="18">
        <v>36</v>
      </c>
      <c r="C7" s="18">
        <v>59</v>
      </c>
      <c r="E7">
        <v>1999</v>
      </c>
      <c r="F7">
        <f t="shared" ca="1" si="0"/>
        <v>688.90000000000009</v>
      </c>
      <c r="G7">
        <f t="shared" ca="1" si="0"/>
        <v>512.9</v>
      </c>
      <c r="H7">
        <f t="shared" ca="1" si="0"/>
        <v>547.6</v>
      </c>
      <c r="I7">
        <f t="shared" ca="1" si="0"/>
        <v>283.99999999999994</v>
      </c>
      <c r="J7">
        <f t="shared" ca="1" si="0"/>
        <v>87.4</v>
      </c>
      <c r="K7">
        <f t="shared" ca="1" si="0"/>
        <v>25.599999999999998</v>
      </c>
      <c r="L7">
        <f t="shared" ca="1" si="0"/>
        <v>1.2</v>
      </c>
      <c r="M7">
        <f t="shared" ca="1" si="0"/>
        <v>11.5</v>
      </c>
      <c r="N7">
        <f t="shared" ca="1" si="0"/>
        <v>57.9</v>
      </c>
      <c r="O7">
        <f t="shared" ca="1" si="0"/>
        <v>257.59999999999997</v>
      </c>
      <c r="P7">
        <f t="shared" ca="1" si="0"/>
        <v>356.79999999999995</v>
      </c>
      <c r="Q7">
        <f t="shared" ca="1" si="0"/>
        <v>548.20000000000005</v>
      </c>
    </row>
    <row r="8" spans="1:24" x14ac:dyDescent="0.2">
      <c r="A8" s="3">
        <v>34516</v>
      </c>
      <c r="B8" s="18">
        <v>3.4</v>
      </c>
      <c r="C8" s="18">
        <v>92.999999999999986</v>
      </c>
      <c r="E8">
        <v>2000</v>
      </c>
      <c r="F8">
        <f t="shared" ca="1" si="0"/>
        <v>701.09999999999991</v>
      </c>
      <c r="G8">
        <f t="shared" ca="1" si="0"/>
        <v>609.80000000000018</v>
      </c>
      <c r="H8">
        <f t="shared" ca="1" si="0"/>
        <v>439.4</v>
      </c>
      <c r="I8">
        <f t="shared" ca="1" si="0"/>
        <v>334.69999999999993</v>
      </c>
      <c r="J8">
        <f t="shared" ca="1" si="0"/>
        <v>129.80000000000001</v>
      </c>
      <c r="K8">
        <f t="shared" ca="1" si="0"/>
        <v>35.800000000000011</v>
      </c>
      <c r="L8">
        <f t="shared" ca="1" si="0"/>
        <v>8.9</v>
      </c>
      <c r="M8">
        <f t="shared" ca="1" si="0"/>
        <v>9.8000000000000007</v>
      </c>
      <c r="N8">
        <f t="shared" ca="1" si="0"/>
        <v>94.7</v>
      </c>
      <c r="O8">
        <f t="shared" ca="1" si="0"/>
        <v>210.79999999999995</v>
      </c>
      <c r="P8">
        <f t="shared" ca="1" si="0"/>
        <v>416.5</v>
      </c>
      <c r="Q8">
        <f t="shared" ca="1" si="0"/>
        <v>761.49999999999977</v>
      </c>
    </row>
    <row r="9" spans="1:24" x14ac:dyDescent="0.2">
      <c r="A9" s="3">
        <v>34547</v>
      </c>
      <c r="B9" s="18">
        <v>37.4</v>
      </c>
      <c r="C9" s="18">
        <v>39</v>
      </c>
      <c r="E9">
        <v>2001</v>
      </c>
      <c r="F9">
        <f t="shared" ca="1" si="0"/>
        <v>645.19999999999993</v>
      </c>
      <c r="G9">
        <f t="shared" ca="1" si="0"/>
        <v>558.29999999999995</v>
      </c>
      <c r="H9">
        <f t="shared" ca="1" si="0"/>
        <v>561.60000000000014</v>
      </c>
      <c r="I9">
        <f t="shared" ca="1" si="0"/>
        <v>278.09999999999991</v>
      </c>
      <c r="J9">
        <f t="shared" ca="1" si="0"/>
        <v>119.50000000000001</v>
      </c>
      <c r="K9">
        <f t="shared" ca="1" si="0"/>
        <v>35.6</v>
      </c>
      <c r="L9">
        <f t="shared" ca="1" si="0"/>
        <v>11.399999999999999</v>
      </c>
      <c r="M9">
        <f t="shared" ca="1" si="0"/>
        <v>0</v>
      </c>
      <c r="N9">
        <f t="shared" ca="1" si="0"/>
        <v>71.400000000000006</v>
      </c>
      <c r="O9">
        <f t="shared" ca="1" si="0"/>
        <v>209.49999999999997</v>
      </c>
      <c r="P9">
        <f t="shared" ca="1" si="0"/>
        <v>303.99999999999994</v>
      </c>
      <c r="Q9">
        <f t="shared" ca="1" si="0"/>
        <v>502.90000000000003</v>
      </c>
    </row>
    <row r="10" spans="1:24" x14ac:dyDescent="0.2">
      <c r="A10" s="3">
        <v>34578</v>
      </c>
      <c r="B10" s="18">
        <v>109.30000000000003</v>
      </c>
      <c r="C10" s="18">
        <v>5.5</v>
      </c>
      <c r="E10">
        <v>2002</v>
      </c>
      <c r="F10">
        <f t="shared" ca="1" si="0"/>
        <v>558.79999999999984</v>
      </c>
      <c r="G10">
        <f t="shared" ca="1" si="0"/>
        <v>518.9</v>
      </c>
      <c r="H10">
        <f t="shared" ca="1" si="0"/>
        <v>512.29999999999995</v>
      </c>
      <c r="I10">
        <f t="shared" ca="1" si="0"/>
        <v>306.79999999999995</v>
      </c>
      <c r="J10">
        <f t="shared" ca="1" si="0"/>
        <v>220.39999999999998</v>
      </c>
      <c r="K10">
        <f t="shared" ca="1" si="0"/>
        <v>26.999999999999996</v>
      </c>
      <c r="L10">
        <f t="shared" ca="1" si="0"/>
        <v>0.7</v>
      </c>
      <c r="M10">
        <f t="shared" ca="1" si="0"/>
        <v>0.5</v>
      </c>
      <c r="N10">
        <f t="shared" ca="1" si="0"/>
        <v>21.3</v>
      </c>
      <c r="O10">
        <f t="shared" ca="1" si="0"/>
        <v>259.89999999999998</v>
      </c>
      <c r="P10">
        <f t="shared" ca="1" si="0"/>
        <v>412.89999999999992</v>
      </c>
      <c r="Q10">
        <f t="shared" ca="1" si="0"/>
        <v>610.90000000000009</v>
      </c>
      <c r="W10" s="97"/>
      <c r="X10" s="97"/>
    </row>
    <row r="11" spans="1:24" x14ac:dyDescent="0.2">
      <c r="A11" s="3">
        <v>34608</v>
      </c>
      <c r="B11" s="18">
        <v>277.39999999999998</v>
      </c>
      <c r="C11" s="18">
        <v>0</v>
      </c>
      <c r="E11">
        <v>2003</v>
      </c>
      <c r="F11">
        <f t="shared" ca="1" si="0"/>
        <v>781.49999999999977</v>
      </c>
      <c r="G11">
        <f t="shared" ca="1" si="0"/>
        <v>681.19999999999993</v>
      </c>
      <c r="H11">
        <f t="shared" ca="1" si="0"/>
        <v>529.79999999999995</v>
      </c>
      <c r="I11">
        <f t="shared" ca="1" si="0"/>
        <v>360.39999999999992</v>
      </c>
      <c r="J11">
        <f t="shared" ca="1" si="0"/>
        <v>149.20000000000002</v>
      </c>
      <c r="K11">
        <f t="shared" ca="1" si="0"/>
        <v>33.199999999999996</v>
      </c>
      <c r="L11">
        <f t="shared" ca="1" si="0"/>
        <v>0.7</v>
      </c>
      <c r="M11">
        <f t="shared" ca="1" si="0"/>
        <v>4.2</v>
      </c>
      <c r="N11">
        <f t="shared" ca="1" si="0"/>
        <v>51.1</v>
      </c>
      <c r="O11">
        <f t="shared" ca="1" si="0"/>
        <v>263.59999999999997</v>
      </c>
      <c r="P11">
        <f t="shared" ca="1" si="0"/>
        <v>352.09999999999991</v>
      </c>
      <c r="Q11">
        <f t="shared" ca="1" si="0"/>
        <v>531.20000000000005</v>
      </c>
      <c r="W11" s="97"/>
      <c r="X11" s="97"/>
    </row>
    <row r="12" spans="1:24" x14ac:dyDescent="0.2">
      <c r="A12" s="3">
        <v>34639</v>
      </c>
      <c r="B12" s="18">
        <v>420.1</v>
      </c>
      <c r="C12" s="18">
        <v>0</v>
      </c>
      <c r="E12">
        <v>2004</v>
      </c>
      <c r="F12">
        <f t="shared" ref="F12:Q23" ca="1" si="1">OFFSET($S$2,(ROW()-2)*12+COLUMN()-6,0)</f>
        <v>805.39999999999986</v>
      </c>
      <c r="G12">
        <f t="shared" ca="1" si="1"/>
        <v>616.79999999999995</v>
      </c>
      <c r="H12">
        <f t="shared" ca="1" si="1"/>
        <v>478.59999999999997</v>
      </c>
      <c r="I12">
        <f t="shared" ca="1" si="1"/>
        <v>302.89999999999992</v>
      </c>
      <c r="J12">
        <f t="shared" ca="1" si="1"/>
        <v>117.30000000000003</v>
      </c>
      <c r="K12">
        <f t="shared" ca="1" si="1"/>
        <v>47</v>
      </c>
      <c r="L12">
        <f t="shared" ca="1" si="1"/>
        <v>0.89999999999999991</v>
      </c>
      <c r="M12">
        <f t="shared" ca="1" si="1"/>
        <v>11.7</v>
      </c>
      <c r="N12">
        <f t="shared" ca="1" si="1"/>
        <v>27.7</v>
      </c>
      <c r="O12">
        <f t="shared" ca="1" si="1"/>
        <v>208.99999999999994</v>
      </c>
      <c r="P12">
        <f t="shared" ca="1" si="1"/>
        <v>364.79999999999995</v>
      </c>
      <c r="Q12">
        <f t="shared" ca="1" si="1"/>
        <v>590.80000000000007</v>
      </c>
      <c r="W12" s="97"/>
      <c r="X12" s="97"/>
    </row>
    <row r="13" spans="1:24" x14ac:dyDescent="0.2">
      <c r="A13" s="3">
        <v>34669</v>
      </c>
      <c r="B13" s="18">
        <v>648.79999999999995</v>
      </c>
      <c r="C13" s="18">
        <v>0</v>
      </c>
      <c r="E13">
        <v>2005</v>
      </c>
      <c r="F13">
        <f t="shared" ca="1" si="1"/>
        <v>716.69999999999982</v>
      </c>
      <c r="G13">
        <f t="shared" ca="1" si="1"/>
        <v>594.69999999999993</v>
      </c>
      <c r="H13">
        <f t="shared" ca="1" si="1"/>
        <v>591.40000000000009</v>
      </c>
      <c r="I13">
        <f t="shared" ca="1" si="1"/>
        <v>303.49999999999989</v>
      </c>
      <c r="J13">
        <f t="shared" ca="1" si="1"/>
        <v>178.59999999999991</v>
      </c>
      <c r="K13">
        <f t="shared" ca="1" si="1"/>
        <v>5.7</v>
      </c>
      <c r="L13">
        <f t="shared" ca="1" si="1"/>
        <v>0</v>
      </c>
      <c r="M13">
        <f t="shared" ca="1" si="1"/>
        <v>0.7</v>
      </c>
      <c r="N13">
        <f t="shared" ca="1" si="1"/>
        <v>20.399999999999999</v>
      </c>
      <c r="O13">
        <f t="shared" ca="1" si="1"/>
        <v>212.19999999999996</v>
      </c>
      <c r="P13">
        <f t="shared" ca="1" si="1"/>
        <v>361.1</v>
      </c>
      <c r="Q13">
        <f t="shared" ca="1" si="1"/>
        <v>651.50000000000034</v>
      </c>
      <c r="W13" s="97"/>
      <c r="X13" s="97"/>
    </row>
    <row r="14" spans="1:24" x14ac:dyDescent="0.2">
      <c r="A14" s="3">
        <v>34700</v>
      </c>
      <c r="B14" s="18">
        <v>716.39999999999986</v>
      </c>
      <c r="C14" s="18">
        <v>0</v>
      </c>
      <c r="E14">
        <v>2006</v>
      </c>
      <c r="F14">
        <f t="shared" ca="1" si="1"/>
        <v>524.29999999999995</v>
      </c>
      <c r="G14">
        <f t="shared" ca="1" si="1"/>
        <v>570.29999999999995</v>
      </c>
      <c r="H14">
        <f t="shared" ca="1" si="1"/>
        <v>514.6</v>
      </c>
      <c r="I14">
        <f t="shared" ca="1" si="1"/>
        <v>269.99999999999994</v>
      </c>
      <c r="J14">
        <f t="shared" ca="1" si="1"/>
        <v>127.30000000000003</v>
      </c>
      <c r="K14">
        <f t="shared" ca="1" si="1"/>
        <v>18.899999999999999</v>
      </c>
      <c r="L14">
        <f t="shared" ca="1" si="1"/>
        <v>1</v>
      </c>
      <c r="M14">
        <f t="shared" ca="1" si="1"/>
        <v>1.4</v>
      </c>
      <c r="N14">
        <f t="shared" ca="1" si="1"/>
        <v>68.800000000000011</v>
      </c>
      <c r="O14">
        <f t="shared" ca="1" si="1"/>
        <v>269.89999999999998</v>
      </c>
      <c r="P14">
        <f t="shared" ca="1" si="1"/>
        <v>361.09999999999997</v>
      </c>
      <c r="Q14">
        <f t="shared" ca="1" si="1"/>
        <v>469.39999999999992</v>
      </c>
      <c r="S14">
        <v>606.20000000000005</v>
      </c>
      <c r="T14">
        <v>0</v>
      </c>
      <c r="W14" s="97"/>
      <c r="X14" s="97"/>
    </row>
    <row r="15" spans="1:24" x14ac:dyDescent="0.2">
      <c r="A15" s="3">
        <v>34731</v>
      </c>
      <c r="B15" s="18">
        <v>772.69999999999993</v>
      </c>
      <c r="C15" s="18">
        <v>0</v>
      </c>
      <c r="E15">
        <v>2007</v>
      </c>
      <c r="F15">
        <f t="shared" ca="1" si="1"/>
        <v>617.29999999999995</v>
      </c>
      <c r="G15">
        <f t="shared" ca="1" si="1"/>
        <v>704.8</v>
      </c>
      <c r="H15">
        <f t="shared" ca="1" si="1"/>
        <v>535.5</v>
      </c>
      <c r="I15">
        <f t="shared" ca="1" si="1"/>
        <v>350.09999999999985</v>
      </c>
      <c r="J15">
        <f t="shared" ca="1" si="1"/>
        <v>124.30000000000001</v>
      </c>
      <c r="K15">
        <f t="shared" ca="1" si="1"/>
        <v>15.7</v>
      </c>
      <c r="L15">
        <f t="shared" ca="1" si="1"/>
        <v>1</v>
      </c>
      <c r="M15">
        <f t="shared" ca="1" si="1"/>
        <v>5.3000000000000007</v>
      </c>
      <c r="N15">
        <f t="shared" ca="1" si="1"/>
        <v>32.699999999999996</v>
      </c>
      <c r="O15">
        <f t="shared" ca="1" si="1"/>
        <v>113.4</v>
      </c>
      <c r="P15">
        <f t="shared" ca="1" si="1"/>
        <v>410.89999999999992</v>
      </c>
      <c r="Q15">
        <f t="shared" ca="1" si="1"/>
        <v>595.70000000000016</v>
      </c>
      <c r="S15">
        <v>689.3</v>
      </c>
      <c r="T15">
        <v>0</v>
      </c>
      <c r="W15" s="97"/>
      <c r="X15" s="97"/>
    </row>
    <row r="16" spans="1:24" x14ac:dyDescent="0.2">
      <c r="A16" s="3">
        <v>34759</v>
      </c>
      <c r="B16" s="18">
        <v>523.4</v>
      </c>
      <c r="C16" s="18">
        <v>0</v>
      </c>
      <c r="E16">
        <v>2008</v>
      </c>
      <c r="F16">
        <f t="shared" ca="1" si="1"/>
        <v>604.19999999999993</v>
      </c>
      <c r="G16">
        <f t="shared" ca="1" si="1"/>
        <v>653.5</v>
      </c>
      <c r="H16">
        <f t="shared" ca="1" si="1"/>
        <v>602</v>
      </c>
      <c r="I16">
        <f t="shared" ca="1" si="1"/>
        <v>272.8</v>
      </c>
      <c r="J16">
        <f t="shared" ca="1" si="1"/>
        <v>216.7</v>
      </c>
      <c r="K16">
        <f t="shared" ca="1" si="1"/>
        <v>27.2</v>
      </c>
      <c r="L16">
        <f t="shared" ca="1" si="1"/>
        <v>5.2</v>
      </c>
      <c r="M16">
        <f t="shared" ca="1" si="1"/>
        <v>19</v>
      </c>
      <c r="N16">
        <f t="shared" ca="1" si="1"/>
        <v>70.100000000000009</v>
      </c>
      <c r="O16">
        <f t="shared" ca="1" si="1"/>
        <v>293.29999999999995</v>
      </c>
      <c r="P16">
        <f t="shared" ca="1" si="1"/>
        <v>447.40000000000003</v>
      </c>
      <c r="Q16">
        <f t="shared" ca="1" si="1"/>
        <v>614.79999999999984</v>
      </c>
      <c r="S16">
        <v>489.7999999999999</v>
      </c>
      <c r="T16">
        <v>0</v>
      </c>
      <c r="W16" s="97"/>
      <c r="X16" s="97"/>
    </row>
    <row r="17" spans="1:24" x14ac:dyDescent="0.2">
      <c r="A17" s="3">
        <v>34790</v>
      </c>
      <c r="B17" s="18">
        <v>436.59999999999991</v>
      </c>
      <c r="C17" s="18">
        <v>0</v>
      </c>
      <c r="E17">
        <v>2009</v>
      </c>
      <c r="F17">
        <f t="shared" ca="1" si="1"/>
        <v>829.40000000000009</v>
      </c>
      <c r="G17">
        <f t="shared" ca="1" si="1"/>
        <v>605.50000000000011</v>
      </c>
      <c r="H17">
        <f t="shared" ca="1" si="1"/>
        <v>528.69999999999993</v>
      </c>
      <c r="I17">
        <f t="shared" ca="1" si="1"/>
        <v>316.50000000000006</v>
      </c>
      <c r="J17">
        <f t="shared" ca="1" si="1"/>
        <v>161.39999999999998</v>
      </c>
      <c r="K17">
        <f t="shared" ca="1" si="1"/>
        <v>44.4</v>
      </c>
      <c r="L17">
        <f t="shared" ca="1" si="1"/>
        <v>19.600000000000001</v>
      </c>
      <c r="M17">
        <f t="shared" ca="1" si="1"/>
        <v>14.200000000000001</v>
      </c>
      <c r="N17">
        <f t="shared" ca="1" si="1"/>
        <v>70.8</v>
      </c>
      <c r="O17">
        <f t="shared" ca="1" si="1"/>
        <v>290</v>
      </c>
      <c r="P17">
        <f t="shared" ca="1" si="1"/>
        <v>359.59999999999997</v>
      </c>
      <c r="Q17">
        <f t="shared" ca="1" si="1"/>
        <v>612.29999999999984</v>
      </c>
      <c r="S17">
        <v>406.09999999999985</v>
      </c>
      <c r="T17">
        <v>0</v>
      </c>
      <c r="W17" s="97"/>
      <c r="X17" s="97"/>
    </row>
    <row r="18" spans="1:24" x14ac:dyDescent="0.2">
      <c r="A18" s="3">
        <v>34820</v>
      </c>
      <c r="B18" s="18">
        <v>164.19999999999993</v>
      </c>
      <c r="C18" s="18">
        <v>0</v>
      </c>
      <c r="E18">
        <v>2010</v>
      </c>
      <c r="F18">
        <f t="shared" ca="1" si="1"/>
        <v>711.09999999999991</v>
      </c>
      <c r="G18">
        <f t="shared" ca="1" si="1"/>
        <v>632.5</v>
      </c>
      <c r="H18">
        <f t="shared" ca="1" si="1"/>
        <v>468</v>
      </c>
      <c r="I18">
        <f t="shared" ca="1" si="1"/>
        <v>251</v>
      </c>
      <c r="J18">
        <f t="shared" ca="1" si="1"/>
        <v>125.40000000000003</v>
      </c>
      <c r="K18">
        <f t="shared" ca="1" si="1"/>
        <v>23.599999999999994</v>
      </c>
      <c r="L18">
        <f t="shared" ca="1" si="1"/>
        <v>4.5999999999999996</v>
      </c>
      <c r="M18">
        <f t="shared" ca="1" si="1"/>
        <v>7.6999999999999993</v>
      </c>
      <c r="N18">
        <f t="shared" ca="1" si="1"/>
        <v>79</v>
      </c>
      <c r="O18">
        <f t="shared" ca="1" si="1"/>
        <v>250.99999999999997</v>
      </c>
      <c r="P18">
        <f t="shared" ca="1" si="1"/>
        <v>387.19999999999993</v>
      </c>
      <c r="Q18">
        <f t="shared" ca="1" si="1"/>
        <v>671.3</v>
      </c>
      <c r="S18">
        <v>155.09999999999997</v>
      </c>
      <c r="T18">
        <v>0.5</v>
      </c>
      <c r="W18" s="97"/>
      <c r="X18" s="97"/>
    </row>
    <row r="19" spans="1:24" x14ac:dyDescent="0.2">
      <c r="A19" s="3">
        <v>34851</v>
      </c>
      <c r="B19" s="18">
        <v>25.499999999999996</v>
      </c>
      <c r="C19" s="18">
        <v>66.8</v>
      </c>
      <c r="E19">
        <v>2011</v>
      </c>
      <c r="F19">
        <f t="shared" ca="1" si="1"/>
        <v>794.6</v>
      </c>
      <c r="G19">
        <f t="shared" ca="1" si="1"/>
        <v>645.30000000000007</v>
      </c>
      <c r="H19">
        <f t="shared" ca="1" si="1"/>
        <v>567.1</v>
      </c>
      <c r="I19">
        <f t="shared" ca="1" si="1"/>
        <v>324.89999999999998</v>
      </c>
      <c r="J19">
        <f t="shared" ca="1" si="1"/>
        <v>136.00000000000003</v>
      </c>
      <c r="K19">
        <f t="shared" ca="1" si="1"/>
        <v>22.700000000000003</v>
      </c>
      <c r="L19">
        <f t="shared" ca="1" si="1"/>
        <v>0.2</v>
      </c>
      <c r="M19">
        <f t="shared" ca="1" si="1"/>
        <v>4.0999999999999996</v>
      </c>
      <c r="N19">
        <f t="shared" ca="1" si="1"/>
        <v>55</v>
      </c>
      <c r="O19">
        <f t="shared" ca="1" si="1"/>
        <v>234.5</v>
      </c>
      <c r="P19">
        <f t="shared" ca="1" si="1"/>
        <v>320.00000000000006</v>
      </c>
      <c r="Q19">
        <f t="shared" ca="1" si="1"/>
        <v>512</v>
      </c>
      <c r="S19">
        <v>18.5</v>
      </c>
      <c r="T19">
        <v>86.999999999999972</v>
      </c>
      <c r="W19" s="97"/>
      <c r="X19" s="97"/>
    </row>
    <row r="20" spans="1:24" x14ac:dyDescent="0.2">
      <c r="A20" s="3">
        <v>34881</v>
      </c>
      <c r="B20" s="18">
        <v>8.4</v>
      </c>
      <c r="C20" s="18">
        <v>105.69999999999999</v>
      </c>
      <c r="E20">
        <v>2012</v>
      </c>
      <c r="F20">
        <f t="shared" ca="1" si="1"/>
        <v>600.80000000000007</v>
      </c>
      <c r="G20">
        <f t="shared" ca="1" si="1"/>
        <v>533.20000000000005</v>
      </c>
      <c r="H20">
        <f t="shared" ca="1" si="1"/>
        <v>333.80000000000007</v>
      </c>
      <c r="I20">
        <f t="shared" ca="1" si="1"/>
        <v>341.4</v>
      </c>
      <c r="J20">
        <f t="shared" ca="1" si="1"/>
        <v>82.300000000000011</v>
      </c>
      <c r="K20">
        <f t="shared" ca="1" si="1"/>
        <v>31.599999999999998</v>
      </c>
      <c r="L20">
        <f t="shared" ca="1" si="1"/>
        <v>0</v>
      </c>
      <c r="M20">
        <f t="shared" ca="1" si="1"/>
        <v>6</v>
      </c>
      <c r="N20">
        <f t="shared" ca="1" si="1"/>
        <v>86.1</v>
      </c>
      <c r="O20">
        <f t="shared" ca="1" si="1"/>
        <v>227.39999999999998</v>
      </c>
      <c r="P20">
        <f t="shared" ca="1" si="1"/>
        <v>430.19999999999993</v>
      </c>
      <c r="Q20">
        <f t="shared" ca="1" si="1"/>
        <v>505.1</v>
      </c>
      <c r="S20">
        <v>9.4</v>
      </c>
      <c r="T20">
        <v>139.6</v>
      </c>
      <c r="W20" s="97"/>
      <c r="X20" s="97"/>
    </row>
    <row r="21" spans="1:24" x14ac:dyDescent="0.2">
      <c r="A21" s="3">
        <v>34912</v>
      </c>
      <c r="B21" s="18">
        <v>11.9</v>
      </c>
      <c r="C21" s="18">
        <v>86.999999999999986</v>
      </c>
      <c r="E21">
        <v>2013</v>
      </c>
      <c r="F21">
        <f t="shared" ca="1" si="1"/>
        <v>617.29999999999995</v>
      </c>
      <c r="G21">
        <f t="shared" ca="1" si="1"/>
        <v>640.1</v>
      </c>
      <c r="H21">
        <f t="shared" ca="1" si="1"/>
        <v>555.40000000000009</v>
      </c>
      <c r="I21">
        <f t="shared" ca="1" si="1"/>
        <v>339.90000000000003</v>
      </c>
      <c r="J21">
        <f t="shared" ca="1" si="1"/>
        <v>116.5</v>
      </c>
      <c r="K21">
        <f t="shared" ca="1" si="1"/>
        <v>42.8</v>
      </c>
      <c r="L21">
        <f t="shared" ca="1" si="1"/>
        <v>5.5</v>
      </c>
      <c r="M21">
        <f t="shared" ca="1" si="1"/>
        <v>15</v>
      </c>
      <c r="N21">
        <f t="shared" ca="1" si="1"/>
        <v>110.40000000000002</v>
      </c>
      <c r="O21">
        <f t="shared" ca="1" si="1"/>
        <v>209.2</v>
      </c>
      <c r="P21">
        <f t="shared" ca="1" si="1"/>
        <v>462.90000000000003</v>
      </c>
      <c r="Q21">
        <f t="shared" ca="1" si="1"/>
        <v>648.79999999999995</v>
      </c>
      <c r="S21">
        <v>1</v>
      </c>
      <c r="T21">
        <v>150.50000000000003</v>
      </c>
      <c r="W21" s="97"/>
      <c r="X21" s="97"/>
    </row>
    <row r="22" spans="1:24" x14ac:dyDescent="0.2">
      <c r="A22" s="3">
        <v>34943</v>
      </c>
      <c r="B22" s="18">
        <v>160.69999999999999</v>
      </c>
      <c r="C22" s="18">
        <v>6.5</v>
      </c>
      <c r="E22">
        <v>2014</v>
      </c>
      <c r="F22">
        <f t="shared" ca="1" si="1"/>
        <v>783.19999999999993</v>
      </c>
      <c r="G22">
        <f t="shared" ca="1" si="1"/>
        <v>743.69999999999993</v>
      </c>
      <c r="H22">
        <f t="shared" ca="1" si="1"/>
        <v>692.30000000000007</v>
      </c>
      <c r="I22">
        <f t="shared" ca="1" si="1"/>
        <v>338.40000000000009</v>
      </c>
      <c r="J22">
        <f t="shared" ca="1" si="1"/>
        <v>146.39999999999998</v>
      </c>
      <c r="K22">
        <f t="shared" ca="1" si="1"/>
        <v>21.3</v>
      </c>
      <c r="L22">
        <f t="shared" ca="1" si="1"/>
        <v>13.700000000000001</v>
      </c>
      <c r="M22">
        <f t="shared" ca="1" si="1"/>
        <v>19.5</v>
      </c>
      <c r="N22">
        <f t="shared" ca="1" si="1"/>
        <v>85.300000000000011</v>
      </c>
      <c r="O22">
        <f t="shared" ca="1" si="1"/>
        <v>225.09999999999997</v>
      </c>
      <c r="P22">
        <f t="shared" ca="1" si="1"/>
        <v>465.7</v>
      </c>
      <c r="Q22">
        <f t="shared" ca="1" si="1"/>
        <v>540.79999999999995</v>
      </c>
      <c r="S22">
        <v>95.600000000000023</v>
      </c>
      <c r="T22">
        <v>13.899999999999999</v>
      </c>
    </row>
    <row r="23" spans="1:24" x14ac:dyDescent="0.2">
      <c r="A23" s="3">
        <v>34973</v>
      </c>
      <c r="B23" s="18">
        <v>223</v>
      </c>
      <c r="C23" s="18">
        <v>0.3</v>
      </c>
      <c r="E23">
        <v>2015</v>
      </c>
      <c r="F23">
        <f t="shared" ca="1" si="1"/>
        <v>776.4</v>
      </c>
      <c r="G23">
        <f t="shared" ca="1" si="1"/>
        <v>871.9</v>
      </c>
      <c r="H23">
        <f t="shared" ca="1" si="1"/>
        <v>637</v>
      </c>
      <c r="I23">
        <f t="shared" ca="1" si="1"/>
        <v>330.29999999999995</v>
      </c>
      <c r="J23">
        <f t="shared" ca="1" si="1"/>
        <v>105.2</v>
      </c>
      <c r="K23">
        <f t="shared" ca="1" si="1"/>
        <v>35.9</v>
      </c>
      <c r="L23">
        <f t="shared" ca="1" si="1"/>
        <v>7.6</v>
      </c>
      <c r="M23">
        <f t="shared" ca="1" si="1"/>
        <v>12</v>
      </c>
      <c r="N23">
        <f t="shared" ca="1" si="1"/>
        <v>37</v>
      </c>
      <c r="O23">
        <f t="shared" ca="1" si="1"/>
        <v>252.3</v>
      </c>
      <c r="P23">
        <f t="shared" ca="1" si="1"/>
        <v>338.5</v>
      </c>
      <c r="Q23">
        <f t="shared" ca="1" si="1"/>
        <v>416.69999999999987</v>
      </c>
      <c r="S23">
        <v>193.59999999999997</v>
      </c>
      <c r="T23">
        <v>0.8</v>
      </c>
    </row>
    <row r="24" spans="1:24" x14ac:dyDescent="0.2">
      <c r="A24" s="3">
        <v>35004</v>
      </c>
      <c r="B24" s="18">
        <v>562</v>
      </c>
      <c r="C24" s="18">
        <v>0</v>
      </c>
      <c r="E24">
        <v>2016</v>
      </c>
      <c r="F24">
        <f ca="1">TREND(F$4:F$23,$E$4:$E$23,$E24)</f>
        <v>713.63684210526344</v>
      </c>
      <c r="G24">
        <f t="shared" ref="G24:Q25" ca="1" si="2">TREND(G$4:G$23,$E$4:$E$23,$E24)</f>
        <v>710.54736842105194</v>
      </c>
      <c r="H24">
        <f t="shared" ca="1" si="2"/>
        <v>553.68736842105272</v>
      </c>
      <c r="I24">
        <f t="shared" ca="1" si="2"/>
        <v>310.17684210526318</v>
      </c>
      <c r="J24">
        <f t="shared" ca="1" si="2"/>
        <v>120.12789473684279</v>
      </c>
      <c r="K24">
        <f t="shared" ca="1" si="2"/>
        <v>28.334736842105201</v>
      </c>
      <c r="L24">
        <f t="shared" ca="1" si="2"/>
        <v>5.1842105263157876</v>
      </c>
      <c r="M24">
        <f t="shared" ca="1" si="2"/>
        <v>11.827368421052711</v>
      </c>
      <c r="N24">
        <f t="shared" ca="1" si="2"/>
        <v>67.287368421052633</v>
      </c>
      <c r="O24">
        <f t="shared" ca="1" si="2"/>
        <v>233.91526315789474</v>
      </c>
      <c r="P24">
        <f t="shared" ca="1" si="2"/>
        <v>384.37263157894722</v>
      </c>
      <c r="Q24">
        <f t="shared" ca="1" si="2"/>
        <v>549.79578947368464</v>
      </c>
      <c r="S24">
        <v>481.2</v>
      </c>
      <c r="T24">
        <v>0</v>
      </c>
    </row>
    <row r="25" spans="1:24" x14ac:dyDescent="0.2">
      <c r="A25" s="3">
        <v>35034</v>
      </c>
      <c r="B25" s="18">
        <v>800.69999999999982</v>
      </c>
      <c r="C25" s="18">
        <v>0</v>
      </c>
      <c r="E25">
        <v>2017</v>
      </c>
      <c r="F25">
        <f ca="1">TREND(F$4:F$23,$E$4:$E$23,$E25)</f>
        <v>715.88225563909737</v>
      </c>
      <c r="G25">
        <f t="shared" ca="1" si="2"/>
        <v>719.18330827067621</v>
      </c>
      <c r="H25">
        <f t="shared" ca="1" si="2"/>
        <v>555.20616541353411</v>
      </c>
      <c r="I25">
        <f t="shared" ca="1" si="2"/>
        <v>309.38225563909782</v>
      </c>
      <c r="J25">
        <f t="shared" ca="1" si="2"/>
        <v>117.93578947368496</v>
      </c>
      <c r="K25">
        <f t="shared" ca="1" si="2"/>
        <v>28.168045112781897</v>
      </c>
      <c r="L25">
        <f t="shared" ca="1" si="2"/>
        <v>5.1584210526315744</v>
      </c>
      <c r="M25">
        <f t="shared" ca="1" si="2"/>
        <v>12.14902255639106</v>
      </c>
      <c r="N25">
        <f t="shared" ca="1" si="2"/>
        <v>67.719022556390996</v>
      </c>
      <c r="O25">
        <f t="shared" ca="1" si="2"/>
        <v>233.78052631578947</v>
      </c>
      <c r="P25">
        <f t="shared" ca="1" si="2"/>
        <v>383.24240601503743</v>
      </c>
      <c r="Q25">
        <f t="shared" ca="1" si="2"/>
        <v>547.75157894736913</v>
      </c>
      <c r="S25">
        <v>678.59999999999991</v>
      </c>
      <c r="T25">
        <v>0</v>
      </c>
    </row>
    <row r="26" spans="1:24" x14ac:dyDescent="0.2">
      <c r="A26" s="3">
        <v>35065</v>
      </c>
      <c r="B26" s="18">
        <v>842.8</v>
      </c>
      <c r="C26" s="18">
        <v>0</v>
      </c>
      <c r="S26">
        <v>727.29999999999984</v>
      </c>
      <c r="T26">
        <v>0</v>
      </c>
    </row>
    <row r="27" spans="1:24" x14ac:dyDescent="0.2">
      <c r="A27" s="3">
        <v>35096</v>
      </c>
      <c r="B27" s="18">
        <v>726.4000000000002</v>
      </c>
      <c r="C27" s="18">
        <v>0</v>
      </c>
      <c r="S27">
        <v>662.7</v>
      </c>
      <c r="T27">
        <v>0</v>
      </c>
    </row>
    <row r="28" spans="1:24" x14ac:dyDescent="0.2">
      <c r="A28" s="3">
        <v>35125</v>
      </c>
      <c r="B28" s="18">
        <v>648.89999999999986</v>
      </c>
      <c r="C28" s="18">
        <v>0</v>
      </c>
      <c r="S28">
        <v>623.00000000000023</v>
      </c>
      <c r="T28">
        <v>0</v>
      </c>
    </row>
    <row r="29" spans="1:24" x14ac:dyDescent="0.2">
      <c r="A29" s="3">
        <v>35156</v>
      </c>
      <c r="B29" s="18">
        <v>401.69999999999987</v>
      </c>
      <c r="C29" s="18">
        <v>0</v>
      </c>
      <c r="E29" s="40" t="s">
        <v>131</v>
      </c>
      <c r="F29">
        <f ca="1">AVERAGE(F14:F23)</f>
        <v>685.8599999999999</v>
      </c>
      <c r="G29">
        <f t="shared" ref="G29:Q29" ca="1" si="3">AVERAGE(G14:G23)</f>
        <v>660.08</v>
      </c>
      <c r="H29">
        <f t="shared" ca="1" si="3"/>
        <v>543.44000000000005</v>
      </c>
      <c r="I29">
        <f t="shared" ca="1" si="3"/>
        <v>313.53000000000003</v>
      </c>
      <c r="J29">
        <f t="shared" ca="1" si="3"/>
        <v>134.15000000000003</v>
      </c>
      <c r="K29">
        <f t="shared" ca="1" si="3"/>
        <v>28.409999999999997</v>
      </c>
      <c r="L29">
        <f t="shared" ca="1" si="3"/>
        <v>5.84</v>
      </c>
      <c r="M29">
        <f t="shared" ca="1" si="3"/>
        <v>10.420000000000002</v>
      </c>
      <c r="N29">
        <f t="shared" ca="1" si="3"/>
        <v>69.52000000000001</v>
      </c>
      <c r="O29">
        <f t="shared" ca="1" si="3"/>
        <v>236.61000000000004</v>
      </c>
      <c r="P29">
        <f t="shared" ca="1" si="3"/>
        <v>398.34999999999997</v>
      </c>
      <c r="Q29">
        <f t="shared" ca="1" si="3"/>
        <v>558.68999999999994</v>
      </c>
      <c r="S29">
        <v>380.7999999999999</v>
      </c>
      <c r="T29">
        <v>0</v>
      </c>
    </row>
    <row r="30" spans="1:24" x14ac:dyDescent="0.2">
      <c r="A30" s="3">
        <v>35186</v>
      </c>
      <c r="B30" s="18">
        <v>211.79999999999995</v>
      </c>
      <c r="C30" s="18">
        <v>7.3</v>
      </c>
      <c r="E30" s="40" t="s">
        <v>132</v>
      </c>
      <c r="F30">
        <f ca="1">AVERAGE(F4:F23)</f>
        <v>690.06</v>
      </c>
      <c r="G30">
        <f t="shared" ref="G30:Q30" ca="1" si="4">AVERAGE(G4:G23)</f>
        <v>619.87000000000012</v>
      </c>
      <c r="H30">
        <f t="shared" ca="1" si="4"/>
        <v>537.74</v>
      </c>
      <c r="I30">
        <f t="shared" ca="1" si="4"/>
        <v>318.51999999999992</v>
      </c>
      <c r="J30">
        <f t="shared" ca="1" si="4"/>
        <v>143.14499999999998</v>
      </c>
      <c r="K30">
        <f t="shared" ca="1" si="4"/>
        <v>30.084999999999997</v>
      </c>
      <c r="L30">
        <f t="shared" ca="1" si="4"/>
        <v>5.4550000000000001</v>
      </c>
      <c r="M30">
        <f t="shared" ca="1" si="4"/>
        <v>8.4499999999999993</v>
      </c>
      <c r="N30">
        <f t="shared" ca="1" si="4"/>
        <v>62.75500000000001</v>
      </c>
      <c r="O30">
        <f t="shared" ca="1" si="4"/>
        <v>235.33</v>
      </c>
      <c r="P30">
        <f t="shared" ca="1" si="4"/>
        <v>396.2399999999999</v>
      </c>
      <c r="Q30">
        <f t="shared" ca="1" si="4"/>
        <v>571.26</v>
      </c>
      <c r="S30">
        <v>187.99999999999991</v>
      </c>
      <c r="T30">
        <v>9.5</v>
      </c>
    </row>
    <row r="31" spans="1:24" x14ac:dyDescent="0.2">
      <c r="A31" s="3">
        <v>35217</v>
      </c>
      <c r="B31" s="18">
        <v>24.5</v>
      </c>
      <c r="C31" s="18">
        <v>35.000000000000007</v>
      </c>
      <c r="S31">
        <v>14.7</v>
      </c>
      <c r="T31">
        <v>54.2</v>
      </c>
    </row>
    <row r="32" spans="1:24" x14ac:dyDescent="0.2">
      <c r="A32" s="3">
        <v>35247</v>
      </c>
      <c r="B32" s="18">
        <v>6.3000000000000007</v>
      </c>
      <c r="C32" s="18">
        <v>52</v>
      </c>
      <c r="E32" s="95" t="s">
        <v>18</v>
      </c>
      <c r="F32" s="28" t="s">
        <v>125</v>
      </c>
      <c r="G32" s="28" t="s">
        <v>100</v>
      </c>
      <c r="H32" s="28" t="s">
        <v>101</v>
      </c>
      <c r="I32" s="28" t="s">
        <v>102</v>
      </c>
      <c r="J32" s="28" t="s">
        <v>83</v>
      </c>
      <c r="K32" s="28" t="s">
        <v>84</v>
      </c>
      <c r="L32" s="28" t="s">
        <v>85</v>
      </c>
      <c r="M32" s="50" t="s">
        <v>86</v>
      </c>
      <c r="N32" s="50" t="s">
        <v>126</v>
      </c>
      <c r="O32" s="50" t="s">
        <v>107</v>
      </c>
      <c r="P32" s="50" t="s">
        <v>108</v>
      </c>
      <c r="Q32" s="50" t="s">
        <v>109</v>
      </c>
      <c r="S32">
        <v>10.399999999999999</v>
      </c>
      <c r="T32">
        <v>77.499999999999986</v>
      </c>
    </row>
    <row r="33" spans="1:20" x14ac:dyDescent="0.2">
      <c r="A33" s="3">
        <v>35278</v>
      </c>
      <c r="B33" s="18">
        <v>11.100000000000001</v>
      </c>
      <c r="C33" s="18">
        <v>68.3</v>
      </c>
      <c r="E33">
        <v>1994</v>
      </c>
      <c r="F33">
        <f t="shared" ref="F33:Q42" ca="1" si="5">OFFSET($T$2,(ROW()-33)*12+COLUMN()-6,0)</f>
        <v>0</v>
      </c>
      <c r="G33">
        <f t="shared" ca="1" si="5"/>
        <v>0</v>
      </c>
      <c r="H33">
        <f t="shared" ca="1" si="5"/>
        <v>0</v>
      </c>
      <c r="I33">
        <f t="shared" ca="1" si="5"/>
        <v>0</v>
      </c>
      <c r="J33">
        <f t="shared" ca="1" si="5"/>
        <v>0</v>
      </c>
      <c r="K33">
        <f t="shared" ca="1" si="5"/>
        <v>0</v>
      </c>
      <c r="L33">
        <f t="shared" ca="1" si="5"/>
        <v>0</v>
      </c>
      <c r="M33">
        <f t="shared" ca="1" si="5"/>
        <v>0</v>
      </c>
      <c r="N33">
        <f t="shared" ca="1" si="5"/>
        <v>0</v>
      </c>
      <c r="O33">
        <f t="shared" ca="1" si="5"/>
        <v>0</v>
      </c>
      <c r="P33">
        <f t="shared" ca="1" si="5"/>
        <v>0</v>
      </c>
      <c r="Q33">
        <f t="shared" ca="1" si="5"/>
        <v>0</v>
      </c>
      <c r="S33">
        <v>1.2</v>
      </c>
      <c r="T33">
        <v>93.699999999999974</v>
      </c>
    </row>
    <row r="34" spans="1:20" x14ac:dyDescent="0.2">
      <c r="A34" s="3">
        <v>35309</v>
      </c>
      <c r="B34" s="18">
        <v>89.5</v>
      </c>
      <c r="C34" s="18">
        <v>26.3</v>
      </c>
      <c r="E34">
        <v>1995</v>
      </c>
      <c r="F34">
        <f t="shared" ca="1" si="5"/>
        <v>0</v>
      </c>
      <c r="G34">
        <f t="shared" ca="1" si="5"/>
        <v>0</v>
      </c>
      <c r="H34">
        <f t="shared" ca="1" si="5"/>
        <v>0</v>
      </c>
      <c r="I34">
        <f t="shared" ca="1" si="5"/>
        <v>0</v>
      </c>
      <c r="J34">
        <f t="shared" ca="1" si="5"/>
        <v>0.5</v>
      </c>
      <c r="K34">
        <f t="shared" ca="1" si="5"/>
        <v>86.999999999999972</v>
      </c>
      <c r="L34">
        <f t="shared" ca="1" si="5"/>
        <v>139.6</v>
      </c>
      <c r="M34">
        <f t="shared" ca="1" si="5"/>
        <v>150.50000000000003</v>
      </c>
      <c r="N34">
        <f t="shared" ca="1" si="5"/>
        <v>13.899999999999999</v>
      </c>
      <c r="O34">
        <f t="shared" ca="1" si="5"/>
        <v>0.8</v>
      </c>
      <c r="P34">
        <f t="shared" ca="1" si="5"/>
        <v>0</v>
      </c>
      <c r="Q34">
        <f t="shared" ca="1" si="5"/>
        <v>0</v>
      </c>
      <c r="S34">
        <v>75.100000000000009</v>
      </c>
      <c r="T34">
        <v>29.200000000000003</v>
      </c>
    </row>
    <row r="35" spans="1:20" x14ac:dyDescent="0.2">
      <c r="A35" s="3">
        <v>35339</v>
      </c>
      <c r="B35" s="18">
        <v>312.7</v>
      </c>
      <c r="C35" s="18">
        <v>0</v>
      </c>
      <c r="E35">
        <v>1996</v>
      </c>
      <c r="F35">
        <f t="shared" ca="1" si="5"/>
        <v>0</v>
      </c>
      <c r="G35">
        <f t="shared" ca="1" si="5"/>
        <v>0</v>
      </c>
      <c r="H35">
        <f t="shared" ca="1" si="5"/>
        <v>0</v>
      </c>
      <c r="I35">
        <f t="shared" ca="1" si="5"/>
        <v>0</v>
      </c>
      <c r="J35">
        <f t="shared" ca="1" si="5"/>
        <v>9.5</v>
      </c>
      <c r="K35">
        <f t="shared" ca="1" si="5"/>
        <v>54.2</v>
      </c>
      <c r="L35">
        <f t="shared" ca="1" si="5"/>
        <v>77.499999999999986</v>
      </c>
      <c r="M35">
        <f t="shared" ca="1" si="5"/>
        <v>93.699999999999974</v>
      </c>
      <c r="N35">
        <f t="shared" ca="1" si="5"/>
        <v>29.200000000000003</v>
      </c>
      <c r="O35">
        <f t="shared" ca="1" si="5"/>
        <v>0.8</v>
      </c>
      <c r="P35">
        <f t="shared" ca="1" si="5"/>
        <v>0</v>
      </c>
      <c r="Q35">
        <f t="shared" ca="1" si="5"/>
        <v>0</v>
      </c>
      <c r="S35">
        <v>248.89999999999995</v>
      </c>
      <c r="T35">
        <v>0.8</v>
      </c>
    </row>
    <row r="36" spans="1:20" x14ac:dyDescent="0.2">
      <c r="A36" s="3">
        <v>35370</v>
      </c>
      <c r="B36" s="18">
        <v>563.5</v>
      </c>
      <c r="C36" s="18">
        <v>0</v>
      </c>
      <c r="E36">
        <v>1997</v>
      </c>
      <c r="F36">
        <f t="shared" ca="1" si="5"/>
        <v>0</v>
      </c>
      <c r="G36">
        <f t="shared" ca="1" si="5"/>
        <v>0</v>
      </c>
      <c r="H36">
        <f t="shared" ca="1" si="5"/>
        <v>0</v>
      </c>
      <c r="I36">
        <f t="shared" ca="1" si="5"/>
        <v>0</v>
      </c>
      <c r="J36">
        <f t="shared" ca="1" si="5"/>
        <v>0</v>
      </c>
      <c r="K36">
        <f t="shared" ca="1" si="5"/>
        <v>37.400000000000006</v>
      </c>
      <c r="L36">
        <f t="shared" ca="1" si="5"/>
        <v>71.3</v>
      </c>
      <c r="M36">
        <f t="shared" ca="1" si="5"/>
        <v>37.999999999999986</v>
      </c>
      <c r="N36">
        <f t="shared" ca="1" si="5"/>
        <v>7.1999999999999993</v>
      </c>
      <c r="O36">
        <f t="shared" ca="1" si="5"/>
        <v>0.5</v>
      </c>
      <c r="P36">
        <f t="shared" ca="1" si="5"/>
        <v>0</v>
      </c>
      <c r="Q36">
        <f t="shared" ca="1" si="5"/>
        <v>0</v>
      </c>
      <c r="S36">
        <v>531.10000000000014</v>
      </c>
      <c r="T36">
        <v>0</v>
      </c>
    </row>
    <row r="37" spans="1:20" x14ac:dyDescent="0.2">
      <c r="A37" s="3">
        <v>35400</v>
      </c>
      <c r="B37" s="18">
        <v>567.70000000000005</v>
      </c>
      <c r="C37" s="18">
        <v>0</v>
      </c>
      <c r="E37">
        <v>1998</v>
      </c>
      <c r="F37">
        <f t="shared" ca="1" si="5"/>
        <v>0</v>
      </c>
      <c r="G37">
        <f t="shared" ca="1" si="5"/>
        <v>0</v>
      </c>
      <c r="H37">
        <f t="shared" ca="1" si="5"/>
        <v>0.8</v>
      </c>
      <c r="I37">
        <f t="shared" ca="1" si="5"/>
        <v>0</v>
      </c>
      <c r="J37">
        <f t="shared" ca="1" si="5"/>
        <v>27.900000000000002</v>
      </c>
      <c r="K37">
        <f t="shared" ca="1" si="5"/>
        <v>85.6</v>
      </c>
      <c r="L37">
        <f t="shared" ca="1" si="5"/>
        <v>102.19999999999999</v>
      </c>
      <c r="M37">
        <f t="shared" ca="1" si="5"/>
        <v>136.6</v>
      </c>
      <c r="N37">
        <f t="shared" ca="1" si="5"/>
        <v>53.8</v>
      </c>
      <c r="O37">
        <f t="shared" ca="1" si="5"/>
        <v>2</v>
      </c>
      <c r="P37">
        <f t="shared" ca="1" si="5"/>
        <v>0</v>
      </c>
      <c r="Q37">
        <f t="shared" ca="1" si="5"/>
        <v>0</v>
      </c>
      <c r="S37">
        <v>567.59999999999991</v>
      </c>
      <c r="T37">
        <v>0</v>
      </c>
    </row>
    <row r="38" spans="1:20" x14ac:dyDescent="0.2">
      <c r="A38" s="3">
        <v>35431</v>
      </c>
      <c r="B38" s="18">
        <v>839.99999999999977</v>
      </c>
      <c r="C38" s="18">
        <v>0</v>
      </c>
      <c r="E38">
        <v>1999</v>
      </c>
      <c r="F38">
        <f t="shared" ca="1" si="5"/>
        <v>0</v>
      </c>
      <c r="G38">
        <f t="shared" ca="1" si="5"/>
        <v>0</v>
      </c>
      <c r="H38">
        <f t="shared" ca="1" si="5"/>
        <v>0</v>
      </c>
      <c r="I38">
        <f t="shared" ca="1" si="5"/>
        <v>0</v>
      </c>
      <c r="J38">
        <f t="shared" ca="1" si="5"/>
        <v>16.600000000000001</v>
      </c>
      <c r="K38">
        <f t="shared" ca="1" si="5"/>
        <v>99.8</v>
      </c>
      <c r="L38">
        <f t="shared" ca="1" si="5"/>
        <v>178.10000000000002</v>
      </c>
      <c r="M38">
        <f t="shared" ca="1" si="5"/>
        <v>63.699999999999989</v>
      </c>
      <c r="N38">
        <f t="shared" ca="1" si="5"/>
        <v>42.899999999999991</v>
      </c>
      <c r="O38">
        <f t="shared" ca="1" si="5"/>
        <v>0</v>
      </c>
      <c r="P38">
        <f t="shared" ca="1" si="5"/>
        <v>0</v>
      </c>
      <c r="Q38">
        <f t="shared" ca="1" si="5"/>
        <v>0</v>
      </c>
      <c r="S38">
        <v>741.09999999999991</v>
      </c>
      <c r="T38">
        <v>0</v>
      </c>
    </row>
    <row r="39" spans="1:20" x14ac:dyDescent="0.2">
      <c r="A39" s="3">
        <v>35462</v>
      </c>
      <c r="B39" s="18">
        <v>651.79999999999995</v>
      </c>
      <c r="C39" s="18">
        <v>0</v>
      </c>
      <c r="E39">
        <v>2000</v>
      </c>
      <c r="F39">
        <f t="shared" ca="1" si="5"/>
        <v>0</v>
      </c>
      <c r="G39">
        <f t="shared" ca="1" si="5"/>
        <v>0</v>
      </c>
      <c r="H39">
        <f t="shared" ca="1" si="5"/>
        <v>0</v>
      </c>
      <c r="I39">
        <f t="shared" ca="1" si="5"/>
        <v>0</v>
      </c>
      <c r="J39">
        <f t="shared" ca="1" si="5"/>
        <v>12.5</v>
      </c>
      <c r="K39">
        <f t="shared" ca="1" si="5"/>
        <v>53.2</v>
      </c>
      <c r="L39">
        <f t="shared" ca="1" si="5"/>
        <v>70.399999999999991</v>
      </c>
      <c r="M39">
        <f t="shared" ca="1" si="5"/>
        <v>76.399999999999991</v>
      </c>
      <c r="N39">
        <f t="shared" ca="1" si="5"/>
        <v>39.4</v>
      </c>
      <c r="O39">
        <f t="shared" ca="1" si="5"/>
        <v>0</v>
      </c>
      <c r="P39">
        <f t="shared" ca="1" si="5"/>
        <v>0</v>
      </c>
      <c r="Q39">
        <f t="shared" ca="1" si="5"/>
        <v>0</v>
      </c>
      <c r="S39">
        <v>571.70000000000005</v>
      </c>
      <c r="T39">
        <v>0</v>
      </c>
    </row>
    <row r="40" spans="1:20" x14ac:dyDescent="0.2">
      <c r="A40" s="3">
        <v>35490</v>
      </c>
      <c r="B40" s="18">
        <v>666.60000000000014</v>
      </c>
      <c r="C40" s="18">
        <v>0</v>
      </c>
      <c r="E40">
        <v>2001</v>
      </c>
      <c r="F40">
        <f t="shared" ca="1" si="5"/>
        <v>0</v>
      </c>
      <c r="G40">
        <f t="shared" ca="1" si="5"/>
        <v>0</v>
      </c>
      <c r="H40">
        <f t="shared" ca="1" si="5"/>
        <v>0</v>
      </c>
      <c r="I40">
        <f t="shared" ca="1" si="5"/>
        <v>1.8</v>
      </c>
      <c r="J40">
        <f t="shared" ca="1" si="5"/>
        <v>0.8</v>
      </c>
      <c r="K40">
        <f t="shared" ca="1" si="5"/>
        <v>71.099999999999994</v>
      </c>
      <c r="L40">
        <f t="shared" ca="1" si="5"/>
        <v>89.999999999999986</v>
      </c>
      <c r="M40">
        <f t="shared" ca="1" si="5"/>
        <v>137.5</v>
      </c>
      <c r="N40">
        <f t="shared" ca="1" si="5"/>
        <v>32.700000000000003</v>
      </c>
      <c r="O40">
        <f t="shared" ca="1" si="5"/>
        <v>3.7</v>
      </c>
      <c r="P40">
        <f t="shared" ca="1" si="5"/>
        <v>0</v>
      </c>
      <c r="Q40">
        <f t="shared" ca="1" si="5"/>
        <v>0</v>
      </c>
      <c r="S40">
        <v>574.10000000000014</v>
      </c>
      <c r="T40">
        <v>0</v>
      </c>
    </row>
    <row r="41" spans="1:20" x14ac:dyDescent="0.2">
      <c r="A41" s="3">
        <v>35521</v>
      </c>
      <c r="B41" s="18">
        <v>399.09999999999991</v>
      </c>
      <c r="C41" s="18">
        <v>0</v>
      </c>
      <c r="E41">
        <v>2002</v>
      </c>
      <c r="F41">
        <f t="shared" ca="1" si="5"/>
        <v>0</v>
      </c>
      <c r="G41">
        <f t="shared" ca="1" si="5"/>
        <v>0</v>
      </c>
      <c r="H41">
        <f t="shared" ca="1" si="5"/>
        <v>0</v>
      </c>
      <c r="I41">
        <f t="shared" ca="1" si="5"/>
        <v>5.0999999999999996</v>
      </c>
      <c r="J41">
        <f t="shared" ca="1" si="5"/>
        <v>8.8000000000000007</v>
      </c>
      <c r="K41">
        <f t="shared" ca="1" si="5"/>
        <v>74.699999999999989</v>
      </c>
      <c r="L41">
        <f t="shared" ca="1" si="5"/>
        <v>169.20000000000002</v>
      </c>
      <c r="M41">
        <f t="shared" ca="1" si="5"/>
        <v>141.59999999999997</v>
      </c>
      <c r="N41">
        <f t="shared" ca="1" si="5"/>
        <v>77.299999999999983</v>
      </c>
      <c r="O41">
        <f t="shared" ca="1" si="5"/>
        <v>11.600000000000001</v>
      </c>
      <c r="P41">
        <f t="shared" ca="1" si="5"/>
        <v>0</v>
      </c>
      <c r="Q41">
        <f t="shared" ca="1" si="5"/>
        <v>0</v>
      </c>
      <c r="S41">
        <v>411.29999999999995</v>
      </c>
      <c r="T41">
        <v>0</v>
      </c>
    </row>
    <row r="42" spans="1:20" x14ac:dyDescent="0.2">
      <c r="A42" s="3">
        <v>35551</v>
      </c>
      <c r="B42" s="18">
        <v>265.7999999999999</v>
      </c>
      <c r="C42" s="18">
        <v>0</v>
      </c>
      <c r="E42">
        <v>2003</v>
      </c>
      <c r="F42">
        <f t="shared" ca="1" si="5"/>
        <v>0</v>
      </c>
      <c r="G42">
        <f t="shared" ca="1" si="5"/>
        <v>0</v>
      </c>
      <c r="H42">
        <f t="shared" ca="1" si="5"/>
        <v>0</v>
      </c>
      <c r="I42">
        <f t="shared" ca="1" si="5"/>
        <v>0</v>
      </c>
      <c r="J42">
        <f t="shared" ca="1" si="5"/>
        <v>0</v>
      </c>
      <c r="K42">
        <f t="shared" ca="1" si="5"/>
        <v>35.6</v>
      </c>
      <c r="L42">
        <f t="shared" ca="1" si="5"/>
        <v>105.29999999999997</v>
      </c>
      <c r="M42">
        <f t="shared" ca="1" si="5"/>
        <v>127.79999999999997</v>
      </c>
      <c r="N42">
        <f t="shared" ca="1" si="5"/>
        <v>29.000000000000004</v>
      </c>
      <c r="O42">
        <f t="shared" ca="1" si="5"/>
        <v>1</v>
      </c>
      <c r="P42">
        <f t="shared" ca="1" si="5"/>
        <v>0</v>
      </c>
      <c r="Q42">
        <f t="shared" ca="1" si="5"/>
        <v>0</v>
      </c>
      <c r="S42">
        <v>279.89999999999992</v>
      </c>
      <c r="T42">
        <v>0</v>
      </c>
    </row>
    <row r="43" spans="1:20" x14ac:dyDescent="0.2">
      <c r="A43" s="3">
        <v>35582</v>
      </c>
      <c r="B43" s="18">
        <v>23.2</v>
      </c>
      <c r="C43" s="18">
        <v>41.3</v>
      </c>
      <c r="E43">
        <v>2004</v>
      </c>
      <c r="F43">
        <f t="shared" ref="F43:Q52" ca="1" si="6">OFFSET($T$2,(ROW()-33)*12+COLUMN()-6,0)</f>
        <v>0</v>
      </c>
      <c r="G43">
        <f t="shared" ca="1" si="6"/>
        <v>0</v>
      </c>
      <c r="H43">
        <f t="shared" ca="1" si="6"/>
        <v>0</v>
      </c>
      <c r="I43">
        <f t="shared" ca="1" si="6"/>
        <v>0.8</v>
      </c>
      <c r="J43">
        <f t="shared" ca="1" si="6"/>
        <v>17.100000000000001</v>
      </c>
      <c r="K43">
        <f t="shared" ca="1" si="6"/>
        <v>41.999999999999986</v>
      </c>
      <c r="L43">
        <f t="shared" ca="1" si="6"/>
        <v>93.09999999999998</v>
      </c>
      <c r="M43">
        <f t="shared" ca="1" si="6"/>
        <v>61.599999999999994</v>
      </c>
      <c r="N43">
        <f t="shared" ca="1" si="6"/>
        <v>46.699999999999996</v>
      </c>
      <c r="O43">
        <f t="shared" ca="1" si="6"/>
        <v>0.3</v>
      </c>
      <c r="P43">
        <f t="shared" ca="1" si="6"/>
        <v>0</v>
      </c>
      <c r="Q43">
        <f t="shared" ca="1" si="6"/>
        <v>0</v>
      </c>
      <c r="S43">
        <v>35.299999999999997</v>
      </c>
      <c r="T43">
        <v>37.400000000000006</v>
      </c>
    </row>
    <row r="44" spans="1:20" x14ac:dyDescent="0.2">
      <c r="A44" s="3">
        <v>35612</v>
      </c>
      <c r="B44" s="18">
        <v>20.2</v>
      </c>
      <c r="C44" s="18">
        <v>75.999999999999986</v>
      </c>
      <c r="E44">
        <v>2005</v>
      </c>
      <c r="F44">
        <f t="shared" ca="1" si="6"/>
        <v>0</v>
      </c>
      <c r="G44">
        <f t="shared" ca="1" si="6"/>
        <v>0</v>
      </c>
      <c r="H44">
        <f t="shared" ca="1" si="6"/>
        <v>0</v>
      </c>
      <c r="I44">
        <f t="shared" ca="1" si="6"/>
        <v>0</v>
      </c>
      <c r="J44">
        <f t="shared" ca="1" si="6"/>
        <v>0</v>
      </c>
      <c r="K44">
        <f t="shared" ca="1" si="6"/>
        <v>141.19999999999999</v>
      </c>
      <c r="L44">
        <f t="shared" ca="1" si="6"/>
        <v>190.70000000000005</v>
      </c>
      <c r="M44">
        <f t="shared" ca="1" si="6"/>
        <v>144.1</v>
      </c>
      <c r="N44">
        <f t="shared" ca="1" si="6"/>
        <v>49.79999999999999</v>
      </c>
      <c r="O44">
        <f t="shared" ca="1" si="6"/>
        <v>8.6999999999999993</v>
      </c>
      <c r="P44">
        <f t="shared" ca="1" si="6"/>
        <v>0</v>
      </c>
      <c r="Q44">
        <f t="shared" ca="1" si="6"/>
        <v>0</v>
      </c>
      <c r="S44">
        <v>16.299999999999997</v>
      </c>
      <c r="T44">
        <v>71.3</v>
      </c>
    </row>
    <row r="45" spans="1:20" x14ac:dyDescent="0.2">
      <c r="A45" s="3">
        <v>35643</v>
      </c>
      <c r="B45" s="18">
        <v>31.099999999999998</v>
      </c>
      <c r="C45" s="18">
        <v>35.5</v>
      </c>
      <c r="E45">
        <v>2006</v>
      </c>
      <c r="F45">
        <f t="shared" ca="1" si="6"/>
        <v>0</v>
      </c>
      <c r="G45">
        <f t="shared" ca="1" si="6"/>
        <v>0</v>
      </c>
      <c r="H45">
        <f t="shared" ca="1" si="6"/>
        <v>0</v>
      </c>
      <c r="I45">
        <f t="shared" ca="1" si="6"/>
        <v>0</v>
      </c>
      <c r="J45">
        <f t="shared" ca="1" si="6"/>
        <v>24.3</v>
      </c>
      <c r="K45">
        <f t="shared" ca="1" si="6"/>
        <v>69.899999999999977</v>
      </c>
      <c r="L45">
        <f t="shared" ca="1" si="6"/>
        <v>161.4</v>
      </c>
      <c r="M45">
        <f t="shared" ca="1" si="6"/>
        <v>100.1</v>
      </c>
      <c r="N45">
        <f t="shared" ca="1" si="6"/>
        <v>17.2</v>
      </c>
      <c r="O45">
        <f t="shared" ca="1" si="6"/>
        <v>0</v>
      </c>
      <c r="P45">
        <f t="shared" ca="1" si="6"/>
        <v>0</v>
      </c>
      <c r="Q45">
        <f t="shared" ca="1" si="6"/>
        <v>0</v>
      </c>
      <c r="S45">
        <v>21.2</v>
      </c>
      <c r="T45">
        <v>37.999999999999986</v>
      </c>
    </row>
    <row r="46" spans="1:20" x14ac:dyDescent="0.2">
      <c r="A46" s="3">
        <v>35674</v>
      </c>
      <c r="B46" s="18">
        <v>130.90000000000003</v>
      </c>
      <c r="C46" s="18">
        <v>1.8</v>
      </c>
      <c r="E46">
        <v>2007</v>
      </c>
      <c r="F46">
        <f t="shared" ca="1" si="6"/>
        <v>0</v>
      </c>
      <c r="G46">
        <f t="shared" ca="1" si="6"/>
        <v>0</v>
      </c>
      <c r="H46">
        <f t="shared" ca="1" si="6"/>
        <v>0</v>
      </c>
      <c r="I46">
        <f t="shared" ca="1" si="6"/>
        <v>0</v>
      </c>
      <c r="J46">
        <f t="shared" ca="1" si="6"/>
        <v>14.3</v>
      </c>
      <c r="K46">
        <f t="shared" ca="1" si="6"/>
        <v>260.60000000000014</v>
      </c>
      <c r="L46">
        <f t="shared" ca="1" si="6"/>
        <v>95.899999999999991</v>
      </c>
      <c r="M46">
        <f t="shared" ca="1" si="6"/>
        <v>152.50000000000003</v>
      </c>
      <c r="N46">
        <f t="shared" ca="1" si="6"/>
        <v>59.799999999999983</v>
      </c>
      <c r="O46">
        <f t="shared" ca="1" si="6"/>
        <v>25.800000000000004</v>
      </c>
      <c r="P46">
        <f t="shared" ca="1" si="6"/>
        <v>0</v>
      </c>
      <c r="Q46">
        <f t="shared" ca="1" si="6"/>
        <v>0</v>
      </c>
      <c r="S46">
        <v>103.4</v>
      </c>
      <c r="T46">
        <v>7.1999999999999993</v>
      </c>
    </row>
    <row r="47" spans="1:20" x14ac:dyDescent="0.2">
      <c r="A47" s="3">
        <v>35704</v>
      </c>
      <c r="B47" s="18">
        <v>324.49999999999994</v>
      </c>
      <c r="C47" s="18">
        <v>0</v>
      </c>
      <c r="E47">
        <v>2008</v>
      </c>
      <c r="F47">
        <f t="shared" ca="1" si="6"/>
        <v>0</v>
      </c>
      <c r="G47">
        <f t="shared" ca="1" si="6"/>
        <v>0</v>
      </c>
      <c r="H47">
        <f t="shared" ca="1" si="6"/>
        <v>0</v>
      </c>
      <c r="I47">
        <f t="shared" ca="1" si="6"/>
        <v>0</v>
      </c>
      <c r="J47">
        <f t="shared" ca="1" si="6"/>
        <v>0</v>
      </c>
      <c r="K47">
        <f t="shared" ca="1" si="6"/>
        <v>61.499999999999986</v>
      </c>
      <c r="L47">
        <f t="shared" ca="1" si="6"/>
        <v>90.299999999999983</v>
      </c>
      <c r="M47">
        <f t="shared" ca="1" si="6"/>
        <v>42.4</v>
      </c>
      <c r="N47">
        <f t="shared" ca="1" si="6"/>
        <v>25.500000000000004</v>
      </c>
      <c r="O47">
        <f t="shared" ca="1" si="6"/>
        <v>0</v>
      </c>
      <c r="P47">
        <f t="shared" ca="1" si="6"/>
        <v>0</v>
      </c>
      <c r="Q47">
        <f t="shared" ca="1" si="6"/>
        <v>0</v>
      </c>
      <c r="S47">
        <v>272.59999999999997</v>
      </c>
      <c r="T47">
        <v>0.5</v>
      </c>
    </row>
    <row r="48" spans="1:20" x14ac:dyDescent="0.2">
      <c r="A48" s="3">
        <v>35735</v>
      </c>
      <c r="B48" s="18">
        <v>523.29999999999995</v>
      </c>
      <c r="C48" s="18">
        <v>0</v>
      </c>
      <c r="E48">
        <v>2009</v>
      </c>
      <c r="F48">
        <f t="shared" ca="1" si="6"/>
        <v>0</v>
      </c>
      <c r="G48">
        <f t="shared" ca="1" si="6"/>
        <v>0</v>
      </c>
      <c r="H48">
        <f t="shared" ca="1" si="6"/>
        <v>0</v>
      </c>
      <c r="I48">
        <f t="shared" ca="1" si="6"/>
        <v>2</v>
      </c>
      <c r="J48">
        <f t="shared" ca="1" si="6"/>
        <v>1.8</v>
      </c>
      <c r="K48">
        <f t="shared" ca="1" si="6"/>
        <v>29.999999999999996</v>
      </c>
      <c r="L48">
        <f t="shared" ca="1" si="6"/>
        <v>33.1</v>
      </c>
      <c r="M48">
        <f t="shared" ca="1" si="6"/>
        <v>74.199999999999974</v>
      </c>
      <c r="N48">
        <f t="shared" ca="1" si="6"/>
        <v>12</v>
      </c>
      <c r="O48">
        <f t="shared" ca="1" si="6"/>
        <v>0</v>
      </c>
      <c r="P48">
        <f t="shared" ca="1" si="6"/>
        <v>0</v>
      </c>
      <c r="Q48">
        <f t="shared" ca="1" si="6"/>
        <v>0</v>
      </c>
      <c r="S48">
        <v>478.70000000000005</v>
      </c>
      <c r="T48">
        <v>0</v>
      </c>
    </row>
    <row r="49" spans="1:20" x14ac:dyDescent="0.2">
      <c r="A49" s="3">
        <v>35765</v>
      </c>
      <c r="B49" s="18">
        <v>678.69999999999993</v>
      </c>
      <c r="C49" s="18">
        <v>0</v>
      </c>
      <c r="E49">
        <v>2010</v>
      </c>
      <c r="F49">
        <f t="shared" ca="1" si="6"/>
        <v>0</v>
      </c>
      <c r="G49">
        <f t="shared" ca="1" si="6"/>
        <v>0</v>
      </c>
      <c r="H49">
        <f t="shared" ca="1" si="6"/>
        <v>0</v>
      </c>
      <c r="I49">
        <f t="shared" ca="1" si="6"/>
        <v>0</v>
      </c>
      <c r="J49">
        <f t="shared" ca="1" si="6"/>
        <v>27.5</v>
      </c>
      <c r="K49">
        <f t="shared" ca="1" si="6"/>
        <v>55.100000000000009</v>
      </c>
      <c r="L49">
        <f t="shared" ca="1" si="6"/>
        <v>123.99999999999999</v>
      </c>
      <c r="M49">
        <f t="shared" ca="1" si="6"/>
        <v>103.40000000000003</v>
      </c>
      <c r="N49">
        <f t="shared" ca="1" si="6"/>
        <v>32.300000000000004</v>
      </c>
      <c r="O49">
        <f t="shared" ca="1" si="6"/>
        <v>0.1</v>
      </c>
      <c r="P49">
        <f t="shared" ca="1" si="6"/>
        <v>0</v>
      </c>
      <c r="Q49">
        <f t="shared" ca="1" si="6"/>
        <v>0</v>
      </c>
      <c r="S49">
        <v>571.5</v>
      </c>
      <c r="T49">
        <v>0</v>
      </c>
    </row>
    <row r="50" spans="1:20" x14ac:dyDescent="0.2">
      <c r="A50" s="3">
        <v>35796</v>
      </c>
      <c r="B50" s="18">
        <v>768.89999999999986</v>
      </c>
      <c r="C50" s="18">
        <v>0</v>
      </c>
      <c r="E50">
        <v>2011</v>
      </c>
      <c r="F50">
        <f t="shared" ca="1" si="6"/>
        <v>0</v>
      </c>
      <c r="G50">
        <f t="shared" ca="1" si="6"/>
        <v>0</v>
      </c>
      <c r="H50">
        <f t="shared" ca="1" si="6"/>
        <v>0</v>
      </c>
      <c r="I50">
        <f t="shared" ca="1" si="6"/>
        <v>0.4</v>
      </c>
      <c r="J50">
        <f t="shared" ca="1" si="6"/>
        <v>12.5</v>
      </c>
      <c r="K50">
        <f t="shared" ca="1" si="6"/>
        <v>40.200000000000003</v>
      </c>
      <c r="L50">
        <f t="shared" ca="1" si="6"/>
        <v>158.6</v>
      </c>
      <c r="M50">
        <f t="shared" ca="1" si="6"/>
        <v>88.8</v>
      </c>
      <c r="N50">
        <f t="shared" ca="1" si="6"/>
        <v>35.199999999999996</v>
      </c>
      <c r="O50">
        <f t="shared" ca="1" si="6"/>
        <v>0</v>
      </c>
      <c r="P50">
        <f t="shared" ca="1" si="6"/>
        <v>0</v>
      </c>
      <c r="Q50">
        <f t="shared" ca="1" si="6"/>
        <v>0</v>
      </c>
      <c r="S50">
        <v>576.60000000000014</v>
      </c>
      <c r="T50">
        <v>0</v>
      </c>
    </row>
    <row r="51" spans="1:20" x14ac:dyDescent="0.2">
      <c r="A51" s="3">
        <v>35827</v>
      </c>
      <c r="B51" s="18">
        <v>590.80000000000007</v>
      </c>
      <c r="C51" s="18">
        <v>0</v>
      </c>
      <c r="E51">
        <v>2012</v>
      </c>
      <c r="F51">
        <f t="shared" ca="1" si="6"/>
        <v>0</v>
      </c>
      <c r="G51">
        <f t="shared" ca="1" si="6"/>
        <v>0</v>
      </c>
      <c r="H51">
        <f t="shared" ca="1" si="6"/>
        <v>0</v>
      </c>
      <c r="I51">
        <f t="shared" ca="1" si="6"/>
        <v>0</v>
      </c>
      <c r="J51">
        <f t="shared" ca="1" si="6"/>
        <v>28.9</v>
      </c>
      <c r="K51">
        <f t="shared" ca="1" si="6"/>
        <v>64.099999999999994</v>
      </c>
      <c r="L51">
        <f t="shared" ca="1" si="6"/>
        <v>152.5</v>
      </c>
      <c r="M51">
        <f t="shared" ca="1" si="6"/>
        <v>76.600000000000009</v>
      </c>
      <c r="N51">
        <f t="shared" ca="1" si="6"/>
        <v>28.900000000000002</v>
      </c>
      <c r="O51">
        <f t="shared" ca="1" si="6"/>
        <v>0.8</v>
      </c>
      <c r="P51">
        <f t="shared" ca="1" si="6"/>
        <v>0</v>
      </c>
      <c r="Q51">
        <f t="shared" ca="1" si="6"/>
        <v>0</v>
      </c>
      <c r="S51">
        <v>469.6</v>
      </c>
      <c r="T51">
        <v>0</v>
      </c>
    </row>
    <row r="52" spans="1:20" x14ac:dyDescent="0.2">
      <c r="A52" s="3">
        <v>35855</v>
      </c>
      <c r="B52" s="18">
        <v>565.70000000000016</v>
      </c>
      <c r="C52" s="18">
        <v>0</v>
      </c>
      <c r="E52">
        <v>2013</v>
      </c>
      <c r="F52">
        <f t="shared" ca="1" si="6"/>
        <v>0</v>
      </c>
      <c r="G52">
        <f t="shared" ca="1" si="6"/>
        <v>0</v>
      </c>
      <c r="H52">
        <f t="shared" ca="1" si="6"/>
        <v>0</v>
      </c>
      <c r="I52">
        <f t="shared" ca="1" si="6"/>
        <v>0</v>
      </c>
      <c r="J52">
        <f t="shared" ca="1" si="6"/>
        <v>24.200000000000003</v>
      </c>
      <c r="K52">
        <f t="shared" ca="1" si="6"/>
        <v>48.5</v>
      </c>
      <c r="L52">
        <f t="shared" ca="1" si="6"/>
        <v>117.00000000000001</v>
      </c>
      <c r="M52">
        <f t="shared" ca="1" si="6"/>
        <v>56.7</v>
      </c>
      <c r="N52">
        <f t="shared" ca="1" si="6"/>
        <v>22.9</v>
      </c>
      <c r="O52">
        <f t="shared" ca="1" si="6"/>
        <v>4.1999999999999993</v>
      </c>
      <c r="P52">
        <f t="shared" ca="1" si="6"/>
        <v>0</v>
      </c>
      <c r="Q52">
        <f t="shared" ca="1" si="6"/>
        <v>0</v>
      </c>
      <c r="S52">
        <v>462.6</v>
      </c>
      <c r="T52">
        <v>0.8</v>
      </c>
    </row>
    <row r="53" spans="1:20" x14ac:dyDescent="0.2">
      <c r="A53" s="3">
        <v>35886</v>
      </c>
      <c r="B53" s="18">
        <v>316.2999999999999</v>
      </c>
      <c r="C53" s="18">
        <v>0</v>
      </c>
      <c r="E53">
        <v>2014</v>
      </c>
      <c r="F53">
        <f t="shared" ref="F53:H54" ca="1" si="7">MAX(TREND(F$33:F$52,$E$33:$E$52,$E53),0)</f>
        <v>0</v>
      </c>
      <c r="G53">
        <f t="shared" ca="1" si="7"/>
        <v>0</v>
      </c>
      <c r="H53">
        <f t="shared" ca="1" si="7"/>
        <v>0</v>
      </c>
      <c r="I53">
        <f t="shared" ref="I53:Q54" ca="1" si="8">OFFSET($T$2,(ROW()-33)*12+COLUMN()-6,0)</f>
        <v>0</v>
      </c>
      <c r="J53">
        <f t="shared" ca="1" si="8"/>
        <v>7.3</v>
      </c>
      <c r="K53">
        <f t="shared" ca="1" si="8"/>
        <v>71.599999999999994</v>
      </c>
      <c r="L53">
        <f t="shared" ca="1" si="8"/>
        <v>51</v>
      </c>
      <c r="M53">
        <f t="shared" ca="1" si="8"/>
        <v>56.999999999999993</v>
      </c>
      <c r="N53">
        <f t="shared" ca="1" si="8"/>
        <v>27.500000000000004</v>
      </c>
      <c r="O53">
        <f t="shared" ca="1" si="8"/>
        <v>4.5</v>
      </c>
      <c r="P53">
        <f t="shared" ca="1" si="8"/>
        <v>0</v>
      </c>
      <c r="Q53">
        <f t="shared" ca="1" si="8"/>
        <v>0</v>
      </c>
      <c r="S53">
        <v>272.59999999999991</v>
      </c>
      <c r="T53">
        <v>0</v>
      </c>
    </row>
    <row r="54" spans="1:20" x14ac:dyDescent="0.2">
      <c r="A54" s="3">
        <v>35916</v>
      </c>
      <c r="B54" s="18">
        <v>77.600000000000023</v>
      </c>
      <c r="C54" s="18">
        <v>10.399999999999999</v>
      </c>
      <c r="E54">
        <v>2015</v>
      </c>
      <c r="F54">
        <f t="shared" ca="1" si="7"/>
        <v>0</v>
      </c>
      <c r="G54">
        <f t="shared" ca="1" si="7"/>
        <v>0</v>
      </c>
      <c r="H54">
        <f t="shared" ca="1" si="7"/>
        <v>0</v>
      </c>
      <c r="I54">
        <f t="shared" ca="1" si="8"/>
        <v>0</v>
      </c>
      <c r="J54">
        <f t="shared" ca="1" si="8"/>
        <v>34.200000000000003</v>
      </c>
      <c r="K54">
        <f t="shared" ca="1" si="8"/>
        <v>28.599999999999998</v>
      </c>
      <c r="L54">
        <f t="shared" ca="1" si="8"/>
        <v>79.100000000000009</v>
      </c>
      <c r="M54">
        <f t="shared" ca="1" si="8"/>
        <v>59</v>
      </c>
      <c r="N54">
        <f t="shared" ca="1" si="8"/>
        <v>54.4</v>
      </c>
      <c r="O54">
        <f t="shared" ca="1" si="8"/>
        <v>0.9</v>
      </c>
      <c r="P54">
        <f t="shared" ca="1" si="8"/>
        <v>0</v>
      </c>
      <c r="Q54">
        <f t="shared" ca="1" si="8"/>
        <v>0</v>
      </c>
      <c r="S54">
        <v>51.3</v>
      </c>
      <c r="T54">
        <v>27.900000000000002</v>
      </c>
    </row>
    <row r="55" spans="1:20" x14ac:dyDescent="0.2">
      <c r="A55" s="3">
        <v>35947</v>
      </c>
      <c r="B55" s="18">
        <v>63.600000000000009</v>
      </c>
      <c r="C55" s="18">
        <v>53.199999999999996</v>
      </c>
      <c r="E55">
        <v>2016</v>
      </c>
      <c r="F55">
        <f ca="1">MAX(TREND(F$35:F$54,$E$35:$E$54,$E55),0)</f>
        <v>0</v>
      </c>
      <c r="G55">
        <f t="shared" ref="G55:Q56" ca="1" si="9">MAX(TREND(G$35:G$54,$E$35:$E$54,$E55),0)</f>
        <v>0</v>
      </c>
      <c r="H55">
        <f t="shared" ca="1" si="9"/>
        <v>0</v>
      </c>
      <c r="I55">
        <f t="shared" ca="1" si="9"/>
        <v>0.2215789473684282</v>
      </c>
      <c r="J55">
        <f t="shared" ca="1" si="9"/>
        <v>20.554736842105285</v>
      </c>
      <c r="K55">
        <f t="shared" ca="1" si="9"/>
        <v>64.838421052631475</v>
      </c>
      <c r="L55">
        <f t="shared" ca="1" si="9"/>
        <v>108.97263157894736</v>
      </c>
      <c r="M55">
        <f t="shared" ca="1" si="9"/>
        <v>74.155789473684308</v>
      </c>
      <c r="N55">
        <f t="shared" ca="1" si="9"/>
        <v>33.506315789473661</v>
      </c>
      <c r="O55">
        <f t="shared" ca="1" si="9"/>
        <v>3.7384210526315798</v>
      </c>
      <c r="P55">
        <f t="shared" ca="1" si="9"/>
        <v>0</v>
      </c>
      <c r="Q55">
        <f t="shared" ca="1" si="9"/>
        <v>0</v>
      </c>
      <c r="S55">
        <v>57.7</v>
      </c>
      <c r="T55">
        <v>85.6</v>
      </c>
    </row>
    <row r="56" spans="1:20" x14ac:dyDescent="0.2">
      <c r="A56" s="3">
        <v>35977</v>
      </c>
      <c r="B56" s="18">
        <v>13.499999999999998</v>
      </c>
      <c r="C56" s="18">
        <v>55.999999999999986</v>
      </c>
      <c r="E56">
        <v>2017</v>
      </c>
      <c r="F56">
        <f ca="1">MAX(TREND(F$35:F$54,$E$35:$E$54,$E56),0)</f>
        <v>0</v>
      </c>
      <c r="G56">
        <f t="shared" ca="1" si="9"/>
        <v>0</v>
      </c>
      <c r="H56">
        <f t="shared" ca="1" si="9"/>
        <v>0</v>
      </c>
      <c r="I56">
        <f t="shared" ca="1" si="9"/>
        <v>0.19458646616541841</v>
      </c>
      <c r="J56">
        <f t="shared" ca="1" si="9"/>
        <v>21.235187969924937</v>
      </c>
      <c r="K56">
        <f t="shared" ca="1" si="9"/>
        <v>64.228270676691409</v>
      </c>
      <c r="L56">
        <f t="shared" ca="1" si="9"/>
        <v>108.82383458646615</v>
      </c>
      <c r="M56">
        <f t="shared" ca="1" si="9"/>
        <v>72.495864661654196</v>
      </c>
      <c r="N56">
        <f t="shared" ca="1" si="9"/>
        <v>33.251203007518711</v>
      </c>
      <c r="O56">
        <f t="shared" ca="1" si="9"/>
        <v>3.7854135338345856</v>
      </c>
      <c r="P56">
        <f t="shared" ca="1" si="9"/>
        <v>0</v>
      </c>
      <c r="Q56">
        <f t="shared" ca="1" si="9"/>
        <v>0</v>
      </c>
      <c r="S56">
        <v>0.2</v>
      </c>
      <c r="T56">
        <v>102.19999999999999</v>
      </c>
    </row>
    <row r="57" spans="1:20" x14ac:dyDescent="0.2">
      <c r="A57" s="3">
        <v>36008</v>
      </c>
      <c r="B57" s="18">
        <v>15.100000000000001</v>
      </c>
      <c r="C57" s="18">
        <v>59.899999999999991</v>
      </c>
      <c r="S57">
        <v>4</v>
      </c>
      <c r="T57">
        <v>136.6</v>
      </c>
    </row>
    <row r="58" spans="1:20" x14ac:dyDescent="0.2">
      <c r="A58" s="3">
        <v>36039</v>
      </c>
      <c r="B58" s="18">
        <v>83.500000000000014</v>
      </c>
      <c r="C58" s="18">
        <v>11.8</v>
      </c>
      <c r="S58">
        <v>36.9</v>
      </c>
      <c r="T58">
        <v>53.8</v>
      </c>
    </row>
    <row r="59" spans="1:20" x14ac:dyDescent="0.2">
      <c r="A59" s="3">
        <v>36069</v>
      </c>
      <c r="B59" s="18">
        <v>260.59999999999991</v>
      </c>
      <c r="C59" s="18">
        <v>0</v>
      </c>
      <c r="S59">
        <v>196.4</v>
      </c>
      <c r="T59">
        <v>2</v>
      </c>
    </row>
    <row r="60" spans="1:20" x14ac:dyDescent="0.2">
      <c r="A60" s="3">
        <v>36100</v>
      </c>
      <c r="B60" s="18">
        <v>442.09999999999997</v>
      </c>
      <c r="C60" s="18">
        <v>0</v>
      </c>
      <c r="E60" s="40" t="s">
        <v>131</v>
      </c>
      <c r="F60">
        <f ca="1">AVERAGE(F45:F54)</f>
        <v>0</v>
      </c>
      <c r="G60">
        <f t="shared" ref="G60:Q60" ca="1" si="10">AVERAGE(G45:G54)</f>
        <v>0</v>
      </c>
      <c r="H60">
        <f t="shared" ca="1" si="10"/>
        <v>0</v>
      </c>
      <c r="I60">
        <f t="shared" ca="1" si="10"/>
        <v>0.24</v>
      </c>
      <c r="J60">
        <f t="shared" ca="1" si="10"/>
        <v>17.5</v>
      </c>
      <c r="K60">
        <f t="shared" ca="1" si="10"/>
        <v>73.010000000000019</v>
      </c>
      <c r="L60">
        <f t="shared" ca="1" si="10"/>
        <v>106.29</v>
      </c>
      <c r="M60">
        <f t="shared" ca="1" si="10"/>
        <v>81.070000000000007</v>
      </c>
      <c r="N60">
        <f t="shared" ca="1" si="10"/>
        <v>31.57</v>
      </c>
      <c r="O60">
        <f t="shared" ca="1" si="10"/>
        <v>3.6300000000000003</v>
      </c>
      <c r="P60">
        <f t="shared" ca="1" si="10"/>
        <v>0</v>
      </c>
      <c r="Q60">
        <f t="shared" ca="1" si="10"/>
        <v>0</v>
      </c>
      <c r="S60">
        <v>363.29999999999995</v>
      </c>
      <c r="T60">
        <v>0</v>
      </c>
    </row>
    <row r="61" spans="1:20" x14ac:dyDescent="0.2">
      <c r="A61" s="3">
        <v>36130</v>
      </c>
      <c r="B61" s="18">
        <v>584.20000000000005</v>
      </c>
      <c r="C61" s="18">
        <v>0</v>
      </c>
      <c r="E61" s="40" t="s">
        <v>132</v>
      </c>
      <c r="F61">
        <f ca="1">AVERAGE(F35:F54)</f>
        <v>0</v>
      </c>
      <c r="G61">
        <f t="shared" ref="G61:Q61" ca="1" si="11">AVERAGE(G35:G54)</f>
        <v>0</v>
      </c>
      <c r="H61">
        <f t="shared" ca="1" si="11"/>
        <v>0.04</v>
      </c>
      <c r="I61">
        <f t="shared" ca="1" si="11"/>
        <v>0.505</v>
      </c>
      <c r="J61">
        <f t="shared" ca="1" si="11"/>
        <v>13.41</v>
      </c>
      <c r="K61">
        <f t="shared" ca="1" si="11"/>
        <v>71.24499999999999</v>
      </c>
      <c r="L61">
        <f t="shared" ca="1" si="11"/>
        <v>110.53500000000001</v>
      </c>
      <c r="M61">
        <f t="shared" ca="1" si="11"/>
        <v>91.584999999999994</v>
      </c>
      <c r="N61">
        <f t="shared" ca="1" si="11"/>
        <v>36.184999999999995</v>
      </c>
      <c r="O61">
        <f t="shared" ca="1" si="11"/>
        <v>3.2450000000000001</v>
      </c>
      <c r="P61">
        <f t="shared" ca="1" si="11"/>
        <v>0</v>
      </c>
      <c r="Q61">
        <f t="shared" ca="1" si="11"/>
        <v>0</v>
      </c>
      <c r="S61">
        <v>502.2</v>
      </c>
      <c r="T61">
        <v>0</v>
      </c>
    </row>
    <row r="62" spans="1:20" x14ac:dyDescent="0.2">
      <c r="A62" s="3">
        <v>36161</v>
      </c>
      <c r="B62" s="18">
        <v>826.09999999999991</v>
      </c>
      <c r="C62" s="18">
        <v>0</v>
      </c>
      <c r="S62">
        <v>688.90000000000009</v>
      </c>
      <c r="T62">
        <v>0</v>
      </c>
    </row>
    <row r="63" spans="1:20" x14ac:dyDescent="0.2">
      <c r="A63" s="3">
        <v>36192</v>
      </c>
      <c r="B63" s="18">
        <v>603</v>
      </c>
      <c r="C63" s="18">
        <v>0</v>
      </c>
      <c r="S63">
        <v>512.9</v>
      </c>
      <c r="T63">
        <v>0</v>
      </c>
    </row>
    <row r="64" spans="1:20" ht="15" x14ac:dyDescent="0.25">
      <c r="A64" s="3">
        <v>36220</v>
      </c>
      <c r="B64" s="18">
        <v>624.5</v>
      </c>
      <c r="C64" s="18">
        <v>0</v>
      </c>
      <c r="E64" s="96" t="s">
        <v>133</v>
      </c>
      <c r="J64" s="96" t="s">
        <v>134</v>
      </c>
      <c r="S64">
        <v>547.6</v>
      </c>
      <c r="T64">
        <v>0</v>
      </c>
    </row>
    <row r="65" spans="1:20" x14ac:dyDescent="0.2">
      <c r="A65" s="3">
        <v>36251</v>
      </c>
      <c r="B65" s="18">
        <v>327.79999999999995</v>
      </c>
      <c r="C65" s="18">
        <v>0</v>
      </c>
      <c r="G65" s="94" t="s">
        <v>17</v>
      </c>
      <c r="H65" s="94" t="s">
        <v>18</v>
      </c>
      <c r="L65" t="s">
        <v>17</v>
      </c>
      <c r="M65" t="s">
        <v>18</v>
      </c>
      <c r="S65">
        <v>283.99999999999994</v>
      </c>
      <c r="T65">
        <v>0</v>
      </c>
    </row>
    <row r="66" spans="1:20" x14ac:dyDescent="0.2">
      <c r="A66" s="3">
        <v>36281</v>
      </c>
      <c r="B66" s="18">
        <v>99.800000000000011</v>
      </c>
      <c r="C66" s="18">
        <v>10.199999999999999</v>
      </c>
      <c r="E66" t="s">
        <v>135</v>
      </c>
      <c r="F66" t="s">
        <v>79</v>
      </c>
      <c r="G66">
        <f t="shared" ref="G66:G77" ca="1" si="12">OFFSET($F$29,0,(ROW()-ROW(G$66)))</f>
        <v>685.8599999999999</v>
      </c>
      <c r="H66">
        <f t="shared" ref="H66:H77" ca="1" si="13">OFFSET($F$60,0,(ROW()-ROW(H$66)))</f>
        <v>0</v>
      </c>
      <c r="J66" t="s">
        <v>135</v>
      </c>
      <c r="K66" t="s">
        <v>79</v>
      </c>
      <c r="L66" s="97">
        <f ca="1">OFFSET($F$24,0,(ROW()-ROW(L$66)))</f>
        <v>713.63684210526344</v>
      </c>
      <c r="M66" s="97">
        <f ca="1">OFFSET($F$55,0,(ROW()-ROW(M$66)))</f>
        <v>0</v>
      </c>
      <c r="S66">
        <v>87.4</v>
      </c>
      <c r="T66">
        <v>16.600000000000001</v>
      </c>
    </row>
    <row r="67" spans="1:20" x14ac:dyDescent="0.2">
      <c r="A67" s="3">
        <v>36312</v>
      </c>
      <c r="B67" s="18">
        <v>30.099999999999998</v>
      </c>
      <c r="C67" s="18">
        <v>73.099999999999994</v>
      </c>
      <c r="E67" t="s">
        <v>135</v>
      </c>
      <c r="F67" t="s">
        <v>80</v>
      </c>
      <c r="G67">
        <f t="shared" ca="1" si="12"/>
        <v>660.08</v>
      </c>
      <c r="H67">
        <f t="shared" ca="1" si="13"/>
        <v>0</v>
      </c>
      <c r="J67" t="s">
        <v>135</v>
      </c>
      <c r="K67" t="s">
        <v>80</v>
      </c>
      <c r="L67" s="97">
        <f t="shared" ref="L67:L77" ca="1" si="14">OFFSET($F$24,0,(ROW()-ROW(L$66)))</f>
        <v>710.54736842105194</v>
      </c>
      <c r="M67" s="97">
        <f t="shared" ref="M67:M77" ca="1" si="15">OFFSET($F$55,0,(ROW()-ROW(M$66)))</f>
        <v>0</v>
      </c>
      <c r="S67">
        <v>25.599999999999998</v>
      </c>
      <c r="T67">
        <v>99.8</v>
      </c>
    </row>
    <row r="68" spans="1:20" x14ac:dyDescent="0.2">
      <c r="A68" s="3">
        <v>36342</v>
      </c>
      <c r="B68" s="18">
        <v>3.9</v>
      </c>
      <c r="C68" s="18">
        <v>133.09999999999997</v>
      </c>
      <c r="E68" t="s">
        <v>135</v>
      </c>
      <c r="F68" t="s">
        <v>81</v>
      </c>
      <c r="G68">
        <f t="shared" ca="1" si="12"/>
        <v>543.44000000000005</v>
      </c>
      <c r="H68">
        <f t="shared" ca="1" si="13"/>
        <v>0</v>
      </c>
      <c r="J68" t="s">
        <v>135</v>
      </c>
      <c r="K68" t="s">
        <v>81</v>
      </c>
      <c r="L68" s="97">
        <f t="shared" ca="1" si="14"/>
        <v>553.68736842105272</v>
      </c>
      <c r="M68" s="97">
        <f t="shared" ca="1" si="15"/>
        <v>0</v>
      </c>
      <c r="S68">
        <v>1.2</v>
      </c>
      <c r="T68">
        <v>178.10000000000002</v>
      </c>
    </row>
    <row r="69" spans="1:20" x14ac:dyDescent="0.2">
      <c r="A69" s="3">
        <v>36373</v>
      </c>
      <c r="B69" s="18">
        <v>29.099999999999998</v>
      </c>
      <c r="C69" s="18">
        <v>44.9</v>
      </c>
      <c r="E69" t="s">
        <v>135</v>
      </c>
      <c r="F69" t="s">
        <v>82</v>
      </c>
      <c r="G69">
        <f t="shared" ca="1" si="12"/>
        <v>313.53000000000003</v>
      </c>
      <c r="H69">
        <f t="shared" ca="1" si="13"/>
        <v>0.24</v>
      </c>
      <c r="J69" t="s">
        <v>135</v>
      </c>
      <c r="K69" t="s">
        <v>82</v>
      </c>
      <c r="L69" s="97">
        <f t="shared" ca="1" si="14"/>
        <v>310.17684210526318</v>
      </c>
      <c r="M69" s="97">
        <f t="shared" ca="1" si="15"/>
        <v>0.2215789473684282</v>
      </c>
      <c r="S69">
        <v>11.5</v>
      </c>
      <c r="T69">
        <v>63.699999999999989</v>
      </c>
    </row>
    <row r="70" spans="1:20" x14ac:dyDescent="0.2">
      <c r="A70" s="3">
        <v>36404</v>
      </c>
      <c r="B70" s="18">
        <v>66.800000000000011</v>
      </c>
      <c r="C70" s="18">
        <v>49.999999999999993</v>
      </c>
      <c r="E70" t="s">
        <v>135</v>
      </c>
      <c r="F70" t="s">
        <v>83</v>
      </c>
      <c r="G70">
        <f t="shared" ca="1" si="12"/>
        <v>134.15000000000003</v>
      </c>
      <c r="H70">
        <f t="shared" ca="1" si="13"/>
        <v>17.5</v>
      </c>
      <c r="J70" t="s">
        <v>135</v>
      </c>
      <c r="K70" t="s">
        <v>83</v>
      </c>
      <c r="L70" s="97">
        <f t="shared" ca="1" si="14"/>
        <v>120.12789473684279</v>
      </c>
      <c r="M70" s="97">
        <f t="shared" ca="1" si="15"/>
        <v>20.554736842105285</v>
      </c>
      <c r="S70">
        <v>57.9</v>
      </c>
      <c r="T70">
        <v>42.899999999999991</v>
      </c>
    </row>
    <row r="71" spans="1:20" x14ac:dyDescent="0.2">
      <c r="A71" s="3">
        <v>36434</v>
      </c>
      <c r="B71" s="18">
        <v>315.49999999999994</v>
      </c>
      <c r="C71" s="18">
        <v>0</v>
      </c>
      <c r="E71" t="s">
        <v>135</v>
      </c>
      <c r="F71" t="s">
        <v>84</v>
      </c>
      <c r="G71">
        <f t="shared" ca="1" si="12"/>
        <v>28.409999999999997</v>
      </c>
      <c r="H71">
        <f t="shared" ca="1" si="13"/>
        <v>73.010000000000019</v>
      </c>
      <c r="J71" t="s">
        <v>135</v>
      </c>
      <c r="K71" t="s">
        <v>84</v>
      </c>
      <c r="L71" s="97">
        <f t="shared" ca="1" si="14"/>
        <v>28.334736842105201</v>
      </c>
      <c r="M71" s="97">
        <f t="shared" ca="1" si="15"/>
        <v>64.838421052631475</v>
      </c>
      <c r="S71">
        <v>257.59999999999997</v>
      </c>
      <c r="T71">
        <v>0</v>
      </c>
    </row>
    <row r="72" spans="1:20" x14ac:dyDescent="0.2">
      <c r="A72" s="3">
        <v>36465</v>
      </c>
      <c r="B72" s="18">
        <v>403.09999999999991</v>
      </c>
      <c r="C72" s="18">
        <v>0</v>
      </c>
      <c r="E72" t="s">
        <v>135</v>
      </c>
      <c r="F72" t="s">
        <v>85</v>
      </c>
      <c r="G72">
        <f t="shared" ca="1" si="12"/>
        <v>5.84</v>
      </c>
      <c r="H72">
        <f t="shared" ca="1" si="13"/>
        <v>106.29</v>
      </c>
      <c r="J72" t="s">
        <v>135</v>
      </c>
      <c r="K72" t="s">
        <v>85</v>
      </c>
      <c r="L72" s="97">
        <f t="shared" ca="1" si="14"/>
        <v>5.1842105263157876</v>
      </c>
      <c r="M72" s="97">
        <f t="shared" ca="1" si="15"/>
        <v>108.97263157894736</v>
      </c>
      <c r="S72">
        <v>356.79999999999995</v>
      </c>
      <c r="T72">
        <v>0</v>
      </c>
    </row>
    <row r="73" spans="1:20" x14ac:dyDescent="0.2">
      <c r="A73" s="3">
        <v>36495</v>
      </c>
      <c r="B73" s="18">
        <v>653.70000000000005</v>
      </c>
      <c r="C73" s="18">
        <v>0</v>
      </c>
      <c r="E73" t="s">
        <v>135</v>
      </c>
      <c r="F73" t="s">
        <v>86</v>
      </c>
      <c r="G73">
        <f t="shared" ca="1" si="12"/>
        <v>10.420000000000002</v>
      </c>
      <c r="H73">
        <f t="shared" ca="1" si="13"/>
        <v>81.070000000000007</v>
      </c>
      <c r="J73" t="s">
        <v>135</v>
      </c>
      <c r="K73" t="s">
        <v>86</v>
      </c>
      <c r="L73" s="97">
        <f t="shared" ca="1" si="14"/>
        <v>11.827368421052711</v>
      </c>
      <c r="M73" s="97">
        <f t="shared" ca="1" si="15"/>
        <v>74.155789473684308</v>
      </c>
      <c r="S73">
        <v>548.20000000000005</v>
      </c>
      <c r="T73">
        <v>0</v>
      </c>
    </row>
    <row r="74" spans="1:20" x14ac:dyDescent="0.2">
      <c r="A74" s="3">
        <v>36526</v>
      </c>
      <c r="B74" s="18">
        <v>814.5</v>
      </c>
      <c r="C74" s="18">
        <v>0</v>
      </c>
      <c r="E74" t="s">
        <v>135</v>
      </c>
      <c r="F74" t="s">
        <v>87</v>
      </c>
      <c r="G74">
        <f t="shared" ca="1" si="12"/>
        <v>69.52000000000001</v>
      </c>
      <c r="H74">
        <f t="shared" ca="1" si="13"/>
        <v>31.57</v>
      </c>
      <c r="J74" t="s">
        <v>135</v>
      </c>
      <c r="K74" t="s">
        <v>87</v>
      </c>
      <c r="L74" s="97">
        <f t="shared" ca="1" si="14"/>
        <v>67.287368421052633</v>
      </c>
      <c r="M74" s="97">
        <f t="shared" ca="1" si="15"/>
        <v>33.506315789473661</v>
      </c>
      <c r="S74">
        <v>701.09999999999991</v>
      </c>
      <c r="T74">
        <v>0</v>
      </c>
    </row>
    <row r="75" spans="1:20" x14ac:dyDescent="0.2">
      <c r="A75" s="3">
        <v>36557</v>
      </c>
      <c r="B75" s="18">
        <v>682.60000000000014</v>
      </c>
      <c r="C75" s="18">
        <v>0</v>
      </c>
      <c r="E75" t="s">
        <v>135</v>
      </c>
      <c r="F75" t="s">
        <v>88</v>
      </c>
      <c r="G75">
        <f t="shared" ca="1" si="12"/>
        <v>236.61000000000004</v>
      </c>
      <c r="H75">
        <f t="shared" ca="1" si="13"/>
        <v>3.6300000000000003</v>
      </c>
      <c r="J75" t="s">
        <v>135</v>
      </c>
      <c r="K75" t="s">
        <v>88</v>
      </c>
      <c r="L75" s="97">
        <f t="shared" ca="1" si="14"/>
        <v>233.91526315789474</v>
      </c>
      <c r="M75" s="97">
        <f t="shared" ca="1" si="15"/>
        <v>3.7384210526315798</v>
      </c>
      <c r="S75">
        <v>609.80000000000018</v>
      </c>
      <c r="T75">
        <v>0</v>
      </c>
    </row>
    <row r="76" spans="1:20" x14ac:dyDescent="0.2">
      <c r="A76" s="3">
        <v>36586</v>
      </c>
      <c r="B76" s="18">
        <v>489.6</v>
      </c>
      <c r="C76" s="18">
        <v>0</v>
      </c>
      <c r="E76" t="s">
        <v>135</v>
      </c>
      <c r="F76" t="s">
        <v>89</v>
      </c>
      <c r="G76">
        <f t="shared" ca="1" si="12"/>
        <v>398.34999999999997</v>
      </c>
      <c r="H76">
        <f t="shared" ca="1" si="13"/>
        <v>0</v>
      </c>
      <c r="J76" t="s">
        <v>135</v>
      </c>
      <c r="K76" t="s">
        <v>89</v>
      </c>
      <c r="L76" s="97">
        <f t="shared" ca="1" si="14"/>
        <v>384.37263157894722</v>
      </c>
      <c r="M76" s="97">
        <f t="shared" ca="1" si="15"/>
        <v>0</v>
      </c>
      <c r="S76">
        <v>439.4</v>
      </c>
      <c r="T76">
        <v>0</v>
      </c>
    </row>
    <row r="77" spans="1:20" x14ac:dyDescent="0.2">
      <c r="A77" s="3">
        <v>36617</v>
      </c>
      <c r="B77" s="18">
        <v>383.99999999999989</v>
      </c>
      <c r="C77" s="18">
        <v>0</v>
      </c>
      <c r="E77" t="s">
        <v>135</v>
      </c>
      <c r="F77" t="s">
        <v>90</v>
      </c>
      <c r="G77">
        <f t="shared" ca="1" si="12"/>
        <v>558.68999999999994</v>
      </c>
      <c r="H77">
        <f t="shared" ca="1" si="13"/>
        <v>0</v>
      </c>
      <c r="J77" t="s">
        <v>135</v>
      </c>
      <c r="K77" t="s">
        <v>90</v>
      </c>
      <c r="L77" s="97">
        <f t="shared" ca="1" si="14"/>
        <v>549.79578947368464</v>
      </c>
      <c r="M77" s="97">
        <f t="shared" ca="1" si="15"/>
        <v>0</v>
      </c>
      <c r="S77">
        <v>334.69999999999993</v>
      </c>
      <c r="T77">
        <v>0</v>
      </c>
    </row>
    <row r="78" spans="1:20" x14ac:dyDescent="0.2">
      <c r="A78" s="3">
        <v>36647</v>
      </c>
      <c r="B78" s="18">
        <v>160</v>
      </c>
      <c r="C78" s="18">
        <v>11.100000000000001</v>
      </c>
      <c r="S78">
        <v>129.80000000000001</v>
      </c>
      <c r="T78">
        <v>12.5</v>
      </c>
    </row>
    <row r="79" spans="1:20" x14ac:dyDescent="0.2">
      <c r="A79" s="3">
        <v>36678</v>
      </c>
      <c r="B79" s="18">
        <v>65.5</v>
      </c>
      <c r="C79" s="18">
        <v>17.399999999999999</v>
      </c>
      <c r="S79">
        <v>35.800000000000011</v>
      </c>
      <c r="T79">
        <v>53.2</v>
      </c>
    </row>
    <row r="80" spans="1:20" x14ac:dyDescent="0.2">
      <c r="A80" s="3">
        <v>36708</v>
      </c>
      <c r="B80" s="18">
        <v>17.399999999999999</v>
      </c>
      <c r="C80" s="18">
        <v>37.299999999999997</v>
      </c>
      <c r="S80">
        <v>8.9</v>
      </c>
      <c r="T80">
        <v>70.399999999999991</v>
      </c>
    </row>
    <row r="81" spans="1:20" x14ac:dyDescent="0.2">
      <c r="A81" s="3">
        <v>36739</v>
      </c>
      <c r="B81" s="18">
        <v>20.099999999999998</v>
      </c>
      <c r="C81" s="18">
        <v>49.899999999999991</v>
      </c>
      <c r="S81">
        <v>9.8000000000000007</v>
      </c>
      <c r="T81">
        <v>76.399999999999991</v>
      </c>
    </row>
    <row r="82" spans="1:20" x14ac:dyDescent="0.2">
      <c r="A82" s="3">
        <v>36770</v>
      </c>
      <c r="B82" s="18">
        <v>136.30000000000001</v>
      </c>
      <c r="C82" s="18">
        <v>16.600000000000001</v>
      </c>
      <c r="S82">
        <v>94.7</v>
      </c>
      <c r="T82">
        <v>39.4</v>
      </c>
    </row>
    <row r="83" spans="1:20" x14ac:dyDescent="0.2">
      <c r="A83" s="3">
        <v>36800</v>
      </c>
      <c r="B83" s="18">
        <v>281.19999999999993</v>
      </c>
      <c r="C83" s="18">
        <v>0</v>
      </c>
      <c r="S83">
        <v>210.79999999999995</v>
      </c>
      <c r="T83">
        <v>0</v>
      </c>
    </row>
    <row r="84" spans="1:20" x14ac:dyDescent="0.2">
      <c r="A84" s="3">
        <v>36831</v>
      </c>
      <c r="B84" s="18">
        <v>485.7</v>
      </c>
      <c r="C84" s="18">
        <v>0</v>
      </c>
      <c r="S84">
        <v>416.5</v>
      </c>
      <c r="T84">
        <v>0</v>
      </c>
    </row>
    <row r="85" spans="1:20" x14ac:dyDescent="0.2">
      <c r="A85" s="3">
        <v>36861</v>
      </c>
      <c r="B85" s="18">
        <v>834.8</v>
      </c>
      <c r="C85" s="18">
        <v>0</v>
      </c>
      <c r="S85">
        <v>761.49999999999977</v>
      </c>
      <c r="T85">
        <v>0</v>
      </c>
    </row>
    <row r="86" spans="1:20" x14ac:dyDescent="0.2">
      <c r="A86" s="3">
        <v>36892</v>
      </c>
      <c r="B86" s="18">
        <v>775.19999999999982</v>
      </c>
      <c r="C86" s="18">
        <v>0</v>
      </c>
      <c r="S86">
        <v>645.19999999999993</v>
      </c>
      <c r="T86">
        <v>0</v>
      </c>
    </row>
    <row r="87" spans="1:20" x14ac:dyDescent="0.2">
      <c r="A87" s="3">
        <v>36923</v>
      </c>
      <c r="B87" s="18">
        <v>677.09999999999991</v>
      </c>
      <c r="C87" s="18">
        <v>0</v>
      </c>
      <c r="S87">
        <v>558.29999999999995</v>
      </c>
      <c r="T87">
        <v>0</v>
      </c>
    </row>
    <row r="88" spans="1:20" x14ac:dyDescent="0.2">
      <c r="A88" s="3">
        <v>36951</v>
      </c>
      <c r="B88" s="18">
        <v>635.59999999999991</v>
      </c>
      <c r="C88" s="18">
        <v>0</v>
      </c>
      <c r="S88">
        <v>561.60000000000014</v>
      </c>
      <c r="T88">
        <v>0</v>
      </c>
    </row>
    <row r="89" spans="1:20" x14ac:dyDescent="0.2">
      <c r="A89" s="3">
        <v>36982</v>
      </c>
      <c r="B89" s="18">
        <v>325.59999999999991</v>
      </c>
      <c r="C89" s="18">
        <v>0</v>
      </c>
      <c r="S89">
        <v>278.09999999999991</v>
      </c>
      <c r="T89">
        <v>1.8</v>
      </c>
    </row>
    <row r="90" spans="1:20" x14ac:dyDescent="0.2">
      <c r="A90" s="3">
        <v>37012</v>
      </c>
      <c r="B90" s="18">
        <v>126.80000000000001</v>
      </c>
      <c r="C90" s="18">
        <v>6.8</v>
      </c>
      <c r="S90">
        <v>119.50000000000001</v>
      </c>
      <c r="T90">
        <v>0.8</v>
      </c>
    </row>
    <row r="91" spans="1:20" x14ac:dyDescent="0.2">
      <c r="A91" s="3">
        <v>37043</v>
      </c>
      <c r="B91" s="18">
        <v>36.700000000000003</v>
      </c>
      <c r="C91" s="18">
        <v>51.699999999999996</v>
      </c>
      <c r="S91">
        <v>35.6</v>
      </c>
      <c r="T91">
        <v>71.099999999999994</v>
      </c>
    </row>
    <row r="92" spans="1:20" x14ac:dyDescent="0.2">
      <c r="A92" s="3">
        <v>37073</v>
      </c>
      <c r="B92" s="18">
        <v>17.100000000000001</v>
      </c>
      <c r="C92" s="18">
        <v>76.900000000000006</v>
      </c>
      <c r="S92">
        <v>11.399999999999999</v>
      </c>
      <c r="T92">
        <v>89.999999999999986</v>
      </c>
    </row>
    <row r="93" spans="1:20" x14ac:dyDescent="0.2">
      <c r="A93" s="3">
        <v>37104</v>
      </c>
      <c r="B93" s="18">
        <v>4</v>
      </c>
      <c r="C93" s="18">
        <v>127.09999999999998</v>
      </c>
      <c r="S93">
        <v>0</v>
      </c>
      <c r="T93">
        <v>137.5</v>
      </c>
    </row>
    <row r="94" spans="1:20" x14ac:dyDescent="0.2">
      <c r="A94" s="3">
        <v>37135</v>
      </c>
      <c r="B94" s="18">
        <v>94.700000000000017</v>
      </c>
      <c r="C94" s="18">
        <v>23.6</v>
      </c>
      <c r="S94">
        <v>71.400000000000006</v>
      </c>
      <c r="T94">
        <v>32.700000000000003</v>
      </c>
    </row>
    <row r="95" spans="1:20" x14ac:dyDescent="0.2">
      <c r="A95" s="3">
        <v>37165</v>
      </c>
      <c r="B95" s="18">
        <v>259.89999999999998</v>
      </c>
      <c r="C95" s="18">
        <v>0</v>
      </c>
      <c r="S95">
        <v>209.49999999999997</v>
      </c>
      <c r="T95">
        <v>3.7</v>
      </c>
    </row>
    <row r="96" spans="1:20" x14ac:dyDescent="0.2">
      <c r="A96" s="3">
        <v>37196</v>
      </c>
      <c r="B96" s="18">
        <v>388.89999999999992</v>
      </c>
      <c r="C96" s="18">
        <v>0</v>
      </c>
      <c r="S96">
        <v>303.99999999999994</v>
      </c>
      <c r="T96">
        <v>0</v>
      </c>
    </row>
    <row r="97" spans="1:20" x14ac:dyDescent="0.2">
      <c r="A97" s="3">
        <v>37226</v>
      </c>
      <c r="B97" s="18">
        <v>578.29999999999995</v>
      </c>
      <c r="C97" s="18">
        <v>0</v>
      </c>
      <c r="S97">
        <v>502.90000000000003</v>
      </c>
      <c r="T97">
        <v>0</v>
      </c>
    </row>
    <row r="98" spans="1:20" x14ac:dyDescent="0.2">
      <c r="A98" s="3">
        <v>37257</v>
      </c>
      <c r="B98" s="18">
        <v>639.4000000000002</v>
      </c>
      <c r="C98" s="18">
        <v>0</v>
      </c>
      <c r="S98">
        <v>558.79999999999984</v>
      </c>
      <c r="T98">
        <v>0</v>
      </c>
    </row>
    <row r="99" spans="1:20" x14ac:dyDescent="0.2">
      <c r="A99" s="3">
        <v>37288</v>
      </c>
      <c r="B99" s="18">
        <v>601.90000000000009</v>
      </c>
      <c r="C99" s="18">
        <v>0</v>
      </c>
      <c r="S99">
        <v>518.9</v>
      </c>
      <c r="T99">
        <v>0</v>
      </c>
    </row>
    <row r="100" spans="1:20" x14ac:dyDescent="0.2">
      <c r="A100" s="3">
        <v>37316</v>
      </c>
      <c r="B100" s="18">
        <v>572.50000000000011</v>
      </c>
      <c r="C100" s="18">
        <v>0</v>
      </c>
      <c r="S100">
        <v>512.29999999999995</v>
      </c>
      <c r="T100">
        <v>0</v>
      </c>
    </row>
    <row r="101" spans="1:20" x14ac:dyDescent="0.2">
      <c r="A101" s="3">
        <v>37347</v>
      </c>
      <c r="B101" s="18">
        <v>336.89999999999992</v>
      </c>
      <c r="C101" s="18">
        <v>7.8999999999999995</v>
      </c>
      <c r="S101">
        <v>306.79999999999995</v>
      </c>
      <c r="T101">
        <v>5.0999999999999996</v>
      </c>
    </row>
    <row r="102" spans="1:20" x14ac:dyDescent="0.2">
      <c r="A102" s="3">
        <v>37377</v>
      </c>
      <c r="B102" s="18">
        <v>220.29999999999995</v>
      </c>
      <c r="C102" s="18">
        <v>5.6</v>
      </c>
      <c r="S102">
        <v>220.39999999999998</v>
      </c>
      <c r="T102">
        <v>8.8000000000000007</v>
      </c>
    </row>
    <row r="103" spans="1:20" x14ac:dyDescent="0.2">
      <c r="A103" s="3">
        <v>37408</v>
      </c>
      <c r="B103" s="18">
        <v>49.599999999999994</v>
      </c>
      <c r="C103" s="18">
        <v>47</v>
      </c>
      <c r="S103">
        <v>26.999999999999996</v>
      </c>
      <c r="T103">
        <v>74.699999999999989</v>
      </c>
    </row>
    <row r="104" spans="1:20" x14ac:dyDescent="0.2">
      <c r="A104" s="3">
        <v>37438</v>
      </c>
      <c r="B104" s="18">
        <v>4</v>
      </c>
      <c r="C104" s="18">
        <v>132.09999999999997</v>
      </c>
      <c r="S104">
        <v>0.7</v>
      </c>
      <c r="T104">
        <v>169.20000000000002</v>
      </c>
    </row>
    <row r="105" spans="1:20" x14ac:dyDescent="0.2">
      <c r="A105" s="3">
        <v>37469</v>
      </c>
      <c r="B105" s="18">
        <v>6.5000000000000009</v>
      </c>
      <c r="C105" s="18">
        <v>104.1</v>
      </c>
      <c r="S105">
        <v>0.5</v>
      </c>
      <c r="T105">
        <v>141.59999999999997</v>
      </c>
    </row>
    <row r="106" spans="1:20" x14ac:dyDescent="0.2">
      <c r="A106" s="3">
        <v>37500</v>
      </c>
      <c r="B106" s="18">
        <v>45.2</v>
      </c>
      <c r="C106" s="18">
        <v>52.599999999999994</v>
      </c>
      <c r="S106">
        <v>21.3</v>
      </c>
      <c r="T106">
        <v>77.299999999999983</v>
      </c>
    </row>
    <row r="107" spans="1:20" x14ac:dyDescent="0.2">
      <c r="A107" s="3">
        <v>37530</v>
      </c>
      <c r="B107" s="18">
        <v>332.79999999999995</v>
      </c>
      <c r="C107" s="18">
        <v>5.6</v>
      </c>
      <c r="S107">
        <v>259.89999999999998</v>
      </c>
      <c r="T107">
        <v>11.600000000000001</v>
      </c>
    </row>
    <row r="108" spans="1:20" x14ac:dyDescent="0.2">
      <c r="A108" s="3">
        <v>37561</v>
      </c>
      <c r="B108" s="18">
        <v>490.7</v>
      </c>
      <c r="C108" s="18">
        <v>0</v>
      </c>
      <c r="S108">
        <v>412.89999999999992</v>
      </c>
      <c r="T108">
        <v>0</v>
      </c>
    </row>
    <row r="109" spans="1:20" x14ac:dyDescent="0.2">
      <c r="A109" s="3">
        <v>37591</v>
      </c>
      <c r="B109" s="18">
        <v>671.59999999999991</v>
      </c>
      <c r="C109" s="18">
        <v>0</v>
      </c>
      <c r="S109">
        <v>610.90000000000009</v>
      </c>
      <c r="T109">
        <v>0</v>
      </c>
    </row>
    <row r="110" spans="1:20" x14ac:dyDescent="0.2">
      <c r="A110" s="3">
        <v>37622</v>
      </c>
      <c r="B110">
        <v>921</v>
      </c>
      <c r="C110">
        <v>0</v>
      </c>
      <c r="S110">
        <v>781.49999999999977</v>
      </c>
      <c r="T110">
        <v>0</v>
      </c>
    </row>
    <row r="111" spans="1:20" x14ac:dyDescent="0.2">
      <c r="A111" s="3">
        <v>37653</v>
      </c>
      <c r="B111">
        <v>784.5</v>
      </c>
      <c r="C111">
        <v>0</v>
      </c>
      <c r="S111">
        <v>681.19999999999993</v>
      </c>
      <c r="T111">
        <v>0</v>
      </c>
    </row>
    <row r="112" spans="1:20" x14ac:dyDescent="0.2">
      <c r="A112" s="3">
        <v>37681</v>
      </c>
      <c r="B112">
        <v>625.79999999999995</v>
      </c>
      <c r="C112">
        <v>0</v>
      </c>
      <c r="S112">
        <v>529.79999999999995</v>
      </c>
      <c r="T112">
        <v>0</v>
      </c>
    </row>
    <row r="113" spans="1:20" x14ac:dyDescent="0.2">
      <c r="A113" s="3">
        <v>37712</v>
      </c>
      <c r="B113">
        <v>412.4</v>
      </c>
      <c r="C113">
        <v>0</v>
      </c>
      <c r="S113">
        <v>360.39999999999992</v>
      </c>
      <c r="T113">
        <v>0</v>
      </c>
    </row>
    <row r="114" spans="1:20" x14ac:dyDescent="0.2">
      <c r="A114" s="3">
        <v>37742</v>
      </c>
      <c r="B114">
        <v>168.4</v>
      </c>
      <c r="C114">
        <v>0</v>
      </c>
      <c r="S114">
        <v>149.20000000000002</v>
      </c>
      <c r="T114">
        <v>0</v>
      </c>
    </row>
    <row r="115" spans="1:20" x14ac:dyDescent="0.2">
      <c r="A115" s="3">
        <v>37773</v>
      </c>
      <c r="B115">
        <v>45.9</v>
      </c>
      <c r="C115">
        <v>39</v>
      </c>
      <c r="S115">
        <v>33.199999999999996</v>
      </c>
      <c r="T115">
        <v>35.6</v>
      </c>
    </row>
    <row r="116" spans="1:20" x14ac:dyDescent="0.2">
      <c r="A116" s="3">
        <v>37803</v>
      </c>
      <c r="B116">
        <v>3.7</v>
      </c>
      <c r="C116">
        <v>84.2</v>
      </c>
      <c r="S116">
        <v>0.7</v>
      </c>
      <c r="T116">
        <v>105.29999999999997</v>
      </c>
    </row>
    <row r="117" spans="1:20" x14ac:dyDescent="0.2">
      <c r="A117" s="3">
        <v>37834</v>
      </c>
      <c r="B117">
        <v>11.4</v>
      </c>
      <c r="C117">
        <v>103.7</v>
      </c>
      <c r="S117">
        <v>4.2</v>
      </c>
      <c r="T117">
        <v>127.79999999999997</v>
      </c>
    </row>
    <row r="118" spans="1:20" x14ac:dyDescent="0.2">
      <c r="A118" s="3">
        <v>37865</v>
      </c>
      <c r="B118">
        <v>66.8</v>
      </c>
      <c r="C118">
        <v>23.6</v>
      </c>
      <c r="S118">
        <v>51.1</v>
      </c>
      <c r="T118">
        <v>29.000000000000004</v>
      </c>
    </row>
    <row r="119" spans="1:20" x14ac:dyDescent="0.2">
      <c r="A119" s="3">
        <v>37895</v>
      </c>
      <c r="B119">
        <v>313.7</v>
      </c>
      <c r="C119">
        <v>0</v>
      </c>
      <c r="S119">
        <v>263.59999999999997</v>
      </c>
      <c r="T119">
        <v>1</v>
      </c>
    </row>
    <row r="120" spans="1:20" x14ac:dyDescent="0.2">
      <c r="A120" s="3">
        <v>37926</v>
      </c>
      <c r="B120">
        <v>435.2</v>
      </c>
      <c r="C120">
        <v>0</v>
      </c>
      <c r="S120">
        <v>352.09999999999991</v>
      </c>
      <c r="T120">
        <v>0</v>
      </c>
    </row>
    <row r="121" spans="1:20" x14ac:dyDescent="0.2">
      <c r="A121" s="3">
        <v>37956</v>
      </c>
      <c r="B121">
        <v>652.70000000000005</v>
      </c>
      <c r="C121">
        <v>0</v>
      </c>
      <c r="S121">
        <v>531.20000000000005</v>
      </c>
      <c r="T121">
        <v>0</v>
      </c>
    </row>
    <row r="122" spans="1:20" x14ac:dyDescent="0.2">
      <c r="A122" s="3">
        <v>37987</v>
      </c>
      <c r="B122">
        <v>981.8</v>
      </c>
      <c r="C122">
        <v>0</v>
      </c>
      <c r="S122">
        <v>805.39999999999986</v>
      </c>
      <c r="T122">
        <v>0</v>
      </c>
    </row>
    <row r="123" spans="1:20" x14ac:dyDescent="0.2">
      <c r="A123" s="3">
        <v>38018</v>
      </c>
      <c r="B123">
        <v>706.1</v>
      </c>
      <c r="C123">
        <v>0</v>
      </c>
      <c r="S123">
        <v>616.79999999999995</v>
      </c>
      <c r="T123">
        <v>0</v>
      </c>
    </row>
    <row r="124" spans="1:20" x14ac:dyDescent="0.2">
      <c r="A124" s="3">
        <v>38047</v>
      </c>
      <c r="B124">
        <v>530.1</v>
      </c>
      <c r="C124">
        <v>0</v>
      </c>
      <c r="S124">
        <v>478.59999999999997</v>
      </c>
      <c r="T124">
        <v>0</v>
      </c>
    </row>
    <row r="125" spans="1:20" x14ac:dyDescent="0.2">
      <c r="A125" s="3">
        <v>38078</v>
      </c>
      <c r="B125">
        <v>358.1</v>
      </c>
      <c r="C125">
        <v>0</v>
      </c>
      <c r="S125">
        <v>302.89999999999992</v>
      </c>
      <c r="T125">
        <v>0.8</v>
      </c>
    </row>
    <row r="126" spans="1:20" x14ac:dyDescent="0.2">
      <c r="A126" s="3">
        <v>38108</v>
      </c>
      <c r="B126">
        <v>154.9</v>
      </c>
      <c r="C126">
        <v>8.3000000000000007</v>
      </c>
      <c r="S126">
        <v>117.30000000000003</v>
      </c>
      <c r="T126">
        <v>17.100000000000001</v>
      </c>
    </row>
    <row r="127" spans="1:20" x14ac:dyDescent="0.2">
      <c r="A127" s="3">
        <v>38139</v>
      </c>
      <c r="B127">
        <v>71.400000000000006</v>
      </c>
      <c r="C127">
        <v>19.100000000000001</v>
      </c>
      <c r="S127">
        <v>47</v>
      </c>
      <c r="T127">
        <v>41.999999999999986</v>
      </c>
    </row>
    <row r="128" spans="1:20" x14ac:dyDescent="0.2">
      <c r="A128" s="3">
        <v>38169</v>
      </c>
      <c r="B128">
        <v>6.9</v>
      </c>
      <c r="C128">
        <v>62.6</v>
      </c>
      <c r="S128">
        <v>0.89999999999999991</v>
      </c>
      <c r="T128">
        <v>93.09999999999998</v>
      </c>
    </row>
    <row r="129" spans="1:20" x14ac:dyDescent="0.2">
      <c r="A129" s="3">
        <v>38200</v>
      </c>
      <c r="B129">
        <v>31.5</v>
      </c>
      <c r="C129">
        <v>45.9</v>
      </c>
      <c r="S129">
        <v>11.7</v>
      </c>
      <c r="T129">
        <v>61.599999999999994</v>
      </c>
    </row>
    <row r="130" spans="1:20" x14ac:dyDescent="0.2">
      <c r="A130" s="3">
        <v>38231</v>
      </c>
      <c r="B130">
        <v>61.3</v>
      </c>
      <c r="C130">
        <v>15.5</v>
      </c>
      <c r="S130">
        <v>27.7</v>
      </c>
      <c r="T130">
        <v>46.699999999999996</v>
      </c>
    </row>
    <row r="131" spans="1:20" x14ac:dyDescent="0.2">
      <c r="A131" s="3">
        <v>38261</v>
      </c>
      <c r="B131">
        <v>276</v>
      </c>
      <c r="C131">
        <v>0</v>
      </c>
      <c r="S131">
        <v>208.99999999999994</v>
      </c>
      <c r="T131">
        <v>0.3</v>
      </c>
    </row>
    <row r="132" spans="1:20" x14ac:dyDescent="0.2">
      <c r="A132" s="3">
        <v>38292</v>
      </c>
      <c r="B132">
        <v>452.3</v>
      </c>
      <c r="C132">
        <v>0</v>
      </c>
      <c r="S132">
        <v>364.79999999999995</v>
      </c>
      <c r="T132">
        <v>0</v>
      </c>
    </row>
    <row r="133" spans="1:20" x14ac:dyDescent="0.2">
      <c r="A133" s="3">
        <v>38322</v>
      </c>
      <c r="B133">
        <v>722.8</v>
      </c>
      <c r="C133">
        <v>0</v>
      </c>
      <c r="S133">
        <v>590.80000000000007</v>
      </c>
      <c r="T133">
        <v>0</v>
      </c>
    </row>
    <row r="134" spans="1:20" x14ac:dyDescent="0.2">
      <c r="A134" s="3">
        <v>38353</v>
      </c>
      <c r="B134">
        <v>862.4</v>
      </c>
      <c r="C134">
        <v>0</v>
      </c>
      <c r="S134">
        <v>716.69999999999982</v>
      </c>
      <c r="T134">
        <v>0</v>
      </c>
    </row>
    <row r="135" spans="1:20" x14ac:dyDescent="0.2">
      <c r="A135" s="3">
        <v>38384</v>
      </c>
      <c r="B135">
        <v>676.1</v>
      </c>
      <c r="C135">
        <v>0</v>
      </c>
      <c r="S135">
        <v>594.69999999999993</v>
      </c>
      <c r="T135">
        <v>0</v>
      </c>
    </row>
    <row r="136" spans="1:20" x14ac:dyDescent="0.2">
      <c r="A136" s="3">
        <v>38412</v>
      </c>
      <c r="B136">
        <v>635.4</v>
      </c>
      <c r="C136">
        <v>0</v>
      </c>
      <c r="S136">
        <v>591.40000000000009</v>
      </c>
      <c r="T136">
        <v>0</v>
      </c>
    </row>
    <row r="137" spans="1:20" x14ac:dyDescent="0.2">
      <c r="A137" s="3">
        <v>38443</v>
      </c>
      <c r="B137">
        <v>337.2</v>
      </c>
      <c r="C137">
        <v>0</v>
      </c>
      <c r="S137">
        <v>303.49999999999989</v>
      </c>
      <c r="T137">
        <v>0</v>
      </c>
    </row>
    <row r="138" spans="1:20" x14ac:dyDescent="0.2">
      <c r="A138" s="3">
        <v>38473</v>
      </c>
      <c r="B138">
        <v>212.4</v>
      </c>
      <c r="C138">
        <v>0.5</v>
      </c>
      <c r="S138">
        <v>178.59999999999991</v>
      </c>
      <c r="T138">
        <v>0</v>
      </c>
    </row>
    <row r="139" spans="1:20" x14ac:dyDescent="0.2">
      <c r="A139" s="3">
        <v>38504</v>
      </c>
      <c r="B139">
        <v>18.399999999999999</v>
      </c>
      <c r="C139">
        <v>98.8</v>
      </c>
      <c r="S139">
        <v>5.7</v>
      </c>
      <c r="T139">
        <v>141.19999999999999</v>
      </c>
    </row>
    <row r="140" spans="1:20" x14ac:dyDescent="0.2">
      <c r="A140" s="3">
        <v>38534</v>
      </c>
      <c r="B140">
        <v>2.1</v>
      </c>
      <c r="C140">
        <v>141.69999999999999</v>
      </c>
      <c r="S140">
        <v>0</v>
      </c>
      <c r="T140">
        <v>190.70000000000005</v>
      </c>
    </row>
    <row r="141" spans="1:20" x14ac:dyDescent="0.2">
      <c r="A141" s="3">
        <v>38565</v>
      </c>
      <c r="B141">
        <v>4.2</v>
      </c>
      <c r="C141">
        <v>112.6</v>
      </c>
      <c r="S141">
        <v>0.7</v>
      </c>
      <c r="T141">
        <v>144.1</v>
      </c>
    </row>
    <row r="142" spans="1:20" x14ac:dyDescent="0.2">
      <c r="A142" s="3">
        <v>38596</v>
      </c>
      <c r="B142">
        <v>56.4</v>
      </c>
      <c r="C142">
        <v>27.1</v>
      </c>
      <c r="S142">
        <v>20.399999999999999</v>
      </c>
      <c r="T142">
        <v>49.79999999999999</v>
      </c>
    </row>
    <row r="143" spans="1:20" x14ac:dyDescent="0.2">
      <c r="A143" s="3">
        <v>38626</v>
      </c>
      <c r="B143">
        <v>272.7</v>
      </c>
      <c r="C143">
        <v>3.3</v>
      </c>
      <c r="S143">
        <v>212.19999999999996</v>
      </c>
      <c r="T143">
        <v>8.6999999999999993</v>
      </c>
    </row>
    <row r="144" spans="1:20" x14ac:dyDescent="0.2">
      <c r="A144" s="3">
        <v>38657</v>
      </c>
      <c r="B144">
        <v>432</v>
      </c>
      <c r="C144">
        <v>0</v>
      </c>
      <c r="S144">
        <v>361.1</v>
      </c>
      <c r="T144">
        <v>0</v>
      </c>
    </row>
    <row r="145" spans="1:20" x14ac:dyDescent="0.2">
      <c r="A145" s="3">
        <v>38687</v>
      </c>
      <c r="B145">
        <v>735.5</v>
      </c>
      <c r="C145">
        <v>0</v>
      </c>
      <c r="S145">
        <v>651.50000000000034</v>
      </c>
      <c r="T145">
        <v>0</v>
      </c>
    </row>
    <row r="146" spans="1:20" x14ac:dyDescent="0.2">
      <c r="A146" s="3">
        <v>38718</v>
      </c>
      <c r="B146">
        <v>653.5</v>
      </c>
      <c r="C146">
        <v>0</v>
      </c>
      <c r="S146">
        <v>524.29999999999995</v>
      </c>
      <c r="T146">
        <v>0</v>
      </c>
    </row>
    <row r="147" spans="1:20" x14ac:dyDescent="0.2">
      <c r="A147" s="3">
        <v>38749</v>
      </c>
      <c r="B147">
        <v>679.8</v>
      </c>
      <c r="C147">
        <v>0</v>
      </c>
      <c r="S147">
        <v>570.29999999999995</v>
      </c>
      <c r="T147">
        <v>0</v>
      </c>
    </row>
    <row r="148" spans="1:20" x14ac:dyDescent="0.2">
      <c r="A148" s="3">
        <v>38777</v>
      </c>
      <c r="B148">
        <v>571.4</v>
      </c>
      <c r="C148">
        <v>0</v>
      </c>
      <c r="S148">
        <v>514.6</v>
      </c>
      <c r="T148">
        <v>0</v>
      </c>
    </row>
    <row r="149" spans="1:20" x14ac:dyDescent="0.2">
      <c r="A149" s="3">
        <v>38808</v>
      </c>
      <c r="B149">
        <v>309.7</v>
      </c>
      <c r="C149">
        <v>0</v>
      </c>
      <c r="S149">
        <v>269.99999999999994</v>
      </c>
      <c r="T149">
        <v>0</v>
      </c>
    </row>
    <row r="150" spans="1:20" x14ac:dyDescent="0.2">
      <c r="A150" s="3">
        <v>38838</v>
      </c>
      <c r="B150">
        <v>145</v>
      </c>
      <c r="C150">
        <v>15.9</v>
      </c>
      <c r="S150">
        <v>127.30000000000003</v>
      </c>
      <c r="T150">
        <v>24.3</v>
      </c>
    </row>
    <row r="151" spans="1:20" x14ac:dyDescent="0.2">
      <c r="A151" s="3">
        <v>38869</v>
      </c>
      <c r="B151">
        <v>36.4</v>
      </c>
      <c r="C151">
        <v>36.299999999999997</v>
      </c>
      <c r="S151">
        <v>18.899999999999999</v>
      </c>
      <c r="T151">
        <v>69.899999999999977</v>
      </c>
    </row>
    <row r="152" spans="1:20" x14ac:dyDescent="0.2">
      <c r="A152" s="3">
        <v>38899</v>
      </c>
      <c r="B152">
        <v>3.7</v>
      </c>
      <c r="C152">
        <v>115</v>
      </c>
      <c r="S152">
        <v>1</v>
      </c>
      <c r="T152">
        <v>161.4</v>
      </c>
    </row>
    <row r="153" spans="1:20" x14ac:dyDescent="0.2">
      <c r="A153" s="3">
        <v>38930</v>
      </c>
      <c r="B153">
        <v>10.4</v>
      </c>
      <c r="C153">
        <v>79.8</v>
      </c>
      <c r="S153">
        <v>1.4</v>
      </c>
      <c r="T153">
        <v>100.1</v>
      </c>
    </row>
    <row r="154" spans="1:20" x14ac:dyDescent="0.2">
      <c r="A154" s="3">
        <v>38961</v>
      </c>
      <c r="B154">
        <v>97.9</v>
      </c>
      <c r="C154">
        <v>4.5999999999999996</v>
      </c>
      <c r="S154">
        <v>68.800000000000011</v>
      </c>
      <c r="T154">
        <v>17.2</v>
      </c>
    </row>
    <row r="155" spans="1:20" x14ac:dyDescent="0.2">
      <c r="A155" s="3">
        <v>38991</v>
      </c>
      <c r="B155">
        <v>301.60000000000002</v>
      </c>
      <c r="C155">
        <v>0</v>
      </c>
      <c r="S155">
        <v>269.89999999999998</v>
      </c>
      <c r="T155">
        <v>0</v>
      </c>
    </row>
    <row r="156" spans="1:20" x14ac:dyDescent="0.2">
      <c r="A156" s="3">
        <v>39022</v>
      </c>
      <c r="B156">
        <v>391.1</v>
      </c>
      <c r="C156">
        <v>0</v>
      </c>
      <c r="S156">
        <v>361.09999999999997</v>
      </c>
      <c r="T156">
        <v>0</v>
      </c>
    </row>
    <row r="157" spans="1:20" x14ac:dyDescent="0.2">
      <c r="A157" s="3">
        <v>39052</v>
      </c>
      <c r="B157">
        <v>541.6</v>
      </c>
      <c r="C157">
        <v>0</v>
      </c>
      <c r="S157">
        <v>469.39999999999992</v>
      </c>
      <c r="T157">
        <v>0</v>
      </c>
    </row>
    <row r="158" spans="1:20" x14ac:dyDescent="0.2">
      <c r="A158" s="3">
        <v>39083</v>
      </c>
      <c r="B158">
        <v>712.6</v>
      </c>
      <c r="C158">
        <v>0</v>
      </c>
      <c r="S158">
        <v>617.29999999999995</v>
      </c>
      <c r="T158">
        <v>0</v>
      </c>
    </row>
    <row r="159" spans="1:20" x14ac:dyDescent="0.2">
      <c r="A159" s="3">
        <v>39114</v>
      </c>
      <c r="B159">
        <v>775.5</v>
      </c>
      <c r="C159">
        <v>0</v>
      </c>
      <c r="S159">
        <v>704.8</v>
      </c>
      <c r="T159">
        <v>0</v>
      </c>
    </row>
    <row r="160" spans="1:20" x14ac:dyDescent="0.2">
      <c r="A160" s="3">
        <v>39142</v>
      </c>
      <c r="B160">
        <v>588.29999999999995</v>
      </c>
      <c r="C160">
        <v>0</v>
      </c>
      <c r="S160">
        <v>535.5</v>
      </c>
      <c r="T160">
        <v>0</v>
      </c>
    </row>
    <row r="161" spans="1:20" x14ac:dyDescent="0.2">
      <c r="A161" s="3">
        <v>39173</v>
      </c>
      <c r="B161">
        <v>358.6</v>
      </c>
      <c r="C161">
        <v>0</v>
      </c>
      <c r="S161">
        <v>350.09999999999985</v>
      </c>
      <c r="T161">
        <v>0</v>
      </c>
    </row>
    <row r="162" spans="1:20" x14ac:dyDescent="0.2">
      <c r="A162" s="3">
        <v>39203</v>
      </c>
      <c r="B162">
        <v>150.19999999999999</v>
      </c>
      <c r="C162">
        <v>9.5</v>
      </c>
      <c r="S162">
        <v>124.30000000000001</v>
      </c>
      <c r="T162">
        <v>14.3</v>
      </c>
    </row>
    <row r="163" spans="1:20" x14ac:dyDescent="0.2">
      <c r="A163" s="3">
        <v>39234</v>
      </c>
      <c r="B163">
        <v>29.4</v>
      </c>
      <c r="C163">
        <v>69.7</v>
      </c>
      <c r="S163">
        <v>15.7</v>
      </c>
      <c r="T163">
        <v>260.60000000000014</v>
      </c>
    </row>
    <row r="164" spans="1:20" x14ac:dyDescent="0.2">
      <c r="A164" s="3">
        <v>39264</v>
      </c>
      <c r="B164">
        <v>15.7</v>
      </c>
      <c r="C164">
        <v>62.7</v>
      </c>
      <c r="S164">
        <v>1</v>
      </c>
      <c r="T164">
        <v>95.899999999999991</v>
      </c>
    </row>
    <row r="165" spans="1:20" x14ac:dyDescent="0.2">
      <c r="A165" s="3">
        <v>39295</v>
      </c>
      <c r="B165">
        <v>12.1</v>
      </c>
      <c r="C165">
        <v>100.4</v>
      </c>
      <c r="S165">
        <v>5.3000000000000007</v>
      </c>
      <c r="T165">
        <v>152.50000000000003</v>
      </c>
    </row>
    <row r="166" spans="1:20" x14ac:dyDescent="0.2">
      <c r="A166" s="3">
        <v>39326</v>
      </c>
      <c r="B166">
        <v>54.8</v>
      </c>
      <c r="C166">
        <v>32.200000000000003</v>
      </c>
      <c r="S166">
        <v>32.699999999999996</v>
      </c>
      <c r="T166">
        <v>59.799999999999983</v>
      </c>
    </row>
    <row r="167" spans="1:20" x14ac:dyDescent="0.2">
      <c r="A167" s="3">
        <v>39356</v>
      </c>
      <c r="B167">
        <v>174.9</v>
      </c>
      <c r="C167">
        <v>6.8</v>
      </c>
      <c r="S167">
        <v>113.4</v>
      </c>
      <c r="T167">
        <v>25.800000000000004</v>
      </c>
    </row>
    <row r="168" spans="1:20" x14ac:dyDescent="0.2">
      <c r="A168" s="3">
        <v>39387</v>
      </c>
      <c r="B168">
        <v>474.2</v>
      </c>
      <c r="C168">
        <v>0</v>
      </c>
      <c r="S168">
        <v>410.89999999999992</v>
      </c>
      <c r="T168">
        <v>0</v>
      </c>
    </row>
    <row r="169" spans="1:20" x14ac:dyDescent="0.2">
      <c r="A169" s="3">
        <v>39417</v>
      </c>
      <c r="B169">
        <v>716.1</v>
      </c>
      <c r="C169">
        <v>0</v>
      </c>
      <c r="S169">
        <v>595.70000000000016</v>
      </c>
      <c r="T169">
        <v>0</v>
      </c>
    </row>
    <row r="170" spans="1:20" x14ac:dyDescent="0.2">
      <c r="A170" s="3">
        <v>39448</v>
      </c>
      <c r="B170">
        <v>685.1</v>
      </c>
      <c r="C170">
        <v>0</v>
      </c>
      <c r="S170">
        <v>604.19999999999993</v>
      </c>
      <c r="T170">
        <v>0</v>
      </c>
    </row>
    <row r="171" spans="1:20" x14ac:dyDescent="0.2">
      <c r="A171" s="3">
        <v>39479</v>
      </c>
      <c r="B171">
        <v>715.1</v>
      </c>
      <c r="C171">
        <v>0</v>
      </c>
      <c r="S171">
        <v>653.5</v>
      </c>
      <c r="T171">
        <v>0</v>
      </c>
    </row>
    <row r="172" spans="1:20" x14ac:dyDescent="0.2">
      <c r="A172" s="3">
        <v>39508</v>
      </c>
      <c r="B172">
        <v>641</v>
      </c>
      <c r="C172">
        <v>0</v>
      </c>
      <c r="S172">
        <v>602</v>
      </c>
      <c r="T172">
        <v>0</v>
      </c>
    </row>
    <row r="173" spans="1:20" x14ac:dyDescent="0.2">
      <c r="A173" s="3">
        <v>39539</v>
      </c>
      <c r="B173">
        <v>274</v>
      </c>
      <c r="C173">
        <v>1</v>
      </c>
      <c r="S173">
        <v>272.8</v>
      </c>
      <c r="T173">
        <v>0</v>
      </c>
    </row>
    <row r="174" spans="1:20" x14ac:dyDescent="0.2">
      <c r="A174" s="3">
        <v>39569</v>
      </c>
      <c r="B174">
        <v>188.5</v>
      </c>
      <c r="C174">
        <v>0</v>
      </c>
      <c r="S174">
        <v>216.7</v>
      </c>
      <c r="T174">
        <v>0</v>
      </c>
    </row>
    <row r="175" spans="1:20" x14ac:dyDescent="0.2">
      <c r="A175" s="3">
        <v>39600</v>
      </c>
      <c r="B175">
        <v>23.3</v>
      </c>
      <c r="C175">
        <v>56.5</v>
      </c>
      <c r="S175">
        <v>27.2</v>
      </c>
      <c r="T175">
        <v>61.499999999999986</v>
      </c>
    </row>
    <row r="176" spans="1:20" x14ac:dyDescent="0.2">
      <c r="A176" s="3">
        <v>39630</v>
      </c>
      <c r="B176">
        <v>1.5</v>
      </c>
      <c r="C176">
        <v>75.599999999999994</v>
      </c>
      <c r="S176">
        <v>5.2</v>
      </c>
      <c r="T176">
        <v>90.299999999999983</v>
      </c>
    </row>
    <row r="177" spans="1:20" x14ac:dyDescent="0.2">
      <c r="A177" s="3">
        <v>39661</v>
      </c>
      <c r="B177">
        <v>16.3</v>
      </c>
      <c r="C177">
        <v>47.8</v>
      </c>
      <c r="S177">
        <v>19</v>
      </c>
      <c r="T177">
        <v>42.4</v>
      </c>
    </row>
    <row r="178" spans="1:20" x14ac:dyDescent="0.2">
      <c r="A178" s="3">
        <v>39692</v>
      </c>
      <c r="B178">
        <v>97.8</v>
      </c>
      <c r="C178">
        <v>24.4</v>
      </c>
      <c r="S178">
        <v>70.100000000000009</v>
      </c>
      <c r="T178">
        <v>25.500000000000004</v>
      </c>
    </row>
    <row r="179" spans="1:20" x14ac:dyDescent="0.2">
      <c r="A179" s="3">
        <v>39722</v>
      </c>
      <c r="B179">
        <v>301.60000000000002</v>
      </c>
      <c r="C179">
        <v>0</v>
      </c>
      <c r="S179">
        <v>293.29999999999995</v>
      </c>
      <c r="T179">
        <v>0</v>
      </c>
    </row>
    <row r="180" spans="1:20" x14ac:dyDescent="0.2">
      <c r="A180" s="3">
        <v>39753</v>
      </c>
      <c r="B180">
        <v>459.9</v>
      </c>
      <c r="C180">
        <v>0</v>
      </c>
      <c r="S180">
        <v>447.40000000000003</v>
      </c>
      <c r="T180">
        <v>0</v>
      </c>
    </row>
    <row r="181" spans="1:20" x14ac:dyDescent="0.2">
      <c r="A181" s="3">
        <v>39783</v>
      </c>
      <c r="B181">
        <v>708.5</v>
      </c>
      <c r="C181">
        <v>0</v>
      </c>
      <c r="S181">
        <v>614.79999999999984</v>
      </c>
      <c r="T181">
        <v>0</v>
      </c>
    </row>
    <row r="182" spans="1:20" x14ac:dyDescent="0.2">
      <c r="A182" s="3">
        <v>39814</v>
      </c>
      <c r="B182">
        <v>887.1</v>
      </c>
      <c r="C182">
        <v>0</v>
      </c>
      <c r="S182">
        <v>829.40000000000009</v>
      </c>
      <c r="T182">
        <v>0</v>
      </c>
    </row>
    <row r="183" spans="1:20" x14ac:dyDescent="0.2">
      <c r="A183" s="3">
        <v>39845</v>
      </c>
      <c r="B183">
        <v>653.79999999999995</v>
      </c>
      <c r="C183">
        <v>0</v>
      </c>
      <c r="S183">
        <v>605.50000000000011</v>
      </c>
      <c r="T183">
        <v>0</v>
      </c>
    </row>
    <row r="184" spans="1:20" x14ac:dyDescent="0.2">
      <c r="A184" s="3">
        <v>39873</v>
      </c>
      <c r="B184">
        <v>555.6</v>
      </c>
      <c r="C184">
        <v>0</v>
      </c>
      <c r="S184">
        <v>528.69999999999993</v>
      </c>
      <c r="T184">
        <v>0</v>
      </c>
    </row>
    <row r="185" spans="1:20" x14ac:dyDescent="0.2">
      <c r="A185" s="3">
        <v>39904</v>
      </c>
      <c r="B185">
        <v>326.3</v>
      </c>
      <c r="C185">
        <v>0.8</v>
      </c>
      <c r="S185">
        <v>316.50000000000006</v>
      </c>
      <c r="T185">
        <v>2</v>
      </c>
    </row>
    <row r="186" spans="1:20" x14ac:dyDescent="0.2">
      <c r="A186" s="3">
        <v>39934</v>
      </c>
      <c r="B186">
        <v>165.3</v>
      </c>
      <c r="C186">
        <v>0</v>
      </c>
      <c r="S186">
        <v>161.39999999999998</v>
      </c>
      <c r="T186">
        <v>1.8</v>
      </c>
    </row>
    <row r="187" spans="1:20" x14ac:dyDescent="0.2">
      <c r="A187" s="3">
        <v>39965</v>
      </c>
      <c r="B187">
        <v>59.2</v>
      </c>
      <c r="C187">
        <v>32.6</v>
      </c>
      <c r="S187">
        <v>44.4</v>
      </c>
      <c r="T187">
        <v>29.999999999999996</v>
      </c>
    </row>
    <row r="188" spans="1:20" x14ac:dyDescent="0.2">
      <c r="A188" s="3">
        <v>39995</v>
      </c>
      <c r="B188">
        <v>11.8</v>
      </c>
      <c r="C188">
        <v>35.6</v>
      </c>
      <c r="S188">
        <v>19.600000000000001</v>
      </c>
      <c r="T188">
        <v>33.1</v>
      </c>
    </row>
    <row r="189" spans="1:20" x14ac:dyDescent="0.2">
      <c r="A189" s="3">
        <v>40026</v>
      </c>
      <c r="B189">
        <v>20.6</v>
      </c>
      <c r="C189">
        <v>85.2</v>
      </c>
      <c r="S189">
        <v>14.200000000000001</v>
      </c>
      <c r="T189">
        <v>74.199999999999974</v>
      </c>
    </row>
    <row r="190" spans="1:20" x14ac:dyDescent="0.2">
      <c r="A190" s="3">
        <v>40057</v>
      </c>
      <c r="B190">
        <v>100.9</v>
      </c>
      <c r="C190">
        <v>4.5999999999999996</v>
      </c>
      <c r="S190">
        <v>70.8</v>
      </c>
      <c r="T190">
        <v>12</v>
      </c>
    </row>
    <row r="191" spans="1:20" x14ac:dyDescent="0.2">
      <c r="A191" s="3">
        <v>40087</v>
      </c>
      <c r="B191">
        <v>330.2</v>
      </c>
      <c r="C191">
        <v>0</v>
      </c>
      <c r="S191">
        <v>290</v>
      </c>
      <c r="T191">
        <v>0</v>
      </c>
    </row>
    <row r="192" spans="1:20" x14ac:dyDescent="0.2">
      <c r="A192" s="3">
        <v>40118</v>
      </c>
      <c r="B192">
        <v>384.5</v>
      </c>
      <c r="C192">
        <v>0</v>
      </c>
      <c r="S192">
        <v>359.59999999999997</v>
      </c>
      <c r="T192">
        <v>0</v>
      </c>
    </row>
    <row r="193" spans="1:20" x14ac:dyDescent="0.2">
      <c r="A193" s="3">
        <v>40148</v>
      </c>
      <c r="B193">
        <v>696.8</v>
      </c>
      <c r="C193">
        <v>0</v>
      </c>
      <c r="S193">
        <v>612.29999999999984</v>
      </c>
      <c r="T193">
        <v>0</v>
      </c>
    </row>
    <row r="194" spans="1:20" x14ac:dyDescent="0.2">
      <c r="A194" s="3">
        <v>40179</v>
      </c>
      <c r="B194">
        <v>750.59999999999991</v>
      </c>
      <c r="C194">
        <v>0</v>
      </c>
      <c r="S194">
        <v>711.09999999999991</v>
      </c>
      <c r="T194">
        <v>0</v>
      </c>
    </row>
    <row r="195" spans="1:20" x14ac:dyDescent="0.2">
      <c r="A195" s="3">
        <v>40210</v>
      </c>
      <c r="B195">
        <v>620.40000000000009</v>
      </c>
      <c r="C195">
        <v>0</v>
      </c>
      <c r="S195">
        <v>632.5</v>
      </c>
      <c r="T195">
        <v>0</v>
      </c>
    </row>
    <row r="196" spans="1:20" x14ac:dyDescent="0.2">
      <c r="A196" s="3">
        <v>40238</v>
      </c>
      <c r="B196">
        <v>451.89999999999992</v>
      </c>
      <c r="C196">
        <v>0</v>
      </c>
      <c r="S196">
        <v>468</v>
      </c>
      <c r="T196">
        <v>0</v>
      </c>
    </row>
    <row r="197" spans="1:20" x14ac:dyDescent="0.2">
      <c r="A197" s="3">
        <v>40269</v>
      </c>
      <c r="B197">
        <v>243.49999999999989</v>
      </c>
      <c r="C197">
        <v>1.3</v>
      </c>
      <c r="S197">
        <v>251</v>
      </c>
      <c r="T197">
        <v>0</v>
      </c>
    </row>
    <row r="198" spans="1:20" x14ac:dyDescent="0.2">
      <c r="A198" s="3">
        <v>40299</v>
      </c>
      <c r="B198">
        <v>110.2</v>
      </c>
      <c r="C198">
        <v>26.100000000000005</v>
      </c>
      <c r="S198">
        <v>125.40000000000003</v>
      </c>
      <c r="T198">
        <v>27.5</v>
      </c>
    </row>
    <row r="199" spans="1:20" x14ac:dyDescent="0.2">
      <c r="A199" s="3">
        <v>40330</v>
      </c>
      <c r="B199">
        <v>38.300000000000004</v>
      </c>
      <c r="C199">
        <v>33.700000000000003</v>
      </c>
      <c r="S199">
        <v>23.599999999999994</v>
      </c>
      <c r="T199">
        <v>55.100000000000009</v>
      </c>
    </row>
    <row r="200" spans="1:20" x14ac:dyDescent="0.2">
      <c r="A200" s="3">
        <v>40360</v>
      </c>
      <c r="B200">
        <v>3.4000000000000004</v>
      </c>
      <c r="C200">
        <v>139.79999999999995</v>
      </c>
      <c r="S200">
        <v>4.5999999999999996</v>
      </c>
      <c r="T200">
        <v>123.99999999999999</v>
      </c>
    </row>
    <row r="201" spans="1:20" x14ac:dyDescent="0.2">
      <c r="A201" s="3">
        <v>40391</v>
      </c>
      <c r="B201">
        <v>10.100000000000001</v>
      </c>
      <c r="C201">
        <v>90.299999999999969</v>
      </c>
      <c r="S201">
        <v>7.6999999999999993</v>
      </c>
      <c r="T201">
        <v>103.40000000000003</v>
      </c>
    </row>
    <row r="202" spans="1:20" x14ac:dyDescent="0.2">
      <c r="A202" s="3">
        <v>40422</v>
      </c>
      <c r="B202">
        <v>99.40000000000002</v>
      </c>
      <c r="C202">
        <v>29.400000000000002</v>
      </c>
      <c r="S202">
        <v>79</v>
      </c>
      <c r="T202">
        <v>32.300000000000004</v>
      </c>
    </row>
    <row r="203" spans="1:20" x14ac:dyDescent="0.2">
      <c r="A203" s="3">
        <v>40452</v>
      </c>
      <c r="B203">
        <v>284.69999999999993</v>
      </c>
      <c r="C203">
        <v>0</v>
      </c>
      <c r="S203">
        <v>250.99999999999997</v>
      </c>
      <c r="T203">
        <v>0.1</v>
      </c>
    </row>
    <row r="204" spans="1:20" x14ac:dyDescent="0.2">
      <c r="A204" s="3">
        <v>40483</v>
      </c>
      <c r="B204">
        <v>451.4</v>
      </c>
      <c r="C204">
        <v>0</v>
      </c>
      <c r="S204">
        <v>387.19999999999993</v>
      </c>
      <c r="T204">
        <v>0</v>
      </c>
    </row>
    <row r="205" spans="1:20" x14ac:dyDescent="0.2">
      <c r="A205" s="3">
        <v>40513</v>
      </c>
      <c r="B205">
        <v>713.49999999999989</v>
      </c>
      <c r="C205">
        <v>0</v>
      </c>
      <c r="S205">
        <v>671.3</v>
      </c>
      <c r="T205">
        <v>0</v>
      </c>
    </row>
    <row r="206" spans="1:20" x14ac:dyDescent="0.2">
      <c r="A206" s="3">
        <v>40544</v>
      </c>
      <c r="B206">
        <v>853.19999999999982</v>
      </c>
      <c r="C206">
        <v>0</v>
      </c>
      <c r="S206">
        <v>794.6</v>
      </c>
      <c r="T206">
        <v>0</v>
      </c>
    </row>
    <row r="207" spans="1:20" x14ac:dyDescent="0.2">
      <c r="A207" s="3">
        <v>40575</v>
      </c>
      <c r="B207">
        <v>700.39999999999986</v>
      </c>
      <c r="C207">
        <v>0</v>
      </c>
      <c r="S207">
        <v>645.30000000000007</v>
      </c>
      <c r="T207">
        <v>0</v>
      </c>
    </row>
    <row r="208" spans="1:20" x14ac:dyDescent="0.2">
      <c r="A208" s="3">
        <v>40603</v>
      </c>
      <c r="B208">
        <v>595.70000000000016</v>
      </c>
      <c r="C208">
        <v>0</v>
      </c>
      <c r="S208">
        <v>567.1</v>
      </c>
      <c r="T208">
        <v>0</v>
      </c>
    </row>
    <row r="209" spans="1:20" x14ac:dyDescent="0.2">
      <c r="A209" s="3">
        <v>40634</v>
      </c>
      <c r="B209">
        <v>350.99999999999989</v>
      </c>
      <c r="C209">
        <v>0</v>
      </c>
      <c r="S209">
        <v>324.89999999999998</v>
      </c>
      <c r="T209">
        <v>0.4</v>
      </c>
    </row>
    <row r="210" spans="1:20" x14ac:dyDescent="0.2">
      <c r="A210" s="3">
        <v>40664</v>
      </c>
      <c r="B210">
        <v>89.40000000000002</v>
      </c>
      <c r="C210">
        <v>0</v>
      </c>
      <c r="S210">
        <v>136.00000000000003</v>
      </c>
      <c r="T210">
        <v>12.5</v>
      </c>
    </row>
    <row r="211" spans="1:20" x14ac:dyDescent="0.2">
      <c r="A211" s="3">
        <v>40695</v>
      </c>
      <c r="B211" s="98">
        <v>25.2</v>
      </c>
      <c r="C211" s="98">
        <v>24.9</v>
      </c>
      <c r="S211">
        <v>22.700000000000003</v>
      </c>
      <c r="T211">
        <v>40.200000000000003</v>
      </c>
    </row>
    <row r="212" spans="1:20" x14ac:dyDescent="0.2">
      <c r="A212" s="3">
        <v>40725</v>
      </c>
      <c r="B212" s="98">
        <v>0</v>
      </c>
      <c r="C212" s="98">
        <v>118.3</v>
      </c>
      <c r="S212">
        <v>0.2</v>
      </c>
      <c r="T212">
        <v>158.6</v>
      </c>
    </row>
    <row r="213" spans="1:20" x14ac:dyDescent="0.2">
      <c r="A213" s="3">
        <v>40756</v>
      </c>
      <c r="B213" s="98">
        <v>7</v>
      </c>
      <c r="C213" s="98">
        <v>68.2</v>
      </c>
      <c r="S213">
        <v>4.0999999999999996</v>
      </c>
      <c r="T213">
        <v>88.8</v>
      </c>
    </row>
    <row r="214" spans="1:20" x14ac:dyDescent="0.2">
      <c r="A214" s="3">
        <v>40787</v>
      </c>
      <c r="B214">
        <v>72.5</v>
      </c>
      <c r="C214">
        <v>24.500000000000004</v>
      </c>
      <c r="S214">
        <v>55</v>
      </c>
      <c r="T214">
        <v>35.199999999999996</v>
      </c>
    </row>
    <row r="215" spans="1:20" x14ac:dyDescent="0.2">
      <c r="A215" s="3">
        <v>40817</v>
      </c>
      <c r="B215">
        <v>266.49999999999994</v>
      </c>
      <c r="C215">
        <v>0.5</v>
      </c>
      <c r="S215">
        <v>234.5</v>
      </c>
      <c r="T215">
        <v>0</v>
      </c>
    </row>
    <row r="216" spans="1:20" x14ac:dyDescent="0.2">
      <c r="A216" s="3">
        <v>40848</v>
      </c>
      <c r="B216">
        <v>394.7</v>
      </c>
      <c r="C216">
        <v>0</v>
      </c>
      <c r="S216">
        <v>320.00000000000006</v>
      </c>
      <c r="T216">
        <v>0</v>
      </c>
    </row>
    <row r="217" spans="1:20" x14ac:dyDescent="0.2">
      <c r="A217" s="3">
        <v>40878</v>
      </c>
      <c r="B217">
        <v>623.09999999999991</v>
      </c>
      <c r="C217">
        <v>0</v>
      </c>
      <c r="S217">
        <v>512</v>
      </c>
      <c r="T217">
        <v>0</v>
      </c>
    </row>
    <row r="218" spans="1:20" x14ac:dyDescent="0.2">
      <c r="A218" s="3">
        <v>40909</v>
      </c>
      <c r="B218">
        <v>712.69999999999993</v>
      </c>
      <c r="C218">
        <v>0</v>
      </c>
      <c r="S218">
        <v>600.80000000000007</v>
      </c>
      <c r="T218">
        <v>0</v>
      </c>
    </row>
    <row r="219" spans="1:20" x14ac:dyDescent="0.2">
      <c r="A219" s="3">
        <v>40940</v>
      </c>
      <c r="B219">
        <v>604.40000000000009</v>
      </c>
      <c r="C219">
        <v>0</v>
      </c>
      <c r="S219">
        <v>533.20000000000005</v>
      </c>
      <c r="T219">
        <v>0</v>
      </c>
    </row>
    <row r="220" spans="1:20" x14ac:dyDescent="0.2">
      <c r="A220" s="3">
        <v>40969</v>
      </c>
      <c r="B220">
        <v>412.19999999999993</v>
      </c>
      <c r="C220">
        <v>0</v>
      </c>
      <c r="S220">
        <v>333.80000000000007</v>
      </c>
      <c r="T220">
        <v>0</v>
      </c>
    </row>
    <row r="221" spans="1:20" x14ac:dyDescent="0.2">
      <c r="A221" s="3">
        <v>41000</v>
      </c>
      <c r="B221">
        <v>358.9</v>
      </c>
      <c r="C221">
        <v>0.8</v>
      </c>
      <c r="S221">
        <v>341.4</v>
      </c>
      <c r="T221">
        <v>0</v>
      </c>
    </row>
    <row r="222" spans="1:20" x14ac:dyDescent="0.2">
      <c r="A222" s="3">
        <v>41030</v>
      </c>
      <c r="B222">
        <v>94.000000000000014</v>
      </c>
      <c r="C222">
        <v>20.100000000000001</v>
      </c>
      <c r="S222">
        <v>82.300000000000011</v>
      </c>
      <c r="T222">
        <v>28.9</v>
      </c>
    </row>
    <row r="223" spans="1:20" x14ac:dyDescent="0.2">
      <c r="A223" s="3">
        <v>41061</v>
      </c>
      <c r="B223">
        <v>41.300000000000004</v>
      </c>
      <c r="C223">
        <v>51.8</v>
      </c>
      <c r="S223">
        <v>31.599999999999998</v>
      </c>
      <c r="T223">
        <v>64.099999999999994</v>
      </c>
    </row>
    <row r="224" spans="1:20" x14ac:dyDescent="0.2">
      <c r="A224" s="3">
        <v>41091</v>
      </c>
      <c r="B224">
        <v>0.2</v>
      </c>
      <c r="C224">
        <v>120.69999999999996</v>
      </c>
      <c r="S224">
        <v>0</v>
      </c>
      <c r="T224">
        <v>152.5</v>
      </c>
    </row>
    <row r="225" spans="1:20" x14ac:dyDescent="0.2">
      <c r="A225" s="3">
        <v>41122</v>
      </c>
      <c r="B225">
        <v>7.3000000000000007</v>
      </c>
      <c r="C225">
        <v>84.899999999999977</v>
      </c>
      <c r="S225">
        <v>6</v>
      </c>
      <c r="T225">
        <v>76.600000000000009</v>
      </c>
    </row>
    <row r="226" spans="1:20" x14ac:dyDescent="0.2">
      <c r="A226" s="3">
        <v>41153</v>
      </c>
      <c r="B226">
        <v>106.30000000000003</v>
      </c>
      <c r="C226">
        <v>20.200000000000003</v>
      </c>
      <c r="S226">
        <v>86.1</v>
      </c>
      <c r="T226">
        <v>28.900000000000002</v>
      </c>
    </row>
    <row r="227" spans="1:20" x14ac:dyDescent="0.2">
      <c r="A227" s="3">
        <v>41183</v>
      </c>
      <c r="B227">
        <v>259.09999999999991</v>
      </c>
      <c r="C227">
        <v>0</v>
      </c>
      <c r="S227">
        <v>227.39999999999998</v>
      </c>
      <c r="T227">
        <v>0.8</v>
      </c>
    </row>
    <row r="228" spans="1:20" x14ac:dyDescent="0.2">
      <c r="A228" s="3">
        <v>41214</v>
      </c>
      <c r="B228">
        <v>498.9</v>
      </c>
      <c r="C228">
        <v>0</v>
      </c>
      <c r="S228">
        <v>430.19999999999993</v>
      </c>
      <c r="T228">
        <v>0</v>
      </c>
    </row>
    <row r="229" spans="1:20" x14ac:dyDescent="0.2">
      <c r="A229" s="3">
        <v>41244</v>
      </c>
      <c r="B229">
        <v>625.19999999999993</v>
      </c>
      <c r="C229">
        <v>0</v>
      </c>
      <c r="S229">
        <v>505.1</v>
      </c>
      <c r="T229">
        <v>0</v>
      </c>
    </row>
    <row r="230" spans="1:20" x14ac:dyDescent="0.2">
      <c r="A230" s="3">
        <v>41275</v>
      </c>
      <c r="B230">
        <v>743.9</v>
      </c>
      <c r="C230">
        <v>0</v>
      </c>
      <c r="S230">
        <v>617.29999999999995</v>
      </c>
      <c r="T230">
        <v>0</v>
      </c>
    </row>
    <row r="231" spans="1:20" x14ac:dyDescent="0.2">
      <c r="A231" s="3">
        <v>41306</v>
      </c>
      <c r="B231">
        <v>693.5</v>
      </c>
      <c r="C231">
        <v>0</v>
      </c>
      <c r="S231">
        <v>640.1</v>
      </c>
      <c r="T231">
        <v>0</v>
      </c>
    </row>
    <row r="232" spans="1:20" x14ac:dyDescent="0.2">
      <c r="A232" s="3">
        <v>41334</v>
      </c>
      <c r="B232">
        <v>588.30000000000018</v>
      </c>
      <c r="C232">
        <v>0</v>
      </c>
      <c r="S232">
        <v>555.40000000000009</v>
      </c>
      <c r="T232">
        <v>0</v>
      </c>
    </row>
    <row r="233" spans="1:20" x14ac:dyDescent="0.2">
      <c r="A233" s="3">
        <v>41365</v>
      </c>
      <c r="B233">
        <v>348.59999999999991</v>
      </c>
      <c r="C233">
        <v>0</v>
      </c>
      <c r="S233">
        <v>339.90000000000003</v>
      </c>
      <c r="T233">
        <v>0</v>
      </c>
    </row>
    <row r="234" spans="1:20" x14ac:dyDescent="0.2">
      <c r="A234" s="3">
        <v>41395</v>
      </c>
      <c r="B234">
        <v>139.70000000000002</v>
      </c>
      <c r="C234">
        <v>6.3</v>
      </c>
      <c r="S234">
        <v>116.5</v>
      </c>
      <c r="T234">
        <v>24.200000000000003</v>
      </c>
    </row>
    <row r="235" spans="1:20" x14ac:dyDescent="0.2">
      <c r="A235" s="3">
        <v>41426</v>
      </c>
      <c r="B235">
        <v>72.200000000000017</v>
      </c>
      <c r="C235">
        <v>20.700000000000003</v>
      </c>
      <c r="S235">
        <v>42.8</v>
      </c>
      <c r="T235">
        <v>48.5</v>
      </c>
    </row>
    <row r="236" spans="1:20" x14ac:dyDescent="0.2">
      <c r="A236" s="3">
        <v>41456</v>
      </c>
      <c r="B236">
        <v>4.8</v>
      </c>
      <c r="C236">
        <v>97.09999999999998</v>
      </c>
      <c r="S236">
        <v>5.5</v>
      </c>
      <c r="T236">
        <v>117.00000000000001</v>
      </c>
    </row>
    <row r="237" spans="1:20" x14ac:dyDescent="0.2">
      <c r="A237" s="3">
        <v>41487</v>
      </c>
      <c r="B237">
        <v>7.7</v>
      </c>
      <c r="C237">
        <v>57.199999999999989</v>
      </c>
      <c r="S237">
        <v>15</v>
      </c>
      <c r="T237">
        <v>56.7</v>
      </c>
    </row>
    <row r="238" spans="1:20" x14ac:dyDescent="0.2">
      <c r="A238" s="3">
        <v>41518</v>
      </c>
      <c r="B238">
        <v>118.4</v>
      </c>
      <c r="C238">
        <v>16.5</v>
      </c>
      <c r="S238">
        <v>110.40000000000002</v>
      </c>
      <c r="T238">
        <v>22.9</v>
      </c>
    </row>
    <row r="239" spans="1:20" x14ac:dyDescent="0.2">
      <c r="A239" s="3">
        <v>41548</v>
      </c>
      <c r="B239">
        <v>235.69999999999996</v>
      </c>
      <c r="C239">
        <v>1.5</v>
      </c>
      <c r="S239">
        <v>209.2</v>
      </c>
      <c r="T239">
        <v>4.1999999999999993</v>
      </c>
    </row>
    <row r="240" spans="1:20" x14ac:dyDescent="0.2">
      <c r="A240" s="3">
        <v>41579</v>
      </c>
      <c r="B240">
        <v>501.50000000000006</v>
      </c>
      <c r="C240">
        <v>0</v>
      </c>
      <c r="S240">
        <v>462.90000000000003</v>
      </c>
      <c r="T240">
        <v>0</v>
      </c>
    </row>
    <row r="241" spans="1:20" x14ac:dyDescent="0.2">
      <c r="A241" s="3">
        <v>41609</v>
      </c>
      <c r="B241">
        <v>756.99999999999977</v>
      </c>
      <c r="C241">
        <v>0</v>
      </c>
      <c r="S241">
        <v>648.79999999999995</v>
      </c>
      <c r="T241">
        <v>0</v>
      </c>
    </row>
    <row r="242" spans="1:20" x14ac:dyDescent="0.2">
      <c r="A242" s="3">
        <v>41640</v>
      </c>
      <c r="B242">
        <v>844.5</v>
      </c>
      <c r="C242">
        <v>0</v>
      </c>
      <c r="S242">
        <v>783.19999999999993</v>
      </c>
      <c r="T242">
        <v>0</v>
      </c>
    </row>
    <row r="243" spans="1:20" x14ac:dyDescent="0.2">
      <c r="A243" s="3">
        <v>41671</v>
      </c>
      <c r="B243">
        <v>740.9</v>
      </c>
      <c r="C243">
        <v>0</v>
      </c>
      <c r="S243">
        <v>743.69999999999993</v>
      </c>
      <c r="T243">
        <v>0</v>
      </c>
    </row>
    <row r="244" spans="1:20" x14ac:dyDescent="0.2">
      <c r="A244" s="3">
        <v>41699</v>
      </c>
      <c r="B244">
        <v>720.2</v>
      </c>
      <c r="C244">
        <v>0</v>
      </c>
      <c r="S244">
        <v>692.30000000000007</v>
      </c>
      <c r="T244">
        <v>0</v>
      </c>
    </row>
    <row r="245" spans="1:20" x14ac:dyDescent="0.2">
      <c r="A245" s="3">
        <v>41730</v>
      </c>
      <c r="B245">
        <v>352.1</v>
      </c>
      <c r="C245">
        <v>0</v>
      </c>
      <c r="S245">
        <v>338.40000000000009</v>
      </c>
      <c r="T245">
        <v>0</v>
      </c>
    </row>
    <row r="246" spans="1:20" x14ac:dyDescent="0.2">
      <c r="A246" s="3">
        <v>41760</v>
      </c>
      <c r="B246">
        <v>127.7</v>
      </c>
      <c r="C246">
        <v>12.4</v>
      </c>
      <c r="S246">
        <v>146.39999999999998</v>
      </c>
      <c r="T246">
        <v>7.3</v>
      </c>
    </row>
    <row r="247" spans="1:20" x14ac:dyDescent="0.2">
      <c r="A247" s="3">
        <v>41791</v>
      </c>
      <c r="B247">
        <v>25.7</v>
      </c>
      <c r="C247">
        <v>47.4</v>
      </c>
      <c r="S247">
        <v>21.3</v>
      </c>
      <c r="T247">
        <v>71.599999999999994</v>
      </c>
    </row>
    <row r="248" spans="1:20" x14ac:dyDescent="0.2">
      <c r="A248" s="3">
        <v>41821</v>
      </c>
      <c r="B248">
        <v>10.6</v>
      </c>
      <c r="C248">
        <v>55.9</v>
      </c>
      <c r="S248">
        <v>13.700000000000001</v>
      </c>
      <c r="T248">
        <v>51</v>
      </c>
    </row>
    <row r="249" spans="1:20" x14ac:dyDescent="0.2">
      <c r="A249" s="3">
        <v>41852</v>
      </c>
      <c r="B249">
        <v>19</v>
      </c>
      <c r="C249">
        <v>52</v>
      </c>
      <c r="S249">
        <v>19.5</v>
      </c>
      <c r="T249">
        <v>56.999999999999993</v>
      </c>
    </row>
    <row r="250" spans="1:20" x14ac:dyDescent="0.2">
      <c r="A250" s="3">
        <v>41883</v>
      </c>
      <c r="B250">
        <v>90.5</v>
      </c>
      <c r="C250">
        <v>25.4</v>
      </c>
      <c r="S250">
        <v>85.300000000000011</v>
      </c>
      <c r="T250">
        <v>27.500000000000004</v>
      </c>
    </row>
    <row r="251" spans="1:20" x14ac:dyDescent="0.2">
      <c r="A251" s="3">
        <v>41913</v>
      </c>
      <c r="B251">
        <v>225.6</v>
      </c>
      <c r="C251">
        <v>1.8</v>
      </c>
      <c r="S251">
        <v>225.09999999999997</v>
      </c>
      <c r="T251">
        <v>4.5</v>
      </c>
    </row>
    <row r="252" spans="1:20" x14ac:dyDescent="0.2">
      <c r="A252" s="3">
        <v>41944</v>
      </c>
      <c r="B252">
        <v>491.6</v>
      </c>
      <c r="C252">
        <v>0</v>
      </c>
      <c r="S252">
        <v>465.7</v>
      </c>
      <c r="T252">
        <v>0</v>
      </c>
    </row>
    <row r="253" spans="1:20" x14ac:dyDescent="0.2">
      <c r="A253" s="3">
        <v>41974</v>
      </c>
      <c r="B253">
        <v>619.9</v>
      </c>
      <c r="C253">
        <v>0</v>
      </c>
      <c r="S253">
        <v>540.79999999999995</v>
      </c>
      <c r="T253">
        <v>0</v>
      </c>
    </row>
    <row r="254" spans="1:20" x14ac:dyDescent="0.2">
      <c r="S254">
        <v>776.4</v>
      </c>
      <c r="T254">
        <v>0</v>
      </c>
    </row>
    <row r="255" spans="1:20" x14ac:dyDescent="0.2">
      <c r="S255">
        <v>871.9</v>
      </c>
      <c r="T255">
        <v>0</v>
      </c>
    </row>
    <row r="256" spans="1:20" x14ac:dyDescent="0.2">
      <c r="S256">
        <v>637</v>
      </c>
      <c r="T256">
        <v>0</v>
      </c>
    </row>
    <row r="257" spans="19:20" x14ac:dyDescent="0.2">
      <c r="S257">
        <v>330.29999999999995</v>
      </c>
      <c r="T257">
        <v>0</v>
      </c>
    </row>
    <row r="258" spans="19:20" x14ac:dyDescent="0.2">
      <c r="S258">
        <v>105.2</v>
      </c>
      <c r="T258">
        <v>34.200000000000003</v>
      </c>
    </row>
    <row r="259" spans="19:20" x14ac:dyDescent="0.2">
      <c r="S259">
        <v>35.9</v>
      </c>
      <c r="T259">
        <v>28.599999999999998</v>
      </c>
    </row>
    <row r="260" spans="19:20" x14ac:dyDescent="0.2">
      <c r="S260">
        <v>7.6</v>
      </c>
      <c r="T260">
        <v>79.100000000000009</v>
      </c>
    </row>
    <row r="261" spans="19:20" x14ac:dyDescent="0.2">
      <c r="S261">
        <v>12</v>
      </c>
      <c r="T261">
        <v>59</v>
      </c>
    </row>
    <row r="262" spans="19:20" x14ac:dyDescent="0.2">
      <c r="S262">
        <v>37</v>
      </c>
      <c r="T262">
        <v>54.4</v>
      </c>
    </row>
    <row r="263" spans="19:20" x14ac:dyDescent="0.2">
      <c r="S263">
        <v>252.3</v>
      </c>
      <c r="T263">
        <v>0.9</v>
      </c>
    </row>
    <row r="264" spans="19:20" x14ac:dyDescent="0.2">
      <c r="S264">
        <v>338.5</v>
      </c>
      <c r="T264">
        <v>0</v>
      </c>
    </row>
    <row r="265" spans="19:20" x14ac:dyDescent="0.2">
      <c r="S265">
        <v>416.69999999999987</v>
      </c>
      <c r="T265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BQ102"/>
  <sheetViews>
    <sheetView workbookViewId="0">
      <selection activeCell="BE59" sqref="C3:BE59"/>
    </sheetView>
  </sheetViews>
  <sheetFormatPr defaultColWidth="9.33203125" defaultRowHeight="12.75" x14ac:dyDescent="0.2"/>
  <cols>
    <col min="1" max="3" width="9.33203125" style="40"/>
    <col min="4" max="4" width="18.33203125" style="40" customWidth="1"/>
    <col min="5" max="5" width="7.83203125" style="40" customWidth="1"/>
    <col min="6" max="6" width="13" style="40" bestFit="1" customWidth="1"/>
    <col min="7" max="7" width="9.33203125" style="40"/>
    <col min="8" max="8" width="12.5" style="40" bestFit="1" customWidth="1"/>
    <col min="9" max="9" width="9.33203125" style="40"/>
    <col min="10" max="10" width="13.33203125" style="40" bestFit="1" customWidth="1"/>
    <col min="11" max="11" width="9.33203125" style="40"/>
    <col min="12" max="12" width="12.1640625" style="40" bestFit="1" customWidth="1"/>
    <col min="13" max="13" width="9.33203125" style="40"/>
    <col min="14" max="14" width="10.83203125" style="40" bestFit="1" customWidth="1"/>
    <col min="15" max="15" width="11.83203125" style="40" customWidth="1"/>
    <col min="16" max="16" width="13" style="40" bestFit="1" customWidth="1"/>
    <col min="17" max="17" width="11.83203125" style="40" bestFit="1" customWidth="1"/>
    <col min="18" max="18" width="14.33203125" style="40" bestFit="1" customWidth="1"/>
    <col min="19" max="19" width="10.6640625" style="40" bestFit="1" customWidth="1"/>
    <col min="20" max="25" width="9.33203125" style="40"/>
    <col min="26" max="26" width="5.83203125" style="40" bestFit="1" customWidth="1"/>
    <col min="27" max="27" width="7.6640625" style="40" bestFit="1" customWidth="1"/>
    <col min="28" max="28" width="6.6640625" style="40" bestFit="1" customWidth="1"/>
    <col min="29" max="29" width="8" style="40" bestFit="1" customWidth="1"/>
    <col min="30" max="30" width="6.6640625" style="40" bestFit="1" customWidth="1"/>
    <col min="31" max="31" width="8" style="40" bestFit="1" customWidth="1"/>
    <col min="32" max="32" width="7.6640625" style="40" bestFit="1" customWidth="1"/>
    <col min="33" max="33" width="7" style="40" bestFit="1" customWidth="1"/>
    <col min="34" max="34" width="6.5" style="40" bestFit="1" customWidth="1"/>
    <col min="35" max="35" width="5.6640625" style="40" bestFit="1" customWidth="1"/>
    <col min="36" max="36" width="7.6640625" style="40" bestFit="1" customWidth="1"/>
    <col min="37" max="37" width="5.33203125" style="40" bestFit="1" customWidth="1"/>
    <col min="38" max="38" width="6.5" style="40" bestFit="1" customWidth="1"/>
    <col min="39" max="41" width="9.33203125" style="40"/>
    <col min="42" max="42" width="13" style="40" bestFit="1" customWidth="1"/>
    <col min="43" max="43" width="9.33203125" style="40"/>
    <col min="44" max="44" width="11.83203125" style="40" bestFit="1" customWidth="1"/>
    <col min="45" max="45" width="9.33203125" style="40"/>
    <col min="46" max="46" width="13" style="40" bestFit="1" customWidth="1"/>
    <col min="47" max="47" width="9.33203125" style="40"/>
    <col min="48" max="48" width="10.6640625" style="40" bestFit="1" customWidth="1"/>
    <col min="49" max="58" width="9.33203125" style="40"/>
    <col min="59" max="59" width="15" style="40" customWidth="1"/>
    <col min="60" max="60" width="9.5" style="40" customWidth="1"/>
    <col min="61" max="61" width="9.33203125" style="40"/>
    <col min="62" max="62" width="3.83203125" style="40" customWidth="1"/>
    <col min="63" max="65" width="9.33203125" style="40"/>
    <col min="66" max="66" width="3.33203125" style="40" customWidth="1"/>
    <col min="67" max="16384" width="9.33203125" style="40"/>
  </cols>
  <sheetData>
    <row r="3" spans="3:21" x14ac:dyDescent="0.2">
      <c r="C3" s="204" t="s">
        <v>63</v>
      </c>
      <c r="D3" s="204"/>
      <c r="E3" s="204"/>
      <c r="F3" s="204"/>
      <c r="G3" s="204"/>
      <c r="H3" s="204"/>
      <c r="I3" s="204"/>
      <c r="J3" s="204"/>
      <c r="K3" s="204"/>
      <c r="L3" s="48"/>
      <c r="M3" s="48"/>
      <c r="N3" s="48"/>
      <c r="O3" s="205" t="s">
        <v>70</v>
      </c>
      <c r="P3" s="206"/>
      <c r="Q3" s="206"/>
      <c r="R3" s="206"/>
      <c r="S3" s="206"/>
      <c r="T3" s="206"/>
      <c r="U3" s="206"/>
    </row>
    <row r="4" spans="3:21" x14ac:dyDescent="0.2">
      <c r="C4" s="205" t="s">
        <v>58</v>
      </c>
      <c r="D4" s="204"/>
      <c r="E4" s="204"/>
      <c r="F4" s="204"/>
      <c r="G4" s="204"/>
      <c r="H4" s="204"/>
      <c r="I4" s="204"/>
      <c r="J4" s="204"/>
      <c r="K4" s="204"/>
      <c r="L4" s="49"/>
      <c r="M4" s="49"/>
      <c r="N4" s="49"/>
      <c r="O4" s="196" t="s">
        <v>27</v>
      </c>
      <c r="P4" s="207"/>
      <c r="Q4" s="207"/>
      <c r="R4" s="207"/>
      <c r="S4" s="207"/>
      <c r="T4" s="207"/>
      <c r="U4" s="207"/>
    </row>
    <row r="5" spans="3:21" x14ac:dyDescent="0.2">
      <c r="C5" s="43" t="s">
        <v>0</v>
      </c>
      <c r="D5" s="43" t="s">
        <v>29</v>
      </c>
      <c r="E5" s="44" t="s">
        <v>30</v>
      </c>
      <c r="F5" s="43" t="s">
        <v>2</v>
      </c>
      <c r="G5" s="44" t="s">
        <v>30</v>
      </c>
      <c r="H5" s="43" t="s">
        <v>57</v>
      </c>
      <c r="I5" s="44" t="s">
        <v>30</v>
      </c>
      <c r="J5" s="43" t="s">
        <v>33</v>
      </c>
      <c r="K5" s="44" t="s">
        <v>30</v>
      </c>
      <c r="O5" s="43" t="s">
        <v>0</v>
      </c>
      <c r="P5" s="43" t="s">
        <v>37</v>
      </c>
      <c r="Q5" s="43" t="s">
        <v>38</v>
      </c>
      <c r="R5" s="43" t="s">
        <v>39</v>
      </c>
      <c r="S5" s="43" t="s">
        <v>40</v>
      </c>
      <c r="T5" s="43" t="s">
        <v>41</v>
      </c>
      <c r="U5" s="43" t="s">
        <v>42</v>
      </c>
    </row>
    <row r="6" spans="3:21" x14ac:dyDescent="0.2">
      <c r="C6" s="45">
        <v>2005</v>
      </c>
      <c r="D6" s="46">
        <f>'FE Class Annual'!C4</f>
        <v>308035878.08000004</v>
      </c>
      <c r="E6" s="47"/>
      <c r="F6" s="46">
        <f>'FE Class Annual'!E4</f>
        <v>114785067.71766853</v>
      </c>
      <c r="G6" s="47"/>
      <c r="H6" s="46">
        <f>'FE Class Annual'!G4</f>
        <v>42619546.53590326</v>
      </c>
      <c r="I6" s="47"/>
      <c r="J6" s="46">
        <f>'FE Class Annual'!I4</f>
        <v>138424327.70577091</v>
      </c>
      <c r="K6" s="47"/>
      <c r="O6" s="45">
        <v>2007</v>
      </c>
      <c r="P6" s="46">
        <f>'EOP Class Annual'!F7</f>
        <v>29673636.634316213</v>
      </c>
      <c r="Q6" s="46">
        <f>'EOP Class Annual'!H7</f>
        <v>13842645.039443698</v>
      </c>
      <c r="R6" s="46">
        <f>'EOP Class Annual'!J7</f>
        <v>21927990.694886111</v>
      </c>
      <c r="S6" s="46">
        <f>'EOP Class Annual'!L7</f>
        <v>537726.07414287957</v>
      </c>
      <c r="T6" s="46">
        <f>'EOP Class Annual'!N7</f>
        <v>75740.396291011435</v>
      </c>
      <c r="U6" s="46"/>
    </row>
    <row r="7" spans="3:21" x14ac:dyDescent="0.2">
      <c r="C7" s="45">
        <v>2006</v>
      </c>
      <c r="D7" s="46">
        <f>'FE Class Annual'!C5</f>
        <v>299465583.74000001</v>
      </c>
      <c r="E7" s="47">
        <f t="shared" ref="E7:E12" si="0">D7/D6-1</f>
        <v>-2.7822390019691889E-2</v>
      </c>
      <c r="F7" s="46">
        <f>'FE Class Annual'!E5</f>
        <v>114433846.87441108</v>
      </c>
      <c r="G7" s="47">
        <f t="shared" ref="G7:G12" si="1">F7/F6-1</f>
        <v>-3.0598130073968832E-3</v>
      </c>
      <c r="H7" s="46">
        <f>'FE Class Annual'!G5</f>
        <v>38287464.934123963</v>
      </c>
      <c r="I7" s="47">
        <f t="shared" ref="I7:I12" si="2">H7/H6-1</f>
        <v>-0.10164541751118572</v>
      </c>
      <c r="J7" s="46">
        <f>'FE Class Annual'!I5</f>
        <v>131467898.46954048</v>
      </c>
      <c r="K7" s="47">
        <f t="shared" ref="K7:K12" si="3">J7/J6-1</f>
        <v>-5.0254383398680713E-2</v>
      </c>
      <c r="O7" s="45">
        <v>2008</v>
      </c>
      <c r="P7" s="46">
        <f>'EOP Class Annual'!F8</f>
        <v>29699161</v>
      </c>
      <c r="Q7" s="46">
        <f>'EOP Class Annual'!H8</f>
        <v>13239534.199999999</v>
      </c>
      <c r="R7" s="46">
        <f>'EOP Class Annual'!J8</f>
        <v>19273551.376574896</v>
      </c>
      <c r="S7" s="46">
        <f>'EOP Class Annual'!L8</f>
        <v>543667.26318245474</v>
      </c>
      <c r="T7" s="46">
        <f>'EOP Class Annual'!N8</f>
        <v>72742.539897340175</v>
      </c>
      <c r="U7" s="46">
        <f>'EOP Class Annual'!P8</f>
        <v>154972.367</v>
      </c>
    </row>
    <row r="8" spans="3:21" x14ac:dyDescent="0.2">
      <c r="C8" s="45">
        <v>2007</v>
      </c>
      <c r="D8" s="46">
        <f>'FE Class Annual'!C6</f>
        <v>308113038.19</v>
      </c>
      <c r="E8" s="47">
        <f t="shared" si="0"/>
        <v>2.8876288026165486E-2</v>
      </c>
      <c r="F8" s="46">
        <f>'FE Class Annual'!E6</f>
        <v>113173456.78828363</v>
      </c>
      <c r="G8" s="47">
        <f t="shared" si="1"/>
        <v>-1.1014137167919325E-2</v>
      </c>
      <c r="H8" s="46">
        <f>'FE Class Annual'!G6</f>
        <v>38329663.945434712</v>
      </c>
      <c r="I8" s="47">
        <f t="shared" si="2"/>
        <v>1.1021625846305838E-3</v>
      </c>
      <c r="J8" s="46">
        <f>'FE Class Annual'!I6</f>
        <v>142610397.01335588</v>
      </c>
      <c r="K8" s="47">
        <f t="shared" si="3"/>
        <v>8.4754519342963297E-2</v>
      </c>
      <c r="O8" s="45">
        <v>2009</v>
      </c>
      <c r="P8" s="46">
        <f>'EOP Class Annual'!F9</f>
        <v>29586436</v>
      </c>
      <c r="Q8" s="46">
        <f>'EOP Class Annual'!H9</f>
        <v>12624542.800000001</v>
      </c>
      <c r="R8" s="46">
        <f>'EOP Class Annual'!J9</f>
        <v>17770090.012132525</v>
      </c>
      <c r="S8" s="46">
        <f>'EOP Class Annual'!L9</f>
        <v>554732.98133457778</v>
      </c>
      <c r="T8" s="46">
        <f>'EOP Class Annual'!N9</f>
        <v>70624.021465235666</v>
      </c>
      <c r="U8" s="46">
        <f>'EOP Class Annual'!P9</f>
        <v>159317.93</v>
      </c>
    </row>
    <row r="9" spans="3:21" x14ac:dyDescent="0.2">
      <c r="C9" s="45">
        <v>2008</v>
      </c>
      <c r="D9" s="46">
        <f>'FE Class Annual'!C7</f>
        <v>303055000.30000001</v>
      </c>
      <c r="E9" s="47">
        <f t="shared" si="0"/>
        <v>-1.6416176088208667E-2</v>
      </c>
      <c r="F9" s="46">
        <f>'FE Class Annual'!E7</f>
        <v>111437380</v>
      </c>
      <c r="G9" s="47">
        <f t="shared" si="1"/>
        <v>-1.5339964312757082E-2</v>
      </c>
      <c r="H9" s="46">
        <f>'FE Class Annual'!G7</f>
        <v>33923010.799999997</v>
      </c>
      <c r="I9" s="47">
        <f t="shared" si="2"/>
        <v>-0.11496717403283085</v>
      </c>
      <c r="J9" s="46">
        <f>'FE Class Annual'!I7</f>
        <v>138863809.7347075</v>
      </c>
      <c r="K9" s="47">
        <f t="shared" si="3"/>
        <v>-2.6271487613189204E-2</v>
      </c>
      <c r="O9" s="45">
        <v>2010</v>
      </c>
      <c r="P9" s="46">
        <f>'EOP Class Annual'!F10</f>
        <v>28625240</v>
      </c>
      <c r="Q9" s="46">
        <f>'EOP Class Annual'!H10</f>
        <v>12306415</v>
      </c>
      <c r="R9" s="46">
        <f>'EOP Class Annual'!J10</f>
        <v>17583454.400303438</v>
      </c>
      <c r="S9" s="46">
        <f>'EOP Class Annual'!L10</f>
        <v>277802.77668003703</v>
      </c>
      <c r="T9" s="46">
        <f>'EOP Class Annual'!N10</f>
        <v>67962.008912351695</v>
      </c>
      <c r="U9" s="46">
        <f>'EOP Class Annual'!P10</f>
        <v>160434.53400000001</v>
      </c>
    </row>
    <row r="10" spans="3:21" x14ac:dyDescent="0.2">
      <c r="C10" s="45">
        <v>2009</v>
      </c>
      <c r="D10" s="46">
        <f>'FE Class Annual'!C8</f>
        <v>288969755.80000001</v>
      </c>
      <c r="E10" s="47">
        <f t="shared" si="0"/>
        <v>-4.6477518886197999E-2</v>
      </c>
      <c r="F10" s="46">
        <f>'FE Class Annual'!E8</f>
        <v>111596385</v>
      </c>
      <c r="G10" s="47">
        <f t="shared" si="1"/>
        <v>1.4268551539886598E-3</v>
      </c>
      <c r="H10" s="46">
        <f>'FE Class Annual'!G8</f>
        <v>33818908.200000003</v>
      </c>
      <c r="I10" s="47">
        <f t="shared" si="2"/>
        <v>-3.0687901086891012E-3</v>
      </c>
      <c r="J10" s="46">
        <f>'FE Class Annual'!I8</f>
        <v>127215231.44021375</v>
      </c>
      <c r="K10" s="47">
        <f t="shared" si="3"/>
        <v>-8.3884910811159452E-2</v>
      </c>
      <c r="O10" s="45">
        <v>2011</v>
      </c>
      <c r="P10" s="46">
        <f>'EOP Class Annual'!F11</f>
        <v>29052645</v>
      </c>
      <c r="Q10" s="46">
        <f>'EOP Class Annual'!H11</f>
        <v>12351830</v>
      </c>
      <c r="R10" s="46">
        <f>'EOP Class Annual'!J11</f>
        <v>17421028.1837858</v>
      </c>
      <c r="S10" s="46">
        <f>'EOP Class Annual'!L11</f>
        <v>551512.36122772645</v>
      </c>
      <c r="T10" s="46">
        <f>'EOP Class Annual'!N11</f>
        <v>60461.701837858011</v>
      </c>
      <c r="U10" s="46">
        <f>'EOP Class Annual'!P11</f>
        <v>157457.614</v>
      </c>
    </row>
    <row r="11" spans="3:21" x14ac:dyDescent="0.2">
      <c r="C11" s="45">
        <v>2010</v>
      </c>
      <c r="D11" s="46">
        <f>'FE Class Annual'!C9</f>
        <v>295471193.80000001</v>
      </c>
      <c r="E11" s="47">
        <f t="shared" si="0"/>
        <v>2.2498679773601316E-2</v>
      </c>
      <c r="F11" s="46">
        <f>'FE Class Annual'!E9</f>
        <v>114051203</v>
      </c>
      <c r="G11" s="47">
        <f t="shared" si="1"/>
        <v>2.1997289607544213E-2</v>
      </c>
      <c r="H11" s="46">
        <f>'FE Class Annual'!G9</f>
        <v>34886294.600000001</v>
      </c>
      <c r="I11" s="47">
        <f t="shared" si="2"/>
        <v>3.1561823157850943E-2</v>
      </c>
      <c r="J11" s="46">
        <f>'FE Class Annual'!I9</f>
        <v>129724134.05466202</v>
      </c>
      <c r="K11" s="47">
        <f t="shared" si="3"/>
        <v>1.9721715599970047E-2</v>
      </c>
      <c r="O11" s="45"/>
      <c r="P11" s="46"/>
      <c r="Q11" s="46"/>
      <c r="R11" s="46"/>
      <c r="S11" s="46"/>
      <c r="T11" s="46"/>
      <c r="U11" s="46"/>
    </row>
    <row r="12" spans="3:21" x14ac:dyDescent="0.2">
      <c r="C12" s="45">
        <v>2011</v>
      </c>
      <c r="D12" s="46">
        <f>'FE Class Annual'!C10</f>
        <v>290459287.04000002</v>
      </c>
      <c r="E12" s="47">
        <f t="shared" si="0"/>
        <v>-1.6962420923484212E-2</v>
      </c>
      <c r="F12" s="46">
        <f>'FE Class Annual'!E10</f>
        <v>113713280.40000001</v>
      </c>
      <c r="G12" s="47">
        <f t="shared" si="1"/>
        <v>-2.9629025482528215E-3</v>
      </c>
      <c r="H12" s="46">
        <f>'FE Class Annual'!G10</f>
        <v>34941916.700000003</v>
      </c>
      <c r="I12" s="47">
        <f t="shared" si="2"/>
        <v>1.5943825687925184E-3</v>
      </c>
      <c r="J12" s="46">
        <f>'FE Class Annual'!I10</f>
        <v>124961991.41333851</v>
      </c>
      <c r="K12" s="47">
        <f t="shared" si="3"/>
        <v>-3.6709766274615308E-2</v>
      </c>
      <c r="O12" s="196" t="s">
        <v>58</v>
      </c>
      <c r="P12" s="197"/>
      <c r="Q12" s="197"/>
      <c r="R12" s="197"/>
      <c r="S12" s="197"/>
      <c r="T12" s="197"/>
      <c r="U12" s="197"/>
    </row>
    <row r="13" spans="3:21" x14ac:dyDescent="0.2">
      <c r="C13" s="45"/>
      <c r="D13" s="46"/>
      <c r="E13" s="47"/>
      <c r="F13" s="46"/>
      <c r="G13" s="47"/>
      <c r="H13" s="46"/>
      <c r="I13" s="47"/>
      <c r="J13" s="46"/>
      <c r="K13" s="47"/>
      <c r="L13" s="41"/>
      <c r="M13" s="42"/>
      <c r="N13" s="41"/>
      <c r="O13" s="43" t="s">
        <v>0</v>
      </c>
      <c r="P13" s="43" t="s">
        <v>37</v>
      </c>
      <c r="Q13" s="43" t="s">
        <v>38</v>
      </c>
      <c r="R13" s="43" t="s">
        <v>39</v>
      </c>
      <c r="S13" s="43" t="s">
        <v>40</v>
      </c>
      <c r="T13" s="43" t="s">
        <v>41</v>
      </c>
      <c r="U13" s="43" t="s">
        <v>42</v>
      </c>
    </row>
    <row r="14" spans="3:21" x14ac:dyDescent="0.2">
      <c r="C14" s="45"/>
      <c r="D14" s="46"/>
      <c r="E14" s="43" t="s">
        <v>0</v>
      </c>
      <c r="F14" s="43" t="s">
        <v>59</v>
      </c>
      <c r="G14" s="44" t="s">
        <v>30</v>
      </c>
      <c r="H14" s="43" t="s">
        <v>60</v>
      </c>
      <c r="I14" s="44" t="s">
        <v>30</v>
      </c>
      <c r="J14" s="43" t="s">
        <v>61</v>
      </c>
      <c r="K14" s="44" t="s">
        <v>30</v>
      </c>
      <c r="L14" s="41"/>
      <c r="M14" s="42"/>
      <c r="N14" s="41"/>
      <c r="O14" s="45">
        <v>2007</v>
      </c>
      <c r="P14" s="46">
        <f>'FE Class Annual'!E6</f>
        <v>113173456.78828363</v>
      </c>
      <c r="Q14" s="77">
        <f>'FE Class Annual'!G6</f>
        <v>38329663.945434712</v>
      </c>
      <c r="R14" s="46">
        <f>'FE Class Annual'!I6</f>
        <v>142610397.01335588</v>
      </c>
      <c r="S14" s="46">
        <f>'FE Class Annual'!K6</f>
        <v>2147469.4168469147</v>
      </c>
      <c r="T14" s="46">
        <f>'FE Class Annual'!M6</f>
        <v>792560.25393967377</v>
      </c>
      <c r="U14" s="46">
        <f>'FE Class Annual'!O6</f>
        <v>142599.27408258629</v>
      </c>
    </row>
    <row r="15" spans="3:21" x14ac:dyDescent="0.2">
      <c r="C15" s="45"/>
      <c r="D15" s="46"/>
      <c r="E15" s="45">
        <v>2005</v>
      </c>
      <c r="F15" s="46">
        <f>'FE Class Annual'!K4</f>
        <v>2611125.1382757202</v>
      </c>
      <c r="G15" s="47"/>
      <c r="H15" s="46">
        <f>'FE Class Annual'!M4</f>
        <v>847058.90238154097</v>
      </c>
      <c r="I15" s="47"/>
      <c r="J15" s="46">
        <f>'FE Class Annual'!O4</f>
        <v>0</v>
      </c>
      <c r="K15" s="47"/>
      <c r="L15" s="41"/>
      <c r="M15" s="42"/>
      <c r="N15" s="41"/>
      <c r="O15" s="45">
        <v>2008</v>
      </c>
      <c r="P15" s="46">
        <f>'FE Class Annual'!E7</f>
        <v>111437380</v>
      </c>
      <c r="Q15" s="77">
        <f>'FE Class Annual'!G7</f>
        <v>33923010.799999997</v>
      </c>
      <c r="R15" s="46">
        <f>'FE Class Annual'!I7</f>
        <v>138863809.7347075</v>
      </c>
      <c r="S15" s="46">
        <f>'FE Class Annual'!K7</f>
        <v>2186728.6883290387</v>
      </c>
      <c r="T15" s="46">
        <f>'FE Class Annual'!M7</f>
        <v>768334.39589235594</v>
      </c>
      <c r="U15" s="46">
        <f>'FE Class Annual'!O7</f>
        <v>653734.72900000005</v>
      </c>
    </row>
    <row r="16" spans="3:21" x14ac:dyDescent="0.2">
      <c r="C16" s="45"/>
      <c r="D16" s="46"/>
      <c r="E16" s="45">
        <v>2006</v>
      </c>
      <c r="F16" s="46">
        <f>'FE Class Annual'!K5</f>
        <v>2355629.9595871177</v>
      </c>
      <c r="G16" s="47">
        <f t="shared" ref="G16:G21" si="4">F16/F15-1</f>
        <v>-9.7848691716598823E-2</v>
      </c>
      <c r="H16" s="46">
        <f>'FE Class Annual'!M5</f>
        <v>796294.3122747523</v>
      </c>
      <c r="I16" s="47">
        <f t="shared" ref="I16:I21" si="5">H16/H15-1</f>
        <v>-5.9930413297188623E-2</v>
      </c>
      <c r="J16" s="46">
        <f>'FE Class Annual'!O5</f>
        <v>0</v>
      </c>
      <c r="K16" s="47"/>
      <c r="L16" s="41"/>
      <c r="M16" s="42"/>
      <c r="N16" s="41"/>
      <c r="O16" s="45">
        <v>2009</v>
      </c>
      <c r="P16" s="46">
        <f>'FE Class Annual'!E8</f>
        <v>111596385</v>
      </c>
      <c r="Q16" s="77">
        <f>'FE Class Annual'!G8</f>
        <v>33818908.200000003</v>
      </c>
      <c r="R16" s="46">
        <f>'FE Class Annual'!I8</f>
        <v>127215231.44021375</v>
      </c>
      <c r="S16" s="46">
        <f>'FE Class Annual'!K8</f>
        <v>2164346.0112606166</v>
      </c>
      <c r="T16" s="46">
        <f>'FE Class Annual'!M8</f>
        <v>684716.66874663625</v>
      </c>
      <c r="U16" s="46">
        <f>'FE Class Annual'!O8</f>
        <v>644528.92700000003</v>
      </c>
    </row>
    <row r="17" spans="3:69" x14ac:dyDescent="0.2">
      <c r="C17" s="45"/>
      <c r="D17" s="46"/>
      <c r="E17" s="45">
        <v>2007</v>
      </c>
      <c r="F17" s="46">
        <f>'FE Class Annual'!K6</f>
        <v>2147469.4168469147</v>
      </c>
      <c r="G17" s="47">
        <f t="shared" si="4"/>
        <v>-8.8367250506819151E-2</v>
      </c>
      <c r="H17" s="46">
        <f>'FE Class Annual'!M6</f>
        <v>792560.25393967377</v>
      </c>
      <c r="I17" s="47">
        <f t="shared" si="5"/>
        <v>-4.689294243998221E-3</v>
      </c>
      <c r="J17" s="46">
        <f>'FE Class Annual'!O6</f>
        <v>142599.27408258629</v>
      </c>
      <c r="K17" s="47"/>
      <c r="L17" s="41"/>
      <c r="M17" s="42"/>
      <c r="N17" s="41"/>
      <c r="O17" s="45">
        <v>2010</v>
      </c>
      <c r="P17" s="46">
        <f>'FE Class Annual'!E9</f>
        <v>114051203</v>
      </c>
      <c r="Q17" s="77">
        <f>'FE Class Annual'!G9</f>
        <v>34886294.600000001</v>
      </c>
      <c r="R17" s="46">
        <f>'FE Class Annual'!I9</f>
        <v>129724134.05466202</v>
      </c>
      <c r="S17" s="46">
        <f>'FE Class Annual'!K9</f>
        <v>1967173.6902158158</v>
      </c>
      <c r="T17" s="46">
        <f>'FE Class Annual'!M9</f>
        <v>709442.25035290455</v>
      </c>
      <c r="U17" s="46">
        <f>'FE Class Annual'!O9</f>
        <v>668730.51800000004</v>
      </c>
    </row>
    <row r="18" spans="3:69" x14ac:dyDescent="0.2">
      <c r="C18" s="45"/>
      <c r="D18" s="46"/>
      <c r="E18" s="45">
        <v>2008</v>
      </c>
      <c r="F18" s="46">
        <f>'FE Class Annual'!K7</f>
        <v>2186728.6883290387</v>
      </c>
      <c r="G18" s="47">
        <f t="shared" si="4"/>
        <v>1.8281644047703161E-2</v>
      </c>
      <c r="H18" s="46">
        <f>'FE Class Annual'!M7</f>
        <v>768334.39589235594</v>
      </c>
      <c r="I18" s="47">
        <f t="shared" si="5"/>
        <v>-3.0566582069811665E-2</v>
      </c>
      <c r="J18" s="46">
        <f>'FE Class Annual'!O7</f>
        <v>653734.72900000005</v>
      </c>
      <c r="K18" s="47"/>
      <c r="L18" s="41"/>
      <c r="M18" s="42"/>
      <c r="N18" s="41"/>
      <c r="O18" s="45">
        <v>2011</v>
      </c>
      <c r="P18" s="46">
        <f>'FE Class Annual'!E10</f>
        <v>113713280.40000001</v>
      </c>
      <c r="Q18" s="77">
        <f>'FE Class Annual'!G10</f>
        <v>34941916.700000003</v>
      </c>
      <c r="R18" s="46">
        <f>'FE Class Annual'!I10</f>
        <v>124961991.41333851</v>
      </c>
      <c r="S18" s="46">
        <f>'FE Class Annual'!K10</f>
        <v>2136308.2815898377</v>
      </c>
      <c r="T18" s="46">
        <f>'FE Class Annual'!M10</f>
        <v>687242.01183716685</v>
      </c>
      <c r="U18" s="46">
        <f>'FE Class Annual'!O10</f>
        <v>788655.647</v>
      </c>
    </row>
    <row r="19" spans="3:69" x14ac:dyDescent="0.2">
      <c r="C19" s="45"/>
      <c r="D19" s="46"/>
      <c r="E19" s="45">
        <v>2009</v>
      </c>
      <c r="F19" s="46">
        <f>'FE Class Annual'!K8</f>
        <v>2164346.0112606166</v>
      </c>
      <c r="G19" s="47">
        <f t="shared" si="4"/>
        <v>-1.0235690045995338E-2</v>
      </c>
      <c r="H19" s="46">
        <f>'FE Class Annual'!M8</f>
        <v>684716.66874663625</v>
      </c>
      <c r="I19" s="47">
        <f t="shared" si="5"/>
        <v>-0.10882986313349241</v>
      </c>
      <c r="J19" s="46">
        <f>'FE Class Annual'!O8</f>
        <v>644528.92700000003</v>
      </c>
      <c r="K19" s="47">
        <f>J19/J18-1</f>
        <v>-1.4081861635348414E-2</v>
      </c>
      <c r="L19" s="41"/>
      <c r="M19" s="42"/>
      <c r="N19" s="41"/>
      <c r="O19" s="47"/>
      <c r="P19" s="46"/>
      <c r="Q19" s="78"/>
      <c r="R19" s="46"/>
      <c r="S19" s="46"/>
      <c r="T19" s="46"/>
      <c r="U19" s="46"/>
    </row>
    <row r="20" spans="3:69" x14ac:dyDescent="0.2">
      <c r="C20" s="45"/>
      <c r="D20" s="46"/>
      <c r="E20" s="45">
        <v>2010</v>
      </c>
      <c r="F20" s="46">
        <f>'FE Class Annual'!K9</f>
        <v>1967173.6902158158</v>
      </c>
      <c r="G20" s="47">
        <f t="shared" si="4"/>
        <v>-9.1100184544872453E-2</v>
      </c>
      <c r="H20" s="46">
        <f>'FE Class Annual'!M9</f>
        <v>709442.25035290455</v>
      </c>
      <c r="I20" s="47">
        <f t="shared" si="5"/>
        <v>3.6110675750786303E-2</v>
      </c>
      <c r="J20" s="46">
        <f>'FE Class Annual'!O9</f>
        <v>668730.51800000004</v>
      </c>
      <c r="K20" s="47">
        <f>J20/J19-1</f>
        <v>3.7549270461215478E-2</v>
      </c>
      <c r="L20" s="41"/>
      <c r="M20" s="42"/>
      <c r="N20" s="41"/>
      <c r="O20" s="196" t="s">
        <v>62</v>
      </c>
      <c r="P20" s="197"/>
      <c r="Q20" s="197"/>
      <c r="R20" s="197"/>
      <c r="S20" s="197"/>
      <c r="T20" s="197"/>
      <c r="U20" s="197"/>
    </row>
    <row r="21" spans="3:69" x14ac:dyDescent="0.2">
      <c r="C21" s="45"/>
      <c r="D21" s="46"/>
      <c r="E21" s="45">
        <v>2011</v>
      </c>
      <c r="F21" s="46">
        <f>'FE Class Annual'!K10</f>
        <v>2136308.2815898377</v>
      </c>
      <c r="G21" s="47">
        <f t="shared" si="4"/>
        <v>8.5978473693121948E-2</v>
      </c>
      <c r="H21" s="46">
        <f>'FE Class Annual'!M10</f>
        <v>687242.01183716685</v>
      </c>
      <c r="I21" s="47">
        <f t="shared" si="5"/>
        <v>-3.1292523816694673E-2</v>
      </c>
      <c r="J21" s="46">
        <f>'FE Class Annual'!O10</f>
        <v>788655.647</v>
      </c>
      <c r="K21" s="47">
        <f>J21/J20-1</f>
        <v>0.1793325200092033</v>
      </c>
      <c r="L21" s="41"/>
      <c r="M21" s="42"/>
      <c r="N21" s="41"/>
      <c r="O21" s="43" t="s">
        <v>0</v>
      </c>
      <c r="P21" s="43" t="s">
        <v>37</v>
      </c>
      <c r="Q21" s="43" t="s">
        <v>38</v>
      </c>
      <c r="R21" s="43" t="s">
        <v>39</v>
      </c>
      <c r="S21" s="43" t="s">
        <v>40</v>
      </c>
      <c r="T21" s="43" t="s">
        <v>41</v>
      </c>
      <c r="U21" s="43" t="s">
        <v>42</v>
      </c>
    </row>
    <row r="22" spans="3:69" x14ac:dyDescent="0.2">
      <c r="C22" s="45"/>
      <c r="D22" s="46"/>
      <c r="E22" s="47"/>
      <c r="F22" s="46"/>
      <c r="G22" s="47"/>
      <c r="H22" s="46"/>
      <c r="I22" s="47"/>
      <c r="J22" s="46"/>
      <c r="K22" s="47"/>
      <c r="L22" s="41"/>
      <c r="M22" s="42"/>
      <c r="N22" s="41"/>
      <c r="O22" s="45">
        <v>2007</v>
      </c>
      <c r="P22" s="46">
        <f>'PC Class Annual'!E6</f>
        <v>65310298.075968295</v>
      </c>
      <c r="Q22" s="77">
        <f>'PC Class Annual'!G6</f>
        <v>26180948.828532469</v>
      </c>
      <c r="R22" s="46">
        <f>'PC Class Annual'!I6</f>
        <v>100174043.01407748</v>
      </c>
      <c r="S22" s="46">
        <f>'PC Class Annual'!K6</f>
        <v>1791642.3671807409</v>
      </c>
      <c r="T22" s="46">
        <f>'PC Class Annual'!M6</f>
        <v>13991.781863981172</v>
      </c>
      <c r="U22" s="46"/>
    </row>
    <row r="23" spans="3:69" x14ac:dyDescent="0.2">
      <c r="C23" s="205" t="s">
        <v>62</v>
      </c>
      <c r="D23" s="204"/>
      <c r="E23" s="204"/>
      <c r="F23" s="204"/>
      <c r="G23" s="204"/>
      <c r="H23" s="204"/>
      <c r="I23" s="204"/>
      <c r="J23" s="204"/>
      <c r="K23" s="204"/>
      <c r="L23" s="49"/>
      <c r="M23" s="49"/>
      <c r="N23" s="49"/>
      <c r="O23" s="45">
        <v>2008</v>
      </c>
      <c r="P23" s="46">
        <f>'PC Class Annual'!E7</f>
        <v>64024829</v>
      </c>
      <c r="Q23" s="77">
        <f>'PC Class Annual'!G7</f>
        <v>24983111</v>
      </c>
      <c r="R23" s="46">
        <f>'PC Class Annual'!I7</f>
        <v>101312433.35942645</v>
      </c>
      <c r="S23" s="46">
        <f>'PC Class Annual'!K7</f>
        <v>1784998.4929277273</v>
      </c>
      <c r="T23" s="46">
        <f>'PC Class Annual'!M7</f>
        <v>12843.968223212556</v>
      </c>
      <c r="U23" s="46">
        <f>'PC Class Annual'!O7</f>
        <v>776225.46699999995</v>
      </c>
    </row>
    <row r="24" spans="3:69" x14ac:dyDescent="0.2">
      <c r="C24" s="43" t="s">
        <v>0</v>
      </c>
      <c r="D24" s="43" t="s">
        <v>29</v>
      </c>
      <c r="E24" s="44" t="s">
        <v>30</v>
      </c>
      <c r="F24" s="43" t="s">
        <v>2</v>
      </c>
      <c r="G24" s="44" t="s">
        <v>30</v>
      </c>
      <c r="H24" s="43" t="s">
        <v>57</v>
      </c>
      <c r="I24" s="44" t="s">
        <v>30</v>
      </c>
      <c r="J24" s="43" t="s">
        <v>33</v>
      </c>
      <c r="K24" s="44" t="s">
        <v>30</v>
      </c>
      <c r="O24" s="45">
        <v>2009</v>
      </c>
      <c r="P24" s="46">
        <f>'PC Class Annual'!E8</f>
        <v>63037704</v>
      </c>
      <c r="Q24" s="77">
        <f>'PC Class Annual'!G8</f>
        <v>23155644</v>
      </c>
      <c r="R24" s="46">
        <f>'PC Class Annual'!I8</f>
        <v>101400950.77839404</v>
      </c>
      <c r="S24" s="46">
        <f>'PC Class Annual'!K8</f>
        <v>1824489.3762836661</v>
      </c>
      <c r="T24" s="46">
        <f>'PC Class Annual'!M8</f>
        <v>11664.023445068788</v>
      </c>
      <c r="U24" s="46">
        <f>'PC Class Annual'!O8</f>
        <v>780483.49499999988</v>
      </c>
    </row>
    <row r="25" spans="3:69" x14ac:dyDescent="0.2">
      <c r="C25" s="45">
        <v>2005</v>
      </c>
      <c r="D25" s="46">
        <f>'PC Class Annual'!C4</f>
        <v>195959587.69999996</v>
      </c>
      <c r="E25" s="47"/>
      <c r="F25" s="46">
        <f>'PC Class Annual'!E4</f>
        <v>69411159.314027607</v>
      </c>
      <c r="G25" s="47"/>
      <c r="H25" s="46">
        <f>'PC Class Annual'!G4</f>
        <v>27949639.935809202</v>
      </c>
      <c r="I25" s="47"/>
      <c r="J25" s="46">
        <f>'PC Class Annual'!I4</f>
        <v>102180936.60903658</v>
      </c>
      <c r="K25" s="47"/>
      <c r="O25" s="45">
        <v>2010</v>
      </c>
      <c r="P25" s="46">
        <f>'PC Class Annual'!E9</f>
        <v>64264350</v>
      </c>
      <c r="Q25" s="77">
        <f>'PC Class Annual'!G9</f>
        <v>22781401.469999999</v>
      </c>
      <c r="R25" s="46">
        <f>'PC Class Annual'!I9</f>
        <v>102093243.05884923</v>
      </c>
      <c r="S25" s="46">
        <f>'PC Class Annual'!K9</f>
        <v>1628021.6955563508</v>
      </c>
      <c r="T25" s="46">
        <f>'PC Class Annual'!M9</f>
        <v>12475.084152922775</v>
      </c>
      <c r="U25" s="46">
        <f>'PC Class Annual'!O9</f>
        <v>695082.46799999999</v>
      </c>
    </row>
    <row r="26" spans="3:69" x14ac:dyDescent="0.2">
      <c r="C26" s="45">
        <v>2006</v>
      </c>
      <c r="D26" s="46">
        <f>'PC Class Annual'!C5</f>
        <v>201584864.27000001</v>
      </c>
      <c r="E26" s="47">
        <f t="shared" ref="E26:E31" si="6">D26/D25-1</f>
        <v>2.8706309479544112E-2</v>
      </c>
      <c r="F26" s="46">
        <f>'PC Class Annual'!E5</f>
        <v>64607126.828895561</v>
      </c>
      <c r="G26" s="47">
        <f t="shared" ref="G26:G31" si="7">F26/F25-1</f>
        <v>-6.9211241140603952E-2</v>
      </c>
      <c r="H26" s="46">
        <f>'PC Class Annual'!G5</f>
        <v>27726124.406899076</v>
      </c>
      <c r="I26" s="47">
        <f t="shared" ref="I26:I31" si="8">H26/H25-1</f>
        <v>-7.9970808004491412E-3</v>
      </c>
      <c r="J26" s="46">
        <f>'PC Class Annual'!I5</f>
        <v>105045704.35067068</v>
      </c>
      <c r="K26" s="47">
        <f t="shared" ref="K26:K31" si="9">J26/J25-1</f>
        <v>2.8036225118930336E-2</v>
      </c>
      <c r="O26" s="45">
        <v>2011</v>
      </c>
      <c r="P26" s="46">
        <f>'PC Class Annual'!E10</f>
        <v>64016802</v>
      </c>
      <c r="Q26" s="77">
        <f>'PC Class Annual'!G10</f>
        <v>23639289.530000009</v>
      </c>
      <c r="R26" s="46">
        <f>'PC Class Annual'!I10</f>
        <v>97295952.247736454</v>
      </c>
      <c r="S26" s="46">
        <f>'PC Class Annual'!K10</f>
        <v>1787582.0067424388</v>
      </c>
      <c r="T26" s="46">
        <f>'PC Class Annual'!M10</f>
        <v>13331.116547871314</v>
      </c>
      <c r="U26" s="46">
        <f>'PC Class Annual'!O10</f>
        <v>581814.92000000004</v>
      </c>
    </row>
    <row r="27" spans="3:69" x14ac:dyDescent="0.2">
      <c r="C27" s="45">
        <v>2007</v>
      </c>
      <c r="D27" s="46">
        <f>'PC Class Annual'!C6</f>
        <v>199297136.92000002</v>
      </c>
      <c r="E27" s="47">
        <f t="shared" si="6"/>
        <v>-1.1348705957089367E-2</v>
      </c>
      <c r="F27" s="46">
        <f>'PC Class Annual'!E6</f>
        <v>65310298.075968295</v>
      </c>
      <c r="G27" s="47">
        <f t="shared" si="7"/>
        <v>1.0883803097063938E-2</v>
      </c>
      <c r="H27" s="46">
        <f>'PC Class Annual'!G6</f>
        <v>26180948.828532469</v>
      </c>
      <c r="I27" s="47">
        <f t="shared" si="8"/>
        <v>-5.5729951856600679E-2</v>
      </c>
      <c r="J27" s="46">
        <f>'PC Class Annual'!I6</f>
        <v>100174043.01407748</v>
      </c>
      <c r="K27" s="47">
        <f t="shared" si="9"/>
        <v>-4.6376587854847329E-2</v>
      </c>
      <c r="P27" s="41"/>
      <c r="Q27" s="41"/>
      <c r="R27" s="41"/>
      <c r="S27" s="41"/>
      <c r="T27" s="41"/>
      <c r="U27" s="41"/>
    </row>
    <row r="28" spans="3:69" x14ac:dyDescent="0.2">
      <c r="C28" s="45">
        <v>2008</v>
      </c>
      <c r="D28" s="46">
        <f>'PC Class Annual'!C7</f>
        <v>205167974.10000002</v>
      </c>
      <c r="E28" s="47">
        <f t="shared" si="6"/>
        <v>2.9457709582434211E-2</v>
      </c>
      <c r="F28" s="46">
        <f>'PC Class Annual'!E7</f>
        <v>64024829</v>
      </c>
      <c r="G28" s="47">
        <f t="shared" si="7"/>
        <v>-1.9682486741571026E-2</v>
      </c>
      <c r="H28" s="46">
        <f>'PC Class Annual'!G7</f>
        <v>24983111</v>
      </c>
      <c r="I28" s="47">
        <f t="shared" si="8"/>
        <v>-4.5752269575006554E-2</v>
      </c>
      <c r="J28" s="46">
        <f>'PC Class Annual'!I7</f>
        <v>101312433.35942645</v>
      </c>
      <c r="K28" s="47">
        <f t="shared" si="9"/>
        <v>1.1364124987837343E-2</v>
      </c>
      <c r="O28" s="200" t="s">
        <v>71</v>
      </c>
      <c r="P28" s="201"/>
      <c r="Q28" s="201"/>
      <c r="R28" s="201"/>
      <c r="S28" s="201"/>
      <c r="T28" s="201"/>
      <c r="U28" s="201"/>
      <c r="Z28" s="191" t="s">
        <v>74</v>
      </c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59"/>
      <c r="AO28" s="191" t="s">
        <v>75</v>
      </c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F28" s="59"/>
      <c r="BG28" s="59" t="s">
        <v>76</v>
      </c>
    </row>
    <row r="29" spans="3:69" x14ac:dyDescent="0.2">
      <c r="C29" s="45">
        <v>2009</v>
      </c>
      <c r="D29" s="46">
        <f>'PC Class Annual'!C8</f>
        <v>193252102.80000001</v>
      </c>
      <c r="E29" s="47">
        <f t="shared" si="6"/>
        <v>-5.8078612669792973E-2</v>
      </c>
      <c r="F29" s="46">
        <f>'PC Class Annual'!E8</f>
        <v>63037704</v>
      </c>
      <c r="G29" s="47">
        <f t="shared" si="7"/>
        <v>-1.5417846723182915E-2</v>
      </c>
      <c r="H29" s="46">
        <f>'PC Class Annual'!G8</f>
        <v>23155644</v>
      </c>
      <c r="I29" s="47">
        <f t="shared" si="8"/>
        <v>-7.3148095927684897E-2</v>
      </c>
      <c r="J29" s="46">
        <f>'PC Class Annual'!I8</f>
        <v>101400950.77839404</v>
      </c>
      <c r="K29" s="47">
        <f t="shared" si="9"/>
        <v>8.7370736278291616E-4</v>
      </c>
      <c r="O29" s="202" t="s">
        <v>27</v>
      </c>
      <c r="P29" s="203"/>
      <c r="Q29" s="203"/>
      <c r="R29" s="203"/>
      <c r="S29" s="203"/>
      <c r="T29" s="203"/>
      <c r="U29" s="203"/>
      <c r="Z29" s="193" t="s">
        <v>27</v>
      </c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59"/>
      <c r="AO29" s="193" t="s">
        <v>27</v>
      </c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F29" s="59"/>
      <c r="BG29" s="193" t="s">
        <v>27</v>
      </c>
      <c r="BH29" s="199"/>
      <c r="BI29" s="199"/>
      <c r="BK29" s="193" t="s">
        <v>58</v>
      </c>
      <c r="BL29" s="199"/>
      <c r="BM29" s="199"/>
      <c r="BO29" s="193" t="s">
        <v>62</v>
      </c>
      <c r="BP29" s="199"/>
      <c r="BQ29" s="199"/>
    </row>
    <row r="30" spans="3:69" x14ac:dyDescent="0.2">
      <c r="C30" s="45">
        <v>2010</v>
      </c>
      <c r="D30" s="46">
        <f>'PC Class Annual'!C9</f>
        <v>201725426.09999999</v>
      </c>
      <c r="E30" s="47">
        <f t="shared" si="6"/>
        <v>4.3845956536727515E-2</v>
      </c>
      <c r="F30" s="46">
        <f>'PC Class Annual'!E9</f>
        <v>64264350</v>
      </c>
      <c r="G30" s="47">
        <f t="shared" si="7"/>
        <v>1.9458925724832765E-2</v>
      </c>
      <c r="H30" s="46">
        <f>'PC Class Annual'!G9</f>
        <v>22781401.469999999</v>
      </c>
      <c r="I30" s="47">
        <f t="shared" si="8"/>
        <v>-1.6162043690082672E-2</v>
      </c>
      <c r="J30" s="46">
        <f>'PC Class Annual'!I9</f>
        <v>102093243.05884923</v>
      </c>
      <c r="K30" s="47">
        <f t="shared" si="9"/>
        <v>6.8272760278960121E-3</v>
      </c>
      <c r="O30" s="50" t="s">
        <v>0</v>
      </c>
      <c r="P30" s="50" t="s">
        <v>37</v>
      </c>
      <c r="Q30" s="50" t="s">
        <v>38</v>
      </c>
      <c r="R30" s="50" t="s">
        <v>39</v>
      </c>
      <c r="S30" s="50" t="s">
        <v>40</v>
      </c>
      <c r="T30" s="50" t="s">
        <v>41</v>
      </c>
      <c r="U30" s="50" t="s">
        <v>42</v>
      </c>
      <c r="Z30" s="58" t="s">
        <v>0</v>
      </c>
      <c r="AA30" s="58" t="s">
        <v>37</v>
      </c>
      <c r="AB30" s="55" t="s">
        <v>30</v>
      </c>
      <c r="AC30" s="58" t="s">
        <v>38</v>
      </c>
      <c r="AD30" s="55" t="s">
        <v>30</v>
      </c>
      <c r="AE30" s="58" t="s">
        <v>39</v>
      </c>
      <c r="AF30" s="55" t="s">
        <v>30</v>
      </c>
      <c r="AG30" s="58" t="s">
        <v>40</v>
      </c>
      <c r="AH30" s="55" t="s">
        <v>30</v>
      </c>
      <c r="AI30" s="58" t="s">
        <v>41</v>
      </c>
      <c r="AJ30" s="55" t="s">
        <v>30</v>
      </c>
      <c r="AK30" s="58" t="s">
        <v>42</v>
      </c>
      <c r="AL30" s="55" t="s">
        <v>30</v>
      </c>
      <c r="AO30" s="58" t="s">
        <v>0</v>
      </c>
      <c r="AP30" s="58" t="s">
        <v>37</v>
      </c>
      <c r="AQ30" s="55" t="s">
        <v>30</v>
      </c>
      <c r="AR30" s="58" t="s">
        <v>38</v>
      </c>
      <c r="AS30" s="55" t="s">
        <v>30</v>
      </c>
      <c r="AT30" s="71" t="s">
        <v>39</v>
      </c>
      <c r="AU30" s="72" t="s">
        <v>30</v>
      </c>
      <c r="AV30" s="71" t="s">
        <v>40</v>
      </c>
      <c r="AW30" s="72" t="s">
        <v>30</v>
      </c>
      <c r="AX30" s="71" t="s">
        <v>41</v>
      </c>
      <c r="AY30" s="72" t="s">
        <v>30</v>
      </c>
      <c r="AZ30" s="71" t="s">
        <v>42</v>
      </c>
      <c r="BA30" s="72" t="s">
        <v>30</v>
      </c>
      <c r="BF30" s="58" t="s">
        <v>0</v>
      </c>
      <c r="BG30" s="58" t="s">
        <v>39</v>
      </c>
      <c r="BH30" s="50" t="s">
        <v>40</v>
      </c>
      <c r="BI30" s="50" t="s">
        <v>41</v>
      </c>
      <c r="BJ30" s="50"/>
      <c r="BK30" s="58" t="s">
        <v>39</v>
      </c>
      <c r="BL30" s="50" t="s">
        <v>40</v>
      </c>
      <c r="BM30" s="50" t="s">
        <v>41</v>
      </c>
      <c r="BN30" s="50"/>
      <c r="BO30" s="58" t="s">
        <v>39</v>
      </c>
      <c r="BP30" s="50" t="s">
        <v>40</v>
      </c>
      <c r="BQ30" s="50" t="s">
        <v>41</v>
      </c>
    </row>
    <row r="31" spans="3:69" x14ac:dyDescent="0.2">
      <c r="C31" s="45">
        <v>2011</v>
      </c>
      <c r="D31" s="46">
        <f>'PC Class Annual'!C10</f>
        <v>212603910.42000002</v>
      </c>
      <c r="E31" s="47">
        <f t="shared" si="6"/>
        <v>5.3927184739752665E-2</v>
      </c>
      <c r="F31" s="46">
        <f>'PC Class Annual'!E10</f>
        <v>64016802</v>
      </c>
      <c r="G31" s="47">
        <f t="shared" si="7"/>
        <v>-3.8520268235809896E-3</v>
      </c>
      <c r="H31" s="46">
        <f>'PC Class Annual'!G10</f>
        <v>23639289.530000009</v>
      </c>
      <c r="I31" s="47">
        <f t="shared" si="8"/>
        <v>3.7657387370558792E-2</v>
      </c>
      <c r="J31" s="46">
        <f>'PC Class Annual'!I10</f>
        <v>97295952.247736454</v>
      </c>
      <c r="K31" s="47">
        <f t="shared" si="9"/>
        <v>-4.6989307689515702E-2</v>
      </c>
      <c r="O31" s="45">
        <v>2007</v>
      </c>
      <c r="P31" s="41">
        <f>'EOP Class Annual'!F19</f>
        <v>3099.5</v>
      </c>
      <c r="Q31" s="41">
        <f>'EOP Class Annual'!H19</f>
        <v>410.5</v>
      </c>
      <c r="R31" s="41">
        <f>'EOP Class Annual'!J19</f>
        <v>34.5</v>
      </c>
      <c r="S31" s="41">
        <f>'EOP Class Annual'!L19</f>
        <v>589</v>
      </c>
      <c r="T31" s="53">
        <f>'EOP Class Annual'!N19</f>
        <v>84.5</v>
      </c>
      <c r="U31" s="41">
        <f>'EOP Class Annual'!P19</f>
        <v>8</v>
      </c>
      <c r="Z31" s="59">
        <v>2007</v>
      </c>
      <c r="AA31" s="60">
        <f>'EOP Class Annual'!F19</f>
        <v>3099.5</v>
      </c>
      <c r="AB31" s="56"/>
      <c r="AC31" s="60">
        <f>'EOP Class Annual'!H19</f>
        <v>410.5</v>
      </c>
      <c r="AD31" s="56"/>
      <c r="AE31" s="60">
        <f>'EOP Class Annual'!J19</f>
        <v>34.5</v>
      </c>
      <c r="AF31" s="56"/>
      <c r="AG31" s="60">
        <f>'EOP Class Annual'!L19</f>
        <v>589</v>
      </c>
      <c r="AH31" s="56"/>
      <c r="AI31" s="60">
        <f>'EOP Class Annual'!N19</f>
        <v>84.5</v>
      </c>
      <c r="AJ31" s="56"/>
      <c r="AK31" s="60"/>
      <c r="AL31" s="56"/>
      <c r="AO31" s="59">
        <v>2007</v>
      </c>
      <c r="AP31" s="60">
        <f>$Q$80*AA31</f>
        <v>29294673.52363893</v>
      </c>
      <c r="AQ31" s="56"/>
      <c r="AR31" s="60">
        <f>$R$84*Q31</f>
        <v>13941388.33116849</v>
      </c>
      <c r="AS31" s="56"/>
      <c r="AT31" s="73">
        <f>R6</f>
        <v>21927990.694886111</v>
      </c>
      <c r="AU31" s="74"/>
      <c r="AV31" s="73">
        <f>S6</f>
        <v>537726.07414287957</v>
      </c>
      <c r="AW31" s="74"/>
      <c r="AX31" s="73">
        <f>T6</f>
        <v>75740.396291011435</v>
      </c>
      <c r="AY31" s="74"/>
      <c r="AZ31" s="73"/>
      <c r="BA31" s="74"/>
      <c r="BF31" s="59">
        <v>2007</v>
      </c>
      <c r="BG31" s="60">
        <f>SUM('Monthly Data-EOP'!H38:H49)</f>
        <v>66539</v>
      </c>
      <c r="BH31" s="41">
        <f>SUM('Monthly Data-EOP'!K38:K49)</f>
        <v>1635</v>
      </c>
      <c r="BI31" s="41">
        <f>SUM('Monthly Data-EOP'!N38:N49)</f>
        <v>228</v>
      </c>
      <c r="BJ31" s="41"/>
      <c r="BK31" s="60">
        <f>SUM('Monthly Data-FE'!H38:H49)</f>
        <v>383911</v>
      </c>
      <c r="BL31" s="41">
        <f>SUM('Monthly Data-FE'!K38:K49)</f>
        <v>6653.0000000000009</v>
      </c>
      <c r="BM31" s="41">
        <f>SUM('Monthly Data-FE'!N38:N49)</f>
        <v>2423</v>
      </c>
      <c r="BN31" s="41"/>
      <c r="BO31" s="60">
        <f>SUM('Monthly Data-PC'!H38:H49)</f>
        <v>365187</v>
      </c>
      <c r="BP31" s="41">
        <f>SUM('Monthly Data-PC'!K38:K49)</f>
        <v>5466</v>
      </c>
      <c r="BQ31" s="40">
        <f>SUM('Monthly Data-PC'!N38:N49)</f>
        <v>42</v>
      </c>
    </row>
    <row r="32" spans="3:69" x14ac:dyDescent="0.2">
      <c r="C32" s="45"/>
      <c r="D32" s="45"/>
      <c r="E32" s="45"/>
      <c r="F32" s="45"/>
      <c r="G32" s="45"/>
      <c r="H32" s="45"/>
      <c r="I32" s="45"/>
      <c r="J32" s="45"/>
      <c r="K32" s="45"/>
      <c r="O32" s="45">
        <v>2008</v>
      </c>
      <c r="P32" s="41">
        <f>'EOP Class Annual'!F20</f>
        <v>3100</v>
      </c>
      <c r="Q32" s="41">
        <f>'EOP Class Annual'!H20</f>
        <v>405.5</v>
      </c>
      <c r="R32" s="41">
        <f>'EOP Class Annual'!J20</f>
        <v>34.5</v>
      </c>
      <c r="S32" s="41">
        <f>'EOP Class Annual'!L20</f>
        <v>591.5</v>
      </c>
      <c r="T32" s="53">
        <f>'EOP Class Annual'!N20</f>
        <v>87.5</v>
      </c>
      <c r="U32" s="41">
        <f>'EOP Class Annual'!P20</f>
        <v>7</v>
      </c>
      <c r="Z32" s="59">
        <v>2008</v>
      </c>
      <c r="AA32" s="60">
        <f>'EOP Class Annual'!F20</f>
        <v>3100</v>
      </c>
      <c r="AB32" s="56">
        <f t="shared" ref="AB32:AB37" si="10">AA32/AA31-1</f>
        <v>1.6131634134541883E-4</v>
      </c>
      <c r="AC32" s="60">
        <f>'EOP Class Annual'!H20</f>
        <v>405.5</v>
      </c>
      <c r="AD32" s="56">
        <f t="shared" ref="AD32:AD37" si="11">AC32/AC31-1</f>
        <v>-1.218026796589522E-2</v>
      </c>
      <c r="AE32" s="60">
        <f>'EOP Class Annual'!J20</f>
        <v>34.5</v>
      </c>
      <c r="AF32" s="56">
        <f t="shared" ref="AF32:AF37" si="12">AE32/AE31-1</f>
        <v>0</v>
      </c>
      <c r="AG32" s="60">
        <f>'EOP Class Annual'!L20</f>
        <v>591.5</v>
      </c>
      <c r="AH32" s="56">
        <f t="shared" ref="AH32:AH37" si="13">AG32/AG31-1</f>
        <v>4.2444821731748572E-3</v>
      </c>
      <c r="AI32" s="60">
        <f>'EOP Class Annual'!N20</f>
        <v>87.5</v>
      </c>
      <c r="AJ32" s="56">
        <f t="shared" ref="AJ32:AJ37" si="14">AI32/AI31-1</f>
        <v>3.5502958579881616E-2</v>
      </c>
      <c r="AK32" s="60">
        <f>'EOP Class Annual'!P20</f>
        <v>7</v>
      </c>
      <c r="AL32" s="56"/>
      <c r="AO32" s="59">
        <v>2008</v>
      </c>
      <c r="AP32" s="60">
        <f t="shared" ref="AP32:AP37" si="15">$Q$80*AA32</f>
        <v>29299399.233192671</v>
      </c>
      <c r="AQ32" s="56">
        <f t="shared" ref="AQ32:AQ37" si="16">AP32/AP31-1</f>
        <v>1.6131634134541883E-4</v>
      </c>
      <c r="AR32" s="60">
        <f>$R$84*Q32</f>
        <v>13771578.485478252</v>
      </c>
      <c r="AS32" s="56">
        <f t="shared" ref="AS32:AS37" si="17">AR32/AR31-1</f>
        <v>-1.218026796589522E-2</v>
      </c>
      <c r="AT32" s="73">
        <f>R7</f>
        <v>19273551.376574896</v>
      </c>
      <c r="AU32" s="74">
        <f t="shared" ref="AU32:AU37" si="18">AT32/AT31-1</f>
        <v>-0.12105255585183483</v>
      </c>
      <c r="AV32" s="73">
        <f>S7</f>
        <v>543667.26318245474</v>
      </c>
      <c r="AW32" s="74">
        <f t="shared" ref="AW32:AW37" si="19">AV32/AV31-1</f>
        <v>1.1048727828653737E-2</v>
      </c>
      <c r="AX32" s="73">
        <f>T7</f>
        <v>72742.539897340175</v>
      </c>
      <c r="AY32" s="74">
        <f t="shared" ref="AY32:AY37" si="20">AX32/AX31-1</f>
        <v>-3.9580680066061857E-2</v>
      </c>
      <c r="AZ32" s="73">
        <f>U7</f>
        <v>154972.367</v>
      </c>
      <c r="BA32" s="74"/>
      <c r="BF32" s="59">
        <v>2008</v>
      </c>
      <c r="BG32" s="60">
        <f>SUM('Monthly Data-EOP'!H50:H61)</f>
        <v>65863</v>
      </c>
      <c r="BH32" s="41">
        <f>SUM('Monthly Data-EOP'!K50:K61)</f>
        <v>2040.9999999999998</v>
      </c>
      <c r="BI32" s="41">
        <f>SUM('Monthly Data-EOP'!N50:N61)</f>
        <v>258</v>
      </c>
      <c r="BJ32" s="41"/>
      <c r="BK32" s="60">
        <f>SUM('Monthly Data-FE'!H50:H61)</f>
        <v>386699.99999999994</v>
      </c>
      <c r="BL32" s="41">
        <f>SUM('Monthly Data-FE'!K50:K61)</f>
        <v>7167.9999999999991</v>
      </c>
      <c r="BM32" s="41">
        <f>SUM('Monthly Data-FE'!N50:N61)</f>
        <v>2480</v>
      </c>
      <c r="BN32" s="41"/>
      <c r="BO32" s="60">
        <f>SUM('Monthly Data-PC'!H50:H61)</f>
        <v>414302</v>
      </c>
      <c r="BP32" s="41">
        <f>SUM('Monthly Data-PC'!K50:K61)</f>
        <v>5499.9999999999991</v>
      </c>
      <c r="BQ32" s="40">
        <f>SUM('Monthly Data-PC'!N50:N61)</f>
        <v>40</v>
      </c>
    </row>
    <row r="33" spans="3:69" x14ac:dyDescent="0.2">
      <c r="C33" s="45"/>
      <c r="D33" s="45"/>
      <c r="E33" s="43" t="s">
        <v>0</v>
      </c>
      <c r="F33" s="43" t="s">
        <v>59</v>
      </c>
      <c r="G33" s="44" t="s">
        <v>30</v>
      </c>
      <c r="H33" s="43" t="s">
        <v>60</v>
      </c>
      <c r="I33" s="44" t="s">
        <v>30</v>
      </c>
      <c r="J33" s="43" t="s">
        <v>61</v>
      </c>
      <c r="K33" s="44" t="s">
        <v>30</v>
      </c>
      <c r="O33" s="45">
        <v>2009</v>
      </c>
      <c r="P33" s="41">
        <f>'EOP Class Annual'!F21</f>
        <v>3102</v>
      </c>
      <c r="Q33" s="41">
        <f>'EOP Class Annual'!H21</f>
        <v>400</v>
      </c>
      <c r="R33" s="41">
        <f>'EOP Class Annual'!J21</f>
        <v>34</v>
      </c>
      <c r="S33" s="41">
        <f>'EOP Class Annual'!L21</f>
        <v>607.5</v>
      </c>
      <c r="T33" s="53">
        <f>'EOP Class Annual'!N21</f>
        <v>89</v>
      </c>
      <c r="U33" s="41">
        <f>'EOP Class Annual'!P21</f>
        <v>6</v>
      </c>
      <c r="Z33" s="59">
        <v>2009</v>
      </c>
      <c r="AA33" s="60">
        <f>'EOP Class Annual'!F21</f>
        <v>3102</v>
      </c>
      <c r="AB33" s="56">
        <f t="shared" si="10"/>
        <v>6.4516129032266001E-4</v>
      </c>
      <c r="AC33" s="60">
        <f>'EOP Class Annual'!H21</f>
        <v>400</v>
      </c>
      <c r="AD33" s="56">
        <f t="shared" si="11"/>
        <v>-1.3563501849568449E-2</v>
      </c>
      <c r="AE33" s="60">
        <f>'EOP Class Annual'!J21</f>
        <v>34</v>
      </c>
      <c r="AF33" s="56">
        <f t="shared" si="12"/>
        <v>-1.4492753623188359E-2</v>
      </c>
      <c r="AG33" s="60">
        <f>'EOP Class Annual'!L21</f>
        <v>607.5</v>
      </c>
      <c r="AH33" s="56">
        <f t="shared" si="13"/>
        <v>2.7049873203719432E-2</v>
      </c>
      <c r="AI33" s="60">
        <f>'EOP Class Annual'!N21</f>
        <v>89</v>
      </c>
      <c r="AJ33" s="56">
        <f t="shared" si="14"/>
        <v>1.7142857142857126E-2</v>
      </c>
      <c r="AK33" s="60">
        <f>'EOP Class Annual'!P21</f>
        <v>6</v>
      </c>
      <c r="AL33" s="56">
        <f>AK33/AK32-1</f>
        <v>-0.1428571428571429</v>
      </c>
      <c r="AO33" s="59">
        <v>2009</v>
      </c>
      <c r="AP33" s="60">
        <f t="shared" si="15"/>
        <v>29318302.071407631</v>
      </c>
      <c r="AQ33" s="56">
        <f t="shared" si="16"/>
        <v>6.4516129032243796E-4</v>
      </c>
      <c r="AR33" s="60">
        <f>$R$80*AC33</f>
        <v>12484529.578716483</v>
      </c>
      <c r="AS33" s="56">
        <f t="shared" si="17"/>
        <v>-9.3456890807319337E-2</v>
      </c>
      <c r="AT33" s="73">
        <f>R8</f>
        <v>17770090.012132525</v>
      </c>
      <c r="AU33" s="74">
        <f t="shared" si="18"/>
        <v>-7.8006452213559396E-2</v>
      </c>
      <c r="AV33" s="73">
        <f>S8</f>
        <v>554732.98133457778</v>
      </c>
      <c r="AW33" s="74">
        <f t="shared" si="19"/>
        <v>2.035384306082344E-2</v>
      </c>
      <c r="AX33" s="73">
        <f>T8</f>
        <v>70624.021465235666</v>
      </c>
      <c r="AY33" s="74">
        <f t="shared" si="20"/>
        <v>-2.9123514728717548E-2</v>
      </c>
      <c r="AZ33" s="73">
        <f>U8</f>
        <v>159317.93</v>
      </c>
      <c r="BA33" s="74">
        <f>AZ33/AZ32-1</f>
        <v>2.8040889379975731E-2</v>
      </c>
      <c r="BF33" s="59">
        <v>2009</v>
      </c>
      <c r="BG33" s="60">
        <f>SUM('Monthly Data-EOP'!H62:H73)</f>
        <v>54592</v>
      </c>
      <c r="BH33" s="41">
        <f>SUM('Monthly Data-EOP'!K62:K73)</f>
        <v>1680</v>
      </c>
      <c r="BI33" s="41">
        <f>SUM('Monthly Data-EOP'!N62:N73)</f>
        <v>232.00000000000003</v>
      </c>
      <c r="BJ33" s="41"/>
      <c r="BK33" s="60">
        <f>SUM('Monthly Data-FE'!H62:H73)</f>
        <v>366305.00000000006</v>
      </c>
      <c r="BL33" s="41">
        <f>SUM('Monthly Data-FE'!K62:K73)</f>
        <v>7658.0000000000009</v>
      </c>
      <c r="BM33" s="41">
        <f>SUM('Monthly Data-FE'!N62:N73)</f>
        <v>2257</v>
      </c>
      <c r="BN33" s="41"/>
      <c r="BO33" s="60">
        <f>SUM('Monthly Data-PC'!H62:H73)</f>
        <v>358674.00000000006</v>
      </c>
      <c r="BP33" s="41">
        <f>SUM('Monthly Data-PC'!K62:K73)</f>
        <v>4990</v>
      </c>
      <c r="BQ33" s="40">
        <f>SUM('Monthly Data-PC'!N62:N73)</f>
        <v>38</v>
      </c>
    </row>
    <row r="34" spans="3:69" x14ac:dyDescent="0.2">
      <c r="C34" s="45"/>
      <c r="D34" s="45"/>
      <c r="E34" s="45">
        <v>2005</v>
      </c>
      <c r="F34" s="46">
        <f>'PC Class Annual'!K4</f>
        <v>1834852.0874239283</v>
      </c>
      <c r="G34" s="47"/>
      <c r="H34" s="46">
        <f>'PC Class Annual'!M4</f>
        <v>15820.053702688694</v>
      </c>
      <c r="I34" s="47"/>
      <c r="J34" s="46">
        <f>'PC Class Annual'!O4</f>
        <v>0</v>
      </c>
      <c r="K34" s="47"/>
      <c r="O34" s="45">
        <v>2010</v>
      </c>
      <c r="P34" s="41">
        <f>'EOP Class Annual'!F22</f>
        <v>3102</v>
      </c>
      <c r="Q34" s="41">
        <f>'EOP Class Annual'!H22</f>
        <v>396</v>
      </c>
      <c r="R34" s="41">
        <f>'EOP Class Annual'!J22</f>
        <v>31</v>
      </c>
      <c r="S34" s="41">
        <f>'EOP Class Annual'!L22</f>
        <v>621.5</v>
      </c>
      <c r="T34" s="41">
        <f>'EOP Class Annual'!N22</f>
        <v>73.5</v>
      </c>
      <c r="U34" s="41">
        <f>'EOP Class Annual'!P22</f>
        <v>6</v>
      </c>
      <c r="Z34" s="59">
        <v>2010</v>
      </c>
      <c r="AA34" s="60">
        <f>'EOP Class Annual'!F22</f>
        <v>3102</v>
      </c>
      <c r="AB34" s="56">
        <f t="shared" si="10"/>
        <v>0</v>
      </c>
      <c r="AC34" s="60">
        <f>'EOP Class Annual'!H22</f>
        <v>396</v>
      </c>
      <c r="AD34" s="56">
        <f t="shared" si="11"/>
        <v>-1.0000000000000009E-2</v>
      </c>
      <c r="AE34" s="60">
        <f>'EOP Class Annual'!J22</f>
        <v>31</v>
      </c>
      <c r="AF34" s="56">
        <f t="shared" si="12"/>
        <v>-8.8235294117647078E-2</v>
      </c>
      <c r="AG34" s="60">
        <f>'EOP Class Annual'!L22</f>
        <v>621.5</v>
      </c>
      <c r="AH34" s="56">
        <f t="shared" si="13"/>
        <v>2.3045267489711918E-2</v>
      </c>
      <c r="AI34" s="60">
        <f>'EOP Class Annual'!N22</f>
        <v>73.5</v>
      </c>
      <c r="AJ34" s="56">
        <f t="shared" si="14"/>
        <v>-0.1741573033707865</v>
      </c>
      <c r="AK34" s="60">
        <f>'EOP Class Annual'!P22</f>
        <v>6</v>
      </c>
      <c r="AL34" s="56">
        <f>AK34/AK33-1</f>
        <v>0</v>
      </c>
      <c r="AO34" s="59">
        <v>2010</v>
      </c>
      <c r="AP34" s="60">
        <f t="shared" si="15"/>
        <v>29318302.071407631</v>
      </c>
      <c r="AQ34" s="56">
        <f t="shared" si="16"/>
        <v>0</v>
      </c>
      <c r="AR34" s="60">
        <f>$R$80*AC34</f>
        <v>12359684.282929318</v>
      </c>
      <c r="AS34" s="56">
        <f t="shared" si="17"/>
        <v>-1.0000000000000009E-2</v>
      </c>
      <c r="AT34" s="73">
        <f>R9</f>
        <v>17583454.400303438</v>
      </c>
      <c r="AU34" s="74">
        <f t="shared" si="18"/>
        <v>-1.0502794960614237E-2</v>
      </c>
      <c r="AV34" s="73">
        <f>S9</f>
        <v>277802.77668003703</v>
      </c>
      <c r="AW34" s="74">
        <f t="shared" si="19"/>
        <v>-0.49921352068936209</v>
      </c>
      <c r="AX34" s="73">
        <f>T9</f>
        <v>67962.008912351695</v>
      </c>
      <c r="AY34" s="74">
        <f t="shared" si="20"/>
        <v>-3.7692735384579179E-2</v>
      </c>
      <c r="AZ34" s="73">
        <f>U9</f>
        <v>160434.53400000001</v>
      </c>
      <c r="BA34" s="74">
        <f>AZ34/AZ33-1</f>
        <v>7.0086524473422784E-3</v>
      </c>
      <c r="BF34" s="59">
        <v>2010</v>
      </c>
      <c r="BG34" s="60">
        <f>SUM('Monthly Data-EOP'!H74:H85)</f>
        <v>58146.000000000007</v>
      </c>
      <c r="BH34" s="41">
        <f>SUM('Monthly Data-EOP'!K74:K85)</f>
        <v>1749</v>
      </c>
      <c r="BI34" s="41">
        <f>SUM('Monthly Data-EOP'!N74:N85)</f>
        <v>240</v>
      </c>
      <c r="BJ34" s="41"/>
      <c r="BK34" s="60">
        <f>SUM('Monthly Data-FE'!H74:H85)</f>
        <v>368891.00000000006</v>
      </c>
      <c r="BL34" s="41">
        <f>SUM('Monthly Data-FE'!K74:K85)</f>
        <v>7077.9999999999991</v>
      </c>
      <c r="BM34" s="41">
        <f>SUM('Monthly Data-FE'!N74:N85)</f>
        <v>2508</v>
      </c>
      <c r="BN34" s="41"/>
      <c r="BO34" s="60">
        <f>SUM('Monthly Data-PC'!H74:H85)</f>
        <v>379400</v>
      </c>
      <c r="BP34" s="41">
        <f>SUM('Monthly Data-PC'!K74:K85)</f>
        <v>5657.0000000000009</v>
      </c>
      <c r="BQ34" s="40">
        <f>SUM('Monthly Data-PC'!N74:N85)</f>
        <v>46.999999999999993</v>
      </c>
    </row>
    <row r="35" spans="3:69" x14ac:dyDescent="0.2">
      <c r="C35" s="45"/>
      <c r="D35" s="45"/>
      <c r="E35" s="45">
        <v>2006</v>
      </c>
      <c r="F35" s="46">
        <f>'PC Class Annual'!K5</f>
        <v>1882492.3896762624</v>
      </c>
      <c r="G35" s="47">
        <f t="shared" ref="G35:G40" si="21">F35/F34-1</f>
        <v>2.5964110447300071E-2</v>
      </c>
      <c r="H35" s="46">
        <f>'PC Class Annual'!M5</f>
        <v>14706.023858450581</v>
      </c>
      <c r="I35" s="47">
        <f t="shared" ref="I35:I40" si="22">H35/H34-1</f>
        <v>-7.0418840869596933E-2</v>
      </c>
      <c r="J35" s="46">
        <f>'PC Class Annual'!O5</f>
        <v>0</v>
      </c>
      <c r="K35" s="47"/>
      <c r="O35" s="45">
        <v>2011</v>
      </c>
      <c r="P35" s="41">
        <f>'EOP Class Annual'!F23</f>
        <v>3111.5</v>
      </c>
      <c r="Q35" s="41">
        <f>'EOP Class Annual'!H23</f>
        <v>398.5</v>
      </c>
      <c r="R35" s="41">
        <f>'EOP Class Annual'!J23</f>
        <v>26.5</v>
      </c>
      <c r="S35" s="41">
        <f>'EOP Class Annual'!L23</f>
        <v>622</v>
      </c>
      <c r="T35" s="41">
        <f>'EOP Class Annual'!N23</f>
        <v>58</v>
      </c>
      <c r="U35" s="41">
        <f>'EOP Class Annual'!P23</f>
        <v>6</v>
      </c>
      <c r="Z35" s="59">
        <v>2011</v>
      </c>
      <c r="AA35" s="60">
        <f>'EOP Class Annual'!F23</f>
        <v>3111.5</v>
      </c>
      <c r="AB35" s="56">
        <f t="shared" si="10"/>
        <v>3.0625402965829274E-3</v>
      </c>
      <c r="AC35" s="60">
        <f>'EOP Class Annual'!H23</f>
        <v>398.5</v>
      </c>
      <c r="AD35" s="56">
        <f t="shared" si="11"/>
        <v>6.3131313131312705E-3</v>
      </c>
      <c r="AE35" s="60">
        <f>'EOP Class Annual'!J23</f>
        <v>26.5</v>
      </c>
      <c r="AF35" s="56">
        <f t="shared" si="12"/>
        <v>-0.14516129032258063</v>
      </c>
      <c r="AG35" s="60">
        <f>'EOP Class Annual'!L23</f>
        <v>622</v>
      </c>
      <c r="AH35" s="56">
        <f t="shared" si="13"/>
        <v>8.045052292839916E-4</v>
      </c>
      <c r="AI35" s="60">
        <f>'EOP Class Annual'!N23</f>
        <v>58</v>
      </c>
      <c r="AJ35" s="56">
        <f t="shared" si="14"/>
        <v>-0.21088435374149661</v>
      </c>
      <c r="AK35" s="60">
        <f>'EOP Class Annual'!P23</f>
        <v>6</v>
      </c>
      <c r="AL35" s="56">
        <f>AK35/AK34-1</f>
        <v>0</v>
      </c>
      <c r="AO35" s="59">
        <v>2011</v>
      </c>
      <c r="AP35" s="60">
        <f t="shared" si="15"/>
        <v>29408090.552928705</v>
      </c>
      <c r="AQ35" s="56">
        <f t="shared" si="16"/>
        <v>3.0625402965829274E-3</v>
      </c>
      <c r="AR35" s="60">
        <f>$R$80*AC35</f>
        <v>12437712.592796296</v>
      </c>
      <c r="AS35" s="56">
        <f t="shared" si="17"/>
        <v>6.3131313131312705E-3</v>
      </c>
      <c r="AT35" s="73">
        <f>R10</f>
        <v>17421028.1837858</v>
      </c>
      <c r="AU35" s="74">
        <f t="shared" si="18"/>
        <v>-9.2374463413079644E-3</v>
      </c>
      <c r="AV35" s="73">
        <f>S10</f>
        <v>551512.36122772645</v>
      </c>
      <c r="AW35" s="74">
        <f t="shared" si="19"/>
        <v>0.98526583434023052</v>
      </c>
      <c r="AX35" s="73">
        <f>T10</f>
        <v>60461.701837858011</v>
      </c>
      <c r="AY35" s="74">
        <f t="shared" si="20"/>
        <v>-0.11036029091144994</v>
      </c>
      <c r="AZ35" s="73">
        <f>U10</f>
        <v>157457.614</v>
      </c>
      <c r="BA35" s="74">
        <f>AZ35/AZ34-1</f>
        <v>-1.855535666653918E-2</v>
      </c>
      <c r="BF35" s="59">
        <v>2011</v>
      </c>
      <c r="BG35" s="41">
        <f>SUM('Monthly Data-EOP'!H86:H97)</f>
        <v>48372</v>
      </c>
      <c r="BH35" s="41">
        <f>SUM('Monthly Data-EOP'!K86:K97)</f>
        <v>1746</v>
      </c>
      <c r="BI35" s="41">
        <f>SUM('Monthly Data-EOP'!N86:N97)</f>
        <v>156</v>
      </c>
      <c r="BJ35" s="41"/>
      <c r="BK35" s="41">
        <f>SUM('Monthly Data-FE'!H86:H97)</f>
        <v>337445</v>
      </c>
      <c r="BL35" s="41">
        <f>SUM('Monthly Data-FE'!K86:K97)</f>
        <v>6516</v>
      </c>
      <c r="BM35" s="41">
        <f>SUM('Monthly Data-FE'!N86:N97)</f>
        <v>2109</v>
      </c>
      <c r="BN35" s="41"/>
      <c r="BO35" s="41">
        <f>SUM('Monthly Data-PC'!H86:H97)</f>
        <v>374474</v>
      </c>
      <c r="BP35" s="41">
        <f>SUM('Monthly Data-PC'!K86:K97)</f>
        <v>5461</v>
      </c>
      <c r="BQ35" s="40">
        <f>SUM('Monthly Data-PC'!N86:N97)</f>
        <v>40</v>
      </c>
    </row>
    <row r="36" spans="3:69" x14ac:dyDescent="0.2">
      <c r="C36" s="45"/>
      <c r="D36" s="45"/>
      <c r="E36" s="45">
        <v>2007</v>
      </c>
      <c r="F36" s="46">
        <f>'PC Class Annual'!K6</f>
        <v>1791642.3671807409</v>
      </c>
      <c r="G36" s="47">
        <f t="shared" si="21"/>
        <v>-4.8260499215694197E-2</v>
      </c>
      <c r="H36" s="46">
        <f>'PC Class Annual'!M6</f>
        <v>13991.781863981172</v>
      </c>
      <c r="I36" s="47">
        <f t="shared" si="22"/>
        <v>-4.8567988284541008E-2</v>
      </c>
      <c r="J36" s="46">
        <f>'PC Class Annual'!O6</f>
        <v>175151.93237703148</v>
      </c>
      <c r="K36" s="47"/>
      <c r="P36" s="41"/>
      <c r="Q36" s="41"/>
      <c r="R36" s="41"/>
      <c r="S36" s="41"/>
      <c r="T36" s="41"/>
      <c r="U36" s="41"/>
      <c r="Z36" s="61">
        <v>2012</v>
      </c>
      <c r="AA36" s="62">
        <f>AA35</f>
        <v>3111.5</v>
      </c>
      <c r="AB36" s="64">
        <f t="shared" si="10"/>
        <v>0</v>
      </c>
      <c r="AC36" s="62">
        <v>395</v>
      </c>
      <c r="AD36" s="64">
        <f t="shared" si="11"/>
        <v>-8.7829360100376563E-3</v>
      </c>
      <c r="AE36" s="62">
        <f>AE35</f>
        <v>26.5</v>
      </c>
      <c r="AF36" s="64">
        <f t="shared" si="12"/>
        <v>0</v>
      </c>
      <c r="AG36" s="62">
        <f>AG35</f>
        <v>622</v>
      </c>
      <c r="AH36" s="64">
        <f t="shared" si="13"/>
        <v>0</v>
      </c>
      <c r="AI36" s="62">
        <f>AI35</f>
        <v>58</v>
      </c>
      <c r="AJ36" s="64">
        <f t="shared" si="14"/>
        <v>0</v>
      </c>
      <c r="AK36" s="62">
        <f>AK35</f>
        <v>6</v>
      </c>
      <c r="AL36" s="64">
        <f>AK36/AK35-1</f>
        <v>0</v>
      </c>
      <c r="AO36" s="61">
        <v>2012</v>
      </c>
      <c r="AP36" s="62">
        <f t="shared" si="15"/>
        <v>29408090.552928705</v>
      </c>
      <c r="AQ36" s="64">
        <f t="shared" si="16"/>
        <v>0</v>
      </c>
      <c r="AR36" s="62">
        <f>$R$80*AC36</f>
        <v>12328472.958982527</v>
      </c>
      <c r="AS36" s="64">
        <f t="shared" si="17"/>
        <v>-8.7829360100375453E-3</v>
      </c>
      <c r="AT36" s="75">
        <f>$R$60*AE36</f>
        <v>17421028.1837858</v>
      </c>
      <c r="AU36" s="76">
        <f t="shared" si="18"/>
        <v>0</v>
      </c>
      <c r="AV36" s="75">
        <f>$S$60*AG36</f>
        <v>551512.36122772645</v>
      </c>
      <c r="AW36" s="76">
        <f t="shared" si="19"/>
        <v>0</v>
      </c>
      <c r="AX36" s="75">
        <f>$T$60*AI36</f>
        <v>60461.701837858003</v>
      </c>
      <c r="AY36" s="76">
        <f t="shared" si="20"/>
        <v>0</v>
      </c>
      <c r="AZ36" s="75">
        <f>$U$60*AK36</f>
        <v>157457.614</v>
      </c>
      <c r="BA36" s="76">
        <f>AZ36/AZ35-1</f>
        <v>0</v>
      </c>
      <c r="BF36" s="61">
        <v>2012</v>
      </c>
      <c r="BG36" s="79">
        <f>BG35</f>
        <v>48372</v>
      </c>
      <c r="BH36" s="79">
        <f>BH35</f>
        <v>1746</v>
      </c>
      <c r="BI36" s="79">
        <f>BI35</f>
        <v>156</v>
      </c>
      <c r="BJ36" s="79"/>
      <c r="BK36" s="83">
        <f>BK35-'JBL and OLG Slots'!V21</f>
        <v>329249.12</v>
      </c>
      <c r="BL36" s="79">
        <f>BL35</f>
        <v>6516</v>
      </c>
      <c r="BM36" s="79">
        <f>BM35</f>
        <v>2109</v>
      </c>
      <c r="BN36" s="79"/>
      <c r="BO36" s="79">
        <f>BO35</f>
        <v>374474</v>
      </c>
      <c r="BP36" s="79">
        <f>BP35</f>
        <v>5461</v>
      </c>
      <c r="BQ36" s="79">
        <f>BQ35</f>
        <v>40</v>
      </c>
    </row>
    <row r="37" spans="3:69" x14ac:dyDescent="0.2">
      <c r="C37" s="45"/>
      <c r="D37" s="45"/>
      <c r="E37" s="45">
        <v>2008</v>
      </c>
      <c r="F37" s="46">
        <f>'PC Class Annual'!K7</f>
        <v>1784998.4929277273</v>
      </c>
      <c r="G37" s="47">
        <f t="shared" si="21"/>
        <v>-3.7082591786820052E-3</v>
      </c>
      <c r="H37" s="46">
        <f>'PC Class Annual'!M7</f>
        <v>12843.968223212556</v>
      </c>
      <c r="I37" s="47">
        <f t="shared" si="22"/>
        <v>-8.2034843876705565E-2</v>
      </c>
      <c r="J37" s="46">
        <f>'PC Class Annual'!O7</f>
        <v>776225.46699999995</v>
      </c>
      <c r="K37" s="47"/>
      <c r="O37" s="202" t="s">
        <v>58</v>
      </c>
      <c r="P37" s="199"/>
      <c r="Q37" s="199"/>
      <c r="R37" s="199"/>
      <c r="S37" s="199"/>
      <c r="T37" s="199"/>
      <c r="U37" s="199"/>
      <c r="Z37" s="61">
        <v>2013</v>
      </c>
      <c r="AA37" s="62">
        <f>AA36</f>
        <v>3111.5</v>
      </c>
      <c r="AB37" s="64">
        <f t="shared" si="10"/>
        <v>0</v>
      </c>
      <c r="AC37" s="62">
        <v>394</v>
      </c>
      <c r="AD37" s="64">
        <f t="shared" si="11"/>
        <v>-2.5316455696202667E-3</v>
      </c>
      <c r="AE37" s="62">
        <f>AE36</f>
        <v>26.5</v>
      </c>
      <c r="AF37" s="64">
        <f t="shared" si="12"/>
        <v>0</v>
      </c>
      <c r="AG37" s="62">
        <f>AG36</f>
        <v>622</v>
      </c>
      <c r="AH37" s="64">
        <f t="shared" si="13"/>
        <v>0</v>
      </c>
      <c r="AI37" s="62">
        <f>AI36</f>
        <v>58</v>
      </c>
      <c r="AJ37" s="64">
        <f t="shared" si="14"/>
        <v>0</v>
      </c>
      <c r="AK37" s="62">
        <f>AK36</f>
        <v>6</v>
      </c>
      <c r="AL37" s="64">
        <f>AK37/AK36-1</f>
        <v>0</v>
      </c>
      <c r="AO37" s="61">
        <v>2013</v>
      </c>
      <c r="AP37" s="62">
        <f t="shared" si="15"/>
        <v>29408090.552928705</v>
      </c>
      <c r="AQ37" s="64">
        <f t="shared" si="16"/>
        <v>0</v>
      </c>
      <c r="AR37" s="62">
        <f>$R$80*AC37</f>
        <v>12297261.635035735</v>
      </c>
      <c r="AS37" s="64">
        <f t="shared" si="17"/>
        <v>-2.5316455696203777E-3</v>
      </c>
      <c r="AT37" s="75">
        <f>$R$60*AE37</f>
        <v>17421028.1837858</v>
      </c>
      <c r="AU37" s="76">
        <f t="shared" si="18"/>
        <v>0</v>
      </c>
      <c r="AV37" s="75">
        <f>$S$60*AG37</f>
        <v>551512.36122772645</v>
      </c>
      <c r="AW37" s="76">
        <f t="shared" si="19"/>
        <v>0</v>
      </c>
      <c r="AX37" s="75">
        <f>$T$60*AI37</f>
        <v>60461.701837858003</v>
      </c>
      <c r="AY37" s="76">
        <f t="shared" si="20"/>
        <v>0</v>
      </c>
      <c r="AZ37" s="75">
        <f>$U$60*AK37</f>
        <v>157457.614</v>
      </c>
      <c r="BA37" s="76">
        <f>AZ37/AZ36-1</f>
        <v>0</v>
      </c>
      <c r="BF37" s="61">
        <v>2013</v>
      </c>
      <c r="BG37" s="79">
        <f>BG35</f>
        <v>48372</v>
      </c>
      <c r="BH37" s="79">
        <f>BH35</f>
        <v>1746</v>
      </c>
      <c r="BI37" s="79">
        <f>BI35</f>
        <v>156</v>
      </c>
      <c r="BJ37" s="79"/>
      <c r="BK37" s="83">
        <f>BK35-'JBL and OLG Slots'!V19</f>
        <v>326329.84000000003</v>
      </c>
      <c r="BL37" s="79">
        <f>BL35</f>
        <v>6516</v>
      </c>
      <c r="BM37" s="79">
        <f>BM35</f>
        <v>2109</v>
      </c>
      <c r="BN37" s="79"/>
      <c r="BO37" s="83">
        <f>BO35-'JBL and OLG Slots'!Z21</f>
        <v>311708.75</v>
      </c>
      <c r="BP37" s="79">
        <f>BP35</f>
        <v>5461</v>
      </c>
      <c r="BQ37" s="79">
        <f>BQ35</f>
        <v>40</v>
      </c>
    </row>
    <row r="38" spans="3:69" x14ac:dyDescent="0.2">
      <c r="C38" s="45"/>
      <c r="D38" s="45"/>
      <c r="E38" s="45">
        <v>2009</v>
      </c>
      <c r="F38" s="46">
        <f>'PC Class Annual'!K8</f>
        <v>1824489.3762836661</v>
      </c>
      <c r="G38" s="47">
        <f t="shared" si="21"/>
        <v>2.2123762856049556E-2</v>
      </c>
      <c r="H38" s="46">
        <f>'PC Class Annual'!M8</f>
        <v>11664.023445068788</v>
      </c>
      <c r="I38" s="47">
        <f t="shared" si="22"/>
        <v>-9.1867618919461824E-2</v>
      </c>
      <c r="J38" s="46">
        <f>'PC Class Annual'!O8</f>
        <v>780483.49499999988</v>
      </c>
      <c r="K38" s="47">
        <f>J38/J37-1</f>
        <v>5.4855556549266993E-3</v>
      </c>
      <c r="O38" s="50" t="s">
        <v>0</v>
      </c>
      <c r="P38" s="50" t="s">
        <v>37</v>
      </c>
      <c r="Q38" s="50" t="s">
        <v>38</v>
      </c>
      <c r="R38" s="50" t="s">
        <v>39</v>
      </c>
      <c r="S38" s="50" t="s">
        <v>40</v>
      </c>
      <c r="T38" s="50" t="s">
        <v>41</v>
      </c>
      <c r="U38" s="50" t="s">
        <v>42</v>
      </c>
      <c r="Z38" s="193" t="s">
        <v>58</v>
      </c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59"/>
      <c r="AO38" s="193" t="s">
        <v>58</v>
      </c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59"/>
    </row>
    <row r="39" spans="3:69" x14ac:dyDescent="0.2">
      <c r="C39" s="45"/>
      <c r="D39" s="45"/>
      <c r="E39" s="45">
        <v>2010</v>
      </c>
      <c r="F39" s="46">
        <f>'PC Class Annual'!K9</f>
        <v>1628021.6955563508</v>
      </c>
      <c r="G39" s="47">
        <f t="shared" si="21"/>
        <v>-0.10768365290649362</v>
      </c>
      <c r="H39" s="46">
        <f>'PC Class Annual'!M9</f>
        <v>12475.084152922775</v>
      </c>
      <c r="I39" s="47">
        <f t="shared" si="22"/>
        <v>6.9535243278071368E-2</v>
      </c>
      <c r="J39" s="46">
        <f>'PC Class Annual'!O9</f>
        <v>695082.46799999999</v>
      </c>
      <c r="K39" s="47">
        <f>J39/J38-1</f>
        <v>-0.1094206700681094</v>
      </c>
      <c r="O39" s="45">
        <v>2007</v>
      </c>
      <c r="P39" s="41">
        <f>'FE Class Annual'!E17</f>
        <v>13996</v>
      </c>
      <c r="Q39" s="52">
        <f>'FE Class Annual'!G17</f>
        <v>1169</v>
      </c>
      <c r="R39" s="41">
        <f>'FE Class Annual'!I17</f>
        <v>137.5</v>
      </c>
      <c r="S39" s="41">
        <f>'FE Class Annual'!K17</f>
        <v>3052.5</v>
      </c>
      <c r="T39" s="41">
        <f>'FE Class Annual'!M17</f>
        <v>961</v>
      </c>
      <c r="U39" s="41"/>
      <c r="Z39" s="58" t="s">
        <v>0</v>
      </c>
      <c r="AA39" s="58" t="s">
        <v>37</v>
      </c>
      <c r="AB39" s="55" t="s">
        <v>30</v>
      </c>
      <c r="AC39" s="58" t="s">
        <v>38</v>
      </c>
      <c r="AD39" s="55" t="s">
        <v>30</v>
      </c>
      <c r="AE39" s="58" t="s">
        <v>39</v>
      </c>
      <c r="AF39" s="55" t="s">
        <v>30</v>
      </c>
      <c r="AG39" s="58" t="s">
        <v>40</v>
      </c>
      <c r="AH39" s="55" t="s">
        <v>30</v>
      </c>
      <c r="AI39" s="58" t="s">
        <v>41</v>
      </c>
      <c r="AJ39" s="55" t="s">
        <v>30</v>
      </c>
      <c r="AK39" s="58" t="s">
        <v>42</v>
      </c>
      <c r="AL39" s="55" t="s">
        <v>30</v>
      </c>
      <c r="AO39" s="58" t="s">
        <v>0</v>
      </c>
      <c r="AP39" s="58" t="s">
        <v>37</v>
      </c>
      <c r="AQ39" s="55" t="s">
        <v>30</v>
      </c>
      <c r="AR39" s="58" t="s">
        <v>38</v>
      </c>
      <c r="AS39" s="55" t="s">
        <v>30</v>
      </c>
      <c r="AT39" s="71" t="s">
        <v>39</v>
      </c>
      <c r="AU39" s="72" t="s">
        <v>30</v>
      </c>
      <c r="AV39" s="71" t="s">
        <v>40</v>
      </c>
      <c r="AW39" s="72" t="s">
        <v>30</v>
      </c>
      <c r="AX39" s="71" t="s">
        <v>41</v>
      </c>
      <c r="AY39" s="72" t="s">
        <v>30</v>
      </c>
      <c r="AZ39" s="71" t="s">
        <v>42</v>
      </c>
      <c r="BA39" s="72" t="s">
        <v>30</v>
      </c>
    </row>
    <row r="40" spans="3:69" x14ac:dyDescent="0.2">
      <c r="C40" s="45"/>
      <c r="D40" s="45"/>
      <c r="E40" s="45">
        <v>2011</v>
      </c>
      <c r="F40" s="46">
        <f>'PC Class Annual'!K10</f>
        <v>1787582.0067424388</v>
      </c>
      <c r="G40" s="47">
        <f t="shared" si="21"/>
        <v>9.8008713042095463E-2</v>
      </c>
      <c r="H40" s="46">
        <f>'PC Class Annual'!M10</f>
        <v>13331.116547871314</v>
      </c>
      <c r="I40" s="47">
        <f t="shared" si="22"/>
        <v>6.8619368370992584E-2</v>
      </c>
      <c r="J40" s="46">
        <f>'PC Class Annual'!O10</f>
        <v>581814.92000000004</v>
      </c>
      <c r="K40" s="47">
        <f>J40/J39-1</f>
        <v>-0.16295555306683396</v>
      </c>
      <c r="O40" s="45">
        <v>2008</v>
      </c>
      <c r="P40" s="41">
        <f>'FE Class Annual'!E18</f>
        <v>14127.5</v>
      </c>
      <c r="Q40" s="52">
        <f>'FE Class Annual'!G18</f>
        <v>1175.5</v>
      </c>
      <c r="R40" s="41">
        <f>'FE Class Annual'!I18</f>
        <v>142.5</v>
      </c>
      <c r="S40" s="41">
        <f>'FE Class Annual'!K18</f>
        <v>3072.5</v>
      </c>
      <c r="T40" s="41">
        <f>'FE Class Annual'!M18</f>
        <v>961</v>
      </c>
      <c r="U40" s="41"/>
      <c r="Z40" s="59">
        <v>2007</v>
      </c>
      <c r="AA40" s="60">
        <f>'FE Class Annual'!E17</f>
        <v>13996</v>
      </c>
      <c r="AB40" s="56"/>
      <c r="AC40" s="63">
        <f>'FE Class Annual'!G17</f>
        <v>1169</v>
      </c>
      <c r="AD40" s="56"/>
      <c r="AE40" s="60">
        <f>'FE Class Annual'!I17</f>
        <v>137.5</v>
      </c>
      <c r="AF40" s="56"/>
      <c r="AG40" s="60">
        <f>'FE Class Annual'!K17</f>
        <v>3052.5</v>
      </c>
      <c r="AH40" s="56"/>
      <c r="AI40" s="60">
        <f>'FE Class Annual'!M17</f>
        <v>961</v>
      </c>
      <c r="AJ40" s="56"/>
      <c r="AK40" s="60"/>
      <c r="AL40" s="56"/>
      <c r="AO40" s="59">
        <v>2007</v>
      </c>
      <c r="AP40" s="60">
        <f>$Q$81*AA40</f>
        <v>111296028.34281568</v>
      </c>
      <c r="AQ40" s="56"/>
      <c r="AR40" s="63">
        <f>$R$81*AC40</f>
        <v>34519281.394486405</v>
      </c>
      <c r="AS40" s="56"/>
      <c r="AT40" s="73">
        <f>R14</f>
        <v>142610397.01335588</v>
      </c>
      <c r="AU40" s="74"/>
      <c r="AV40" s="73">
        <f>S14</f>
        <v>2147469.4168469147</v>
      </c>
      <c r="AW40" s="74"/>
      <c r="AX40" s="73">
        <f>T14</f>
        <v>792560.25393967377</v>
      </c>
      <c r="AY40" s="74"/>
      <c r="AZ40" s="73"/>
      <c r="BA40" s="74"/>
    </row>
    <row r="41" spans="3:69" x14ac:dyDescent="0.2">
      <c r="O41" s="45">
        <v>2009</v>
      </c>
      <c r="P41" s="41">
        <f>'FE Class Annual'!E19</f>
        <v>14215</v>
      </c>
      <c r="Q41" s="52">
        <f>'FE Class Annual'!G19</f>
        <v>1195</v>
      </c>
      <c r="R41" s="41">
        <f>'FE Class Annual'!I19</f>
        <v>137.5</v>
      </c>
      <c r="S41" s="41">
        <f>'FE Class Annual'!K19</f>
        <v>3084</v>
      </c>
      <c r="T41" s="41">
        <f>'FE Class Annual'!M19</f>
        <v>961</v>
      </c>
      <c r="U41" s="41">
        <f>'FE Class Annual'!O19</f>
        <v>64</v>
      </c>
      <c r="Z41" s="59">
        <v>2008</v>
      </c>
      <c r="AA41" s="60">
        <f>'FE Class Annual'!E18</f>
        <v>14127.5</v>
      </c>
      <c r="AB41" s="56">
        <f t="shared" ref="AB41:AB46" si="23">AA41/AA40-1</f>
        <v>9.3955415833095746E-3</v>
      </c>
      <c r="AC41" s="63">
        <f>'FE Class Annual'!G18</f>
        <v>1175.5</v>
      </c>
      <c r="AD41" s="56">
        <f t="shared" ref="AD41:AD46" si="24">AC41/AC40-1</f>
        <v>5.5603079555175405E-3</v>
      </c>
      <c r="AE41" s="60">
        <f>'FE Class Annual'!I18</f>
        <v>142.5</v>
      </c>
      <c r="AF41" s="56">
        <f t="shared" ref="AF41:AF46" si="25">AE41/AE40-1</f>
        <v>3.6363636363636376E-2</v>
      </c>
      <c r="AG41" s="60">
        <f>'FE Class Annual'!K18</f>
        <v>3072.5</v>
      </c>
      <c r="AH41" s="56">
        <f t="shared" ref="AH41:AH46" si="26">AG41/AG40-1</f>
        <v>6.5520065520066062E-3</v>
      </c>
      <c r="AI41" s="60">
        <f>'FE Class Annual'!M18</f>
        <v>961</v>
      </c>
      <c r="AJ41" s="56">
        <f t="shared" ref="AJ41:AJ46" si="27">AI41/AI40-1</f>
        <v>0</v>
      </c>
      <c r="AK41" s="60"/>
      <c r="AL41" s="56"/>
      <c r="AO41" s="59">
        <v>2008</v>
      </c>
      <c r="AP41" s="60">
        <f t="shared" ref="AP41:AP46" si="28">$Q$81*AA41</f>
        <v>112341714.80516779</v>
      </c>
      <c r="AQ41" s="56">
        <f t="shared" ref="AQ41:AQ46" si="29">AP41/AP40-1</f>
        <v>9.3955415833093525E-3</v>
      </c>
      <c r="AR41" s="63">
        <f t="shared" ref="AR41:AR46" si="30">$R$81*AC41</f>
        <v>34711219.229442917</v>
      </c>
      <c r="AS41" s="56">
        <f t="shared" ref="AS41:AS46" si="31">AR41/AR40-1</f>
        <v>5.5603079555175405E-3</v>
      </c>
      <c r="AT41" s="73">
        <f>R15</f>
        <v>138863809.7347075</v>
      </c>
      <c r="AU41" s="74">
        <f t="shared" ref="AU41:AU46" si="32">AT41/AT40-1</f>
        <v>-2.6271487613189204E-2</v>
      </c>
      <c r="AV41" s="73">
        <f>S15</f>
        <v>2186728.6883290387</v>
      </c>
      <c r="AW41" s="74">
        <f t="shared" ref="AW41:AW46" si="33">AV41/AV40-1</f>
        <v>1.8281644047703161E-2</v>
      </c>
      <c r="AX41" s="73">
        <f>T15</f>
        <v>768334.39589235594</v>
      </c>
      <c r="AY41" s="74">
        <f t="shared" ref="AY41:AY46" si="34">AX41/AX40-1</f>
        <v>-3.0566582069811665E-2</v>
      </c>
      <c r="AZ41" s="73">
        <f>U15</f>
        <v>653734.72900000005</v>
      </c>
      <c r="BA41" s="74"/>
    </row>
    <row r="42" spans="3:69" x14ac:dyDescent="0.2">
      <c r="O42" s="45">
        <v>2010</v>
      </c>
      <c r="P42" s="41">
        <f>'FE Class Annual'!E20</f>
        <v>14263</v>
      </c>
      <c r="Q42" s="52">
        <f>'FE Class Annual'!G20</f>
        <v>1209</v>
      </c>
      <c r="R42" s="41">
        <f>'FE Class Annual'!I20</f>
        <v>128</v>
      </c>
      <c r="S42" s="41">
        <f>'FE Class Annual'!K20</f>
        <v>3081</v>
      </c>
      <c r="T42" s="41">
        <f>'FE Class Annual'!M20</f>
        <v>911.5</v>
      </c>
      <c r="U42" s="41">
        <f>'FE Class Annual'!O20</f>
        <v>19</v>
      </c>
      <c r="Z42" s="59">
        <v>2009</v>
      </c>
      <c r="AA42" s="60">
        <f>'FE Class Annual'!E19</f>
        <v>14215</v>
      </c>
      <c r="AB42" s="56">
        <f t="shared" si="23"/>
        <v>6.1935940541497647E-3</v>
      </c>
      <c r="AC42" s="63">
        <f>'FE Class Annual'!G19</f>
        <v>1195</v>
      </c>
      <c r="AD42" s="56">
        <f t="shared" si="24"/>
        <v>1.6588685665674285E-2</v>
      </c>
      <c r="AE42" s="60">
        <f>'FE Class Annual'!I19</f>
        <v>137.5</v>
      </c>
      <c r="AF42" s="56">
        <f t="shared" si="25"/>
        <v>-3.5087719298245612E-2</v>
      </c>
      <c r="AG42" s="60">
        <f>'FE Class Annual'!K19</f>
        <v>3084</v>
      </c>
      <c r="AH42" s="56">
        <f t="shared" si="26"/>
        <v>3.742880390561476E-3</v>
      </c>
      <c r="AI42" s="60">
        <f>'FE Class Annual'!M19</f>
        <v>961</v>
      </c>
      <c r="AJ42" s="56">
        <f t="shared" si="27"/>
        <v>0</v>
      </c>
      <c r="AK42" s="60">
        <f>'FE Class Annual'!O19</f>
        <v>64</v>
      </c>
      <c r="AL42" s="56"/>
      <c r="AO42" s="59">
        <v>2009</v>
      </c>
      <c r="AP42" s="60">
        <f t="shared" si="28"/>
        <v>113037513.78201807</v>
      </c>
      <c r="AQ42" s="56">
        <f t="shared" si="29"/>
        <v>6.1935940541497647E-3</v>
      </c>
      <c r="AR42" s="63">
        <f t="shared" si="30"/>
        <v>35287032.734312452</v>
      </c>
      <c r="AS42" s="56">
        <f t="shared" si="31"/>
        <v>1.6588685665674285E-2</v>
      </c>
      <c r="AT42" s="73">
        <f>R16</f>
        <v>127215231.44021375</v>
      </c>
      <c r="AU42" s="74">
        <f t="shared" si="32"/>
        <v>-8.3884910811159452E-2</v>
      </c>
      <c r="AV42" s="73">
        <f>S16</f>
        <v>2164346.0112606166</v>
      </c>
      <c r="AW42" s="74">
        <f t="shared" si="33"/>
        <v>-1.0235690045995338E-2</v>
      </c>
      <c r="AX42" s="73">
        <f>T16</f>
        <v>684716.66874663625</v>
      </c>
      <c r="AY42" s="74">
        <f t="shared" si="34"/>
        <v>-0.10882986313349241</v>
      </c>
      <c r="AZ42" s="73">
        <f>U16</f>
        <v>644528.92700000003</v>
      </c>
      <c r="BA42" s="74"/>
    </row>
    <row r="43" spans="3:69" x14ac:dyDescent="0.2">
      <c r="C43" s="204" t="s">
        <v>69</v>
      </c>
      <c r="D43" s="204"/>
      <c r="E43" s="204"/>
      <c r="F43" s="204"/>
      <c r="G43" s="204"/>
      <c r="H43" s="204"/>
      <c r="I43" s="204"/>
      <c r="J43" s="204"/>
      <c r="K43" s="204"/>
      <c r="O43" s="45">
        <v>2011</v>
      </c>
      <c r="P43" s="41">
        <f>'FE Class Annual'!E21</f>
        <v>14323.5</v>
      </c>
      <c r="Q43" s="52">
        <f>'FE Class Annual'!G21</f>
        <v>1211.5</v>
      </c>
      <c r="R43" s="41">
        <f>'FE Class Annual'!I21</f>
        <v>125</v>
      </c>
      <c r="S43" s="41">
        <f>'FE Class Annual'!K21</f>
        <v>3074</v>
      </c>
      <c r="T43" s="41">
        <f>'FE Class Annual'!M21</f>
        <v>862</v>
      </c>
      <c r="U43" s="41">
        <f>'FE Class Annual'!O21</f>
        <v>19</v>
      </c>
      <c r="Z43" s="59">
        <v>2010</v>
      </c>
      <c r="AA43" s="60">
        <f>'FE Class Annual'!E20</f>
        <v>14263</v>
      </c>
      <c r="AB43" s="56">
        <f t="shared" si="23"/>
        <v>3.3767147379528684E-3</v>
      </c>
      <c r="AC43" s="63">
        <f>'FE Class Annual'!G20</f>
        <v>1209</v>
      </c>
      <c r="AD43" s="56">
        <f t="shared" si="24"/>
        <v>1.1715481171548081E-2</v>
      </c>
      <c r="AE43" s="60">
        <f>'FE Class Annual'!I20</f>
        <v>128</v>
      </c>
      <c r="AF43" s="56">
        <f t="shared" si="25"/>
        <v>-6.9090909090909092E-2</v>
      </c>
      <c r="AG43" s="60">
        <f>'FE Class Annual'!K20</f>
        <v>3081</v>
      </c>
      <c r="AH43" s="56">
        <f t="shared" si="26"/>
        <v>-9.7276264591439343E-4</v>
      </c>
      <c r="AI43" s="60">
        <f>'FE Class Annual'!M20</f>
        <v>911.5</v>
      </c>
      <c r="AJ43" s="56">
        <f t="shared" si="27"/>
        <v>-5.150884495317376E-2</v>
      </c>
      <c r="AK43" s="60">
        <f>'FE Class Annual'!O20</f>
        <v>19</v>
      </c>
      <c r="AL43" s="56">
        <f>AK43/AK42-1</f>
        <v>-0.703125</v>
      </c>
      <c r="AO43" s="59">
        <v>2010</v>
      </c>
      <c r="AP43" s="60">
        <f t="shared" si="28"/>
        <v>113419209.22074737</v>
      </c>
      <c r="AQ43" s="56">
        <f t="shared" si="29"/>
        <v>3.3767147379528684E-3</v>
      </c>
      <c r="AR43" s="63">
        <f t="shared" si="30"/>
        <v>35700437.301911093</v>
      </c>
      <c r="AS43" s="56">
        <f t="shared" si="31"/>
        <v>1.1715481171548081E-2</v>
      </c>
      <c r="AT43" s="73">
        <f>R17</f>
        <v>129724134.05466202</v>
      </c>
      <c r="AU43" s="74">
        <f t="shared" si="32"/>
        <v>1.9721715599970047E-2</v>
      </c>
      <c r="AV43" s="73">
        <f>S17</f>
        <v>1967173.6902158158</v>
      </c>
      <c r="AW43" s="74">
        <f t="shared" si="33"/>
        <v>-9.1100184544872453E-2</v>
      </c>
      <c r="AX43" s="73">
        <f>T17</f>
        <v>709442.25035290455</v>
      </c>
      <c r="AY43" s="74">
        <f t="shared" si="34"/>
        <v>3.6110675750786303E-2</v>
      </c>
      <c r="AZ43" s="73">
        <f>U17</f>
        <v>668730.51800000004</v>
      </c>
      <c r="BA43" s="74">
        <f>AZ43/AZ42-1</f>
        <v>3.7549270461215478E-2</v>
      </c>
    </row>
    <row r="44" spans="3:69" x14ac:dyDescent="0.2">
      <c r="C44" s="205" t="s">
        <v>27</v>
      </c>
      <c r="D44" s="204"/>
      <c r="E44" s="204"/>
      <c r="F44" s="204"/>
      <c r="G44" s="204"/>
      <c r="H44" s="204"/>
      <c r="I44" s="204"/>
      <c r="J44" s="204"/>
      <c r="K44" s="204"/>
      <c r="O44" s="42"/>
      <c r="P44" s="41"/>
      <c r="Q44" s="51"/>
      <c r="R44" s="41"/>
      <c r="S44" s="41"/>
      <c r="T44" s="41"/>
      <c r="U44" s="41"/>
      <c r="Z44" s="59">
        <v>2011</v>
      </c>
      <c r="AA44" s="60">
        <f>'FE Class Annual'!E21</f>
        <v>14323.5</v>
      </c>
      <c r="AB44" s="56">
        <f t="shared" si="23"/>
        <v>4.2417443735538463E-3</v>
      </c>
      <c r="AC44" s="63">
        <f>'FE Class Annual'!G21</f>
        <v>1211.5</v>
      </c>
      <c r="AD44" s="56">
        <f t="shared" si="24"/>
        <v>2.0678246484697738E-3</v>
      </c>
      <c r="AE44" s="60">
        <f>'FE Class Annual'!I21</f>
        <v>125</v>
      </c>
      <c r="AF44" s="56">
        <f t="shared" si="25"/>
        <v>-2.34375E-2</v>
      </c>
      <c r="AG44" s="60">
        <f>'FE Class Annual'!K21</f>
        <v>3074</v>
      </c>
      <c r="AH44" s="56">
        <f t="shared" si="26"/>
        <v>-2.2719896137617379E-3</v>
      </c>
      <c r="AI44" s="60">
        <f>'FE Class Annual'!M21</f>
        <v>862</v>
      </c>
      <c r="AJ44" s="56">
        <f t="shared" si="27"/>
        <v>-5.430608886450905E-2</v>
      </c>
      <c r="AK44" s="60">
        <f>'FE Class Annual'!O21</f>
        <v>19</v>
      </c>
      <c r="AL44" s="56">
        <f>AK44/AK43-1</f>
        <v>0</v>
      </c>
      <c r="AO44" s="59">
        <v>2011</v>
      </c>
      <c r="AP44" s="60">
        <f t="shared" si="28"/>
        <v>113900304.5133124</v>
      </c>
      <c r="AQ44" s="56">
        <f t="shared" si="29"/>
        <v>4.2417443735538463E-3</v>
      </c>
      <c r="AR44" s="63">
        <f t="shared" si="30"/>
        <v>35774259.546125136</v>
      </c>
      <c r="AS44" s="56">
        <f t="shared" si="31"/>
        <v>2.0678246484697738E-3</v>
      </c>
      <c r="AT44" s="73">
        <f>R18</f>
        <v>124961991.41333851</v>
      </c>
      <c r="AU44" s="74">
        <f t="shared" si="32"/>
        <v>-3.6709766274615308E-2</v>
      </c>
      <c r="AV44" s="73">
        <f>S18</f>
        <v>2136308.2815898377</v>
      </c>
      <c r="AW44" s="74">
        <f t="shared" si="33"/>
        <v>8.5978473693121948E-2</v>
      </c>
      <c r="AX44" s="73">
        <f>T18</f>
        <v>687242.01183716685</v>
      </c>
      <c r="AY44" s="74">
        <f t="shared" si="34"/>
        <v>-3.1292523816694673E-2</v>
      </c>
      <c r="AZ44" s="73">
        <f>U18</f>
        <v>788655.647</v>
      </c>
      <c r="BA44" s="74">
        <f>AZ44/AZ43-1</f>
        <v>0.1793325200092033</v>
      </c>
    </row>
    <row r="45" spans="3:69" x14ac:dyDescent="0.2">
      <c r="C45" s="43" t="s">
        <v>0</v>
      </c>
      <c r="D45" s="43" t="s">
        <v>29</v>
      </c>
      <c r="E45" s="44" t="s">
        <v>30</v>
      </c>
      <c r="F45" s="43" t="s">
        <v>2</v>
      </c>
      <c r="G45" s="44" t="s">
        <v>30</v>
      </c>
      <c r="H45" s="43" t="s">
        <v>57</v>
      </c>
      <c r="I45" s="44" t="s">
        <v>30</v>
      </c>
      <c r="J45" s="43" t="s">
        <v>33</v>
      </c>
      <c r="K45" s="44" t="s">
        <v>30</v>
      </c>
      <c r="O45" s="202" t="s">
        <v>62</v>
      </c>
      <c r="P45" s="199"/>
      <c r="Q45" s="199"/>
      <c r="R45" s="199"/>
      <c r="S45" s="199"/>
      <c r="T45" s="199"/>
      <c r="U45" s="199"/>
      <c r="Z45" s="61">
        <v>2012</v>
      </c>
      <c r="AA45" s="62">
        <f>ROUND((1+AVERAGE($AB$43:$AB$44))*AA44,0)</f>
        <v>14378</v>
      </c>
      <c r="AB45" s="64">
        <f t="shared" si="23"/>
        <v>3.8049359444269903E-3</v>
      </c>
      <c r="AC45" s="62">
        <f>ROUND((1+AVERAGE($AD$43:$AD$44))*AC44,0)</f>
        <v>1220</v>
      </c>
      <c r="AD45" s="64">
        <f t="shared" si="24"/>
        <v>7.0160957490714715E-3</v>
      </c>
      <c r="AE45" s="62">
        <f t="shared" ref="AE45:AG46" si="35">AE44</f>
        <v>125</v>
      </c>
      <c r="AF45" s="64">
        <f t="shared" si="25"/>
        <v>0</v>
      </c>
      <c r="AG45" s="62">
        <f t="shared" si="35"/>
        <v>3074</v>
      </c>
      <c r="AH45" s="64">
        <f t="shared" si="26"/>
        <v>0</v>
      </c>
      <c r="AI45" s="62">
        <f>AI44</f>
        <v>862</v>
      </c>
      <c r="AJ45" s="64">
        <f t="shared" si="27"/>
        <v>0</v>
      </c>
      <c r="AK45" s="62">
        <f>AK44</f>
        <v>19</v>
      </c>
      <c r="AL45" s="64">
        <f>AK45/AK44-1</f>
        <v>0</v>
      </c>
      <c r="AO45" s="61">
        <v>2012</v>
      </c>
      <c r="AP45" s="62">
        <f t="shared" si="28"/>
        <v>114333687.87603629</v>
      </c>
      <c r="AQ45" s="64">
        <f t="shared" si="29"/>
        <v>3.8049359444269903E-3</v>
      </c>
      <c r="AR45" s="65">
        <f t="shared" si="30"/>
        <v>36025255.176452883</v>
      </c>
      <c r="AS45" s="64">
        <f t="shared" si="31"/>
        <v>7.0160957490714715E-3</v>
      </c>
      <c r="AT45" s="83">
        <f>$R$68*AE45-'JBL and OLG Slots'!U21</f>
        <v>120888307.91333851</v>
      </c>
      <c r="AU45" s="76">
        <f t="shared" si="32"/>
        <v>-3.2599380451015847E-2</v>
      </c>
      <c r="AV45" s="75">
        <f>$S$68*AG45</f>
        <v>2136308.2815898377</v>
      </c>
      <c r="AW45" s="76">
        <f t="shared" si="33"/>
        <v>0</v>
      </c>
      <c r="AX45" s="75">
        <f>$T$68*AI45</f>
        <v>687242.01183716685</v>
      </c>
      <c r="AY45" s="76">
        <f t="shared" si="34"/>
        <v>0</v>
      </c>
      <c r="AZ45" s="75">
        <f>$U$68*AK45</f>
        <v>788655.64699999988</v>
      </c>
      <c r="BA45" s="76">
        <f>AZ45/AZ44-1</f>
        <v>0</v>
      </c>
    </row>
    <row r="46" spans="3:69" x14ac:dyDescent="0.2">
      <c r="C46" s="45">
        <v>2005</v>
      </c>
      <c r="D46" s="46">
        <f>'EOP Class Annual'!D5</f>
        <v>87324440.299999997</v>
      </c>
      <c r="E46" s="47"/>
      <c r="F46" s="46">
        <f>'EOP Class Annual'!F5</f>
        <v>29392189.159936089</v>
      </c>
      <c r="G46" s="47"/>
      <c r="H46" s="46">
        <f>'EOP Class Annual'!H5</f>
        <v>13984029.957886012</v>
      </c>
      <c r="I46" s="47"/>
      <c r="J46" s="46">
        <f>'EOP Class Annual'!J5</f>
        <v>42490815.793666653</v>
      </c>
      <c r="K46" s="47"/>
      <c r="O46" s="50" t="s">
        <v>0</v>
      </c>
      <c r="P46" s="50" t="s">
        <v>37</v>
      </c>
      <c r="Q46" s="50" t="s">
        <v>38</v>
      </c>
      <c r="R46" s="50" t="s">
        <v>39</v>
      </c>
      <c r="S46" s="50" t="s">
        <v>40</v>
      </c>
      <c r="T46" s="50" t="s">
        <v>41</v>
      </c>
      <c r="U46" s="50" t="s">
        <v>42</v>
      </c>
      <c r="Z46" s="61">
        <v>2013</v>
      </c>
      <c r="AA46" s="62">
        <f>ROUND((1+AVERAGE($AB$43:$AB$44))*AA45,0)</f>
        <v>14433</v>
      </c>
      <c r="AB46" s="64">
        <f t="shared" si="23"/>
        <v>3.8252886354153137E-3</v>
      </c>
      <c r="AC46" s="62">
        <f>ROUND((1+AVERAGE($AD$43:$AD$44))*AC45,0)</f>
        <v>1228</v>
      </c>
      <c r="AD46" s="64">
        <f t="shared" si="24"/>
        <v>6.5573770491802463E-3</v>
      </c>
      <c r="AE46" s="62">
        <v>125</v>
      </c>
      <c r="AF46" s="64">
        <f t="shared" si="25"/>
        <v>0</v>
      </c>
      <c r="AG46" s="62">
        <f t="shared" si="35"/>
        <v>3074</v>
      </c>
      <c r="AH46" s="64">
        <f t="shared" si="26"/>
        <v>0</v>
      </c>
      <c r="AI46" s="62">
        <f>AI45</f>
        <v>862</v>
      </c>
      <c r="AJ46" s="64">
        <f t="shared" si="27"/>
        <v>0</v>
      </c>
      <c r="AK46" s="62">
        <f>AK45</f>
        <v>19</v>
      </c>
      <c r="AL46" s="64">
        <f>AK46/AK45-1</f>
        <v>0</v>
      </c>
      <c r="AO46" s="61">
        <v>2013</v>
      </c>
      <c r="AP46" s="62">
        <f t="shared" si="28"/>
        <v>114771047.2329136</v>
      </c>
      <c r="AQ46" s="64">
        <f t="shared" si="29"/>
        <v>3.8252886354153137E-3</v>
      </c>
      <c r="AR46" s="65">
        <f t="shared" si="30"/>
        <v>36261486.357937813</v>
      </c>
      <c r="AS46" s="64">
        <f t="shared" si="31"/>
        <v>6.5573770491802463E-3</v>
      </c>
      <c r="AT46" s="83">
        <f>AT44-'JBL and OLG Slots'!U19</f>
        <v>119171016.41333851</v>
      </c>
      <c r="AU46" s="76">
        <f t="shared" si="32"/>
        <v>-1.4205604575349695E-2</v>
      </c>
      <c r="AV46" s="75">
        <f>$S$68*AG46</f>
        <v>2136308.2815898377</v>
      </c>
      <c r="AW46" s="76">
        <f t="shared" si="33"/>
        <v>0</v>
      </c>
      <c r="AX46" s="75">
        <f>$T$68*AI46</f>
        <v>687242.01183716685</v>
      </c>
      <c r="AY46" s="76">
        <f t="shared" si="34"/>
        <v>0</v>
      </c>
      <c r="AZ46" s="75">
        <f>$U$68*AK46</f>
        <v>788655.64699999988</v>
      </c>
      <c r="BA46" s="76">
        <f>AZ46/AZ45-1</f>
        <v>0</v>
      </c>
    </row>
    <row r="47" spans="3:69" x14ac:dyDescent="0.2">
      <c r="C47" s="45">
        <v>2006</v>
      </c>
      <c r="D47" s="46">
        <f>'EOP Class Annual'!D6</f>
        <v>78033790.270000011</v>
      </c>
      <c r="E47" s="47">
        <f t="shared" ref="E47:E52" si="36">D47/D46-1</f>
        <v>-0.10639232267715992</v>
      </c>
      <c r="F47" s="46">
        <f>'EOP Class Annual'!F6</f>
        <v>29259859.184729151</v>
      </c>
      <c r="G47" s="47">
        <f t="shared" ref="G47:G52" si="37">F47/F46-1</f>
        <v>-4.5022156902594368E-3</v>
      </c>
      <c r="H47" s="46">
        <f>'EOP Class Annual'!H6</f>
        <v>14153335.275641894</v>
      </c>
      <c r="I47" s="47">
        <f t="shared" ref="I47:I52" si="38">H47/H46-1</f>
        <v>1.210704770125326E-2</v>
      </c>
      <c r="J47" s="46">
        <f>'EOP Class Annual'!J6</f>
        <v>31349188.192504533</v>
      </c>
      <c r="K47" s="47">
        <f t="shared" ref="K47:K52" si="39">J47/J46-1</f>
        <v>-0.2622126074318113</v>
      </c>
      <c r="O47" s="45">
        <v>2007</v>
      </c>
      <c r="P47" s="41">
        <f>'PC Class Annual'!E17</f>
        <v>8131</v>
      </c>
      <c r="Q47" s="52">
        <f>'PC Class Annual'!G17</f>
        <v>930</v>
      </c>
      <c r="R47" s="41">
        <f>'PC Class Annual'!I17</f>
        <v>79</v>
      </c>
      <c r="S47" s="41">
        <f>'PC Class Annual'!K17</f>
        <v>1997</v>
      </c>
      <c r="T47" s="41">
        <f>'PC Class Annual'!M17</f>
        <v>40</v>
      </c>
      <c r="U47" s="41">
        <f>'PC Class Annual'!O17</f>
        <v>19</v>
      </c>
      <c r="Z47" s="193" t="s">
        <v>62</v>
      </c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59"/>
      <c r="AO47" s="193" t="s">
        <v>62</v>
      </c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59"/>
    </row>
    <row r="48" spans="3:69" x14ac:dyDescent="0.2">
      <c r="C48" s="45">
        <v>2007</v>
      </c>
      <c r="D48" s="46">
        <f>'EOP Class Annual'!D7</f>
        <v>71833038.870000005</v>
      </c>
      <c r="E48" s="47">
        <f t="shared" si="36"/>
        <v>-7.9462389031023095E-2</v>
      </c>
      <c r="F48" s="46">
        <f>'EOP Class Annual'!F7</f>
        <v>29673636.634316213</v>
      </c>
      <c r="G48" s="47">
        <f t="shared" si="37"/>
        <v>1.4141470981617443E-2</v>
      </c>
      <c r="H48" s="46">
        <f>'EOP Class Annual'!H7</f>
        <v>13842645.039443698</v>
      </c>
      <c r="I48" s="47">
        <f t="shared" si="38"/>
        <v>-2.1951732941202784E-2</v>
      </c>
      <c r="J48" s="46">
        <f>'EOP Class Annual'!J7</f>
        <v>21927990.694886111</v>
      </c>
      <c r="K48" s="47">
        <f t="shared" si="39"/>
        <v>-0.30052444866406436</v>
      </c>
      <c r="O48" s="45">
        <v>2008</v>
      </c>
      <c r="P48" s="41">
        <f>'PC Class Annual'!E18</f>
        <v>8151</v>
      </c>
      <c r="Q48" s="52">
        <f>'PC Class Annual'!G18</f>
        <v>910</v>
      </c>
      <c r="R48" s="41">
        <f>'PC Class Annual'!I18</f>
        <v>77</v>
      </c>
      <c r="S48" s="41">
        <f>'PC Class Annual'!K18</f>
        <v>1991</v>
      </c>
      <c r="T48" s="41">
        <f>'PC Class Annual'!M18</f>
        <v>38</v>
      </c>
      <c r="U48" s="41">
        <f>'PC Class Annual'!O18</f>
        <v>14</v>
      </c>
      <c r="Z48" s="58" t="s">
        <v>0</v>
      </c>
      <c r="AA48" s="58" t="s">
        <v>37</v>
      </c>
      <c r="AB48" s="55" t="s">
        <v>30</v>
      </c>
      <c r="AC48" s="58" t="s">
        <v>38</v>
      </c>
      <c r="AD48" s="55" t="s">
        <v>30</v>
      </c>
      <c r="AE48" s="58" t="s">
        <v>39</v>
      </c>
      <c r="AF48" s="55" t="s">
        <v>30</v>
      </c>
      <c r="AG48" s="58" t="s">
        <v>40</v>
      </c>
      <c r="AH48" s="55" t="s">
        <v>30</v>
      </c>
      <c r="AI48" s="58" t="s">
        <v>41</v>
      </c>
      <c r="AJ48" s="55" t="s">
        <v>30</v>
      </c>
      <c r="AK48" s="58" t="s">
        <v>42</v>
      </c>
      <c r="AL48" s="55" t="s">
        <v>30</v>
      </c>
      <c r="AO48" s="58" t="s">
        <v>0</v>
      </c>
      <c r="AP48" s="58" t="s">
        <v>37</v>
      </c>
      <c r="AQ48" s="55" t="s">
        <v>30</v>
      </c>
      <c r="AR48" s="58" t="s">
        <v>38</v>
      </c>
      <c r="AS48" s="55" t="s">
        <v>30</v>
      </c>
      <c r="AT48" s="71" t="s">
        <v>39</v>
      </c>
      <c r="AU48" s="72" t="s">
        <v>30</v>
      </c>
      <c r="AV48" s="71" t="s">
        <v>40</v>
      </c>
      <c r="AW48" s="72" t="s">
        <v>30</v>
      </c>
      <c r="AX48" s="71" t="s">
        <v>41</v>
      </c>
      <c r="AY48" s="72" t="s">
        <v>30</v>
      </c>
      <c r="AZ48" s="71" t="s">
        <v>42</v>
      </c>
      <c r="BA48" s="72" t="s">
        <v>30</v>
      </c>
    </row>
    <row r="49" spans="3:53" x14ac:dyDescent="0.2">
      <c r="C49" s="45">
        <v>2008</v>
      </c>
      <c r="D49" s="46">
        <f>'EOP Class Annual'!D8</f>
        <v>68191071.5</v>
      </c>
      <c r="E49" s="47">
        <f t="shared" si="36"/>
        <v>-5.0700449643945378E-2</v>
      </c>
      <c r="F49" s="46">
        <f>'EOP Class Annual'!F8</f>
        <v>29699161</v>
      </c>
      <c r="G49" s="47">
        <f t="shared" si="37"/>
        <v>8.6016978634395613E-4</v>
      </c>
      <c r="H49" s="46">
        <f>'EOP Class Annual'!H8</f>
        <v>13239534.199999999</v>
      </c>
      <c r="I49" s="47">
        <f t="shared" si="38"/>
        <v>-4.3569046069242834E-2</v>
      </c>
      <c r="J49" s="46">
        <f>'EOP Class Annual'!J8</f>
        <v>19273551.376574896</v>
      </c>
      <c r="K49" s="47">
        <f t="shared" si="39"/>
        <v>-0.12105255585183483</v>
      </c>
      <c r="O49" s="45">
        <v>2009</v>
      </c>
      <c r="P49" s="41">
        <f>'PC Class Annual'!E19</f>
        <v>8170</v>
      </c>
      <c r="Q49" s="52">
        <f>'PC Class Annual'!G19</f>
        <v>913</v>
      </c>
      <c r="R49" s="41">
        <f>'PC Class Annual'!I19</f>
        <v>80</v>
      </c>
      <c r="S49" s="41">
        <f>'PC Class Annual'!K19</f>
        <v>2034</v>
      </c>
      <c r="T49" s="41">
        <f>'PC Class Annual'!M19</f>
        <v>38</v>
      </c>
      <c r="U49" s="41">
        <f>'PC Class Annual'!O19</f>
        <v>14</v>
      </c>
      <c r="Z49" s="59">
        <v>2007</v>
      </c>
      <c r="AA49" s="60">
        <f>'PC Class Annual'!E17</f>
        <v>8131</v>
      </c>
      <c r="AB49" s="56"/>
      <c r="AC49" s="63">
        <f>'PC Class Annual'!G17</f>
        <v>930</v>
      </c>
      <c r="AD49" s="56"/>
      <c r="AE49" s="60">
        <f>'PC Class Annual'!I17</f>
        <v>79</v>
      </c>
      <c r="AF49" s="56"/>
      <c r="AG49" s="60">
        <f>'PC Class Annual'!K17</f>
        <v>1997</v>
      </c>
      <c r="AH49" s="56"/>
      <c r="AI49" s="60">
        <f>'PC Class Annual'!M17</f>
        <v>40</v>
      </c>
      <c r="AJ49" s="56"/>
      <c r="AK49" s="60">
        <f>'PC Class Annual'!O17</f>
        <v>19</v>
      </c>
      <c r="AL49" s="56"/>
      <c r="AO49" s="59">
        <v>2007</v>
      </c>
      <c r="AP49" s="60">
        <f>$Q$82*AA49</f>
        <v>63984342.891267195</v>
      </c>
      <c r="AQ49" s="56"/>
      <c r="AR49" s="63">
        <f>$R$82*AC49</f>
        <v>24681789.14900044</v>
      </c>
      <c r="AS49" s="56"/>
      <c r="AT49" s="73">
        <f>R22</f>
        <v>100174043.01407748</v>
      </c>
      <c r="AU49" s="74"/>
      <c r="AV49" s="73">
        <f>S22</f>
        <v>1791642.3671807409</v>
      </c>
      <c r="AW49" s="74"/>
      <c r="AX49" s="73">
        <f>T22</f>
        <v>13991.781863981172</v>
      </c>
      <c r="AY49" s="74"/>
      <c r="AZ49" s="73">
        <f>U22</f>
        <v>0</v>
      </c>
      <c r="BA49" s="74"/>
    </row>
    <row r="50" spans="3:53" x14ac:dyDescent="0.2">
      <c r="C50" s="45">
        <v>2009</v>
      </c>
      <c r="D50" s="46">
        <f>'EOP Class Annual'!D9</f>
        <v>65433305.399999999</v>
      </c>
      <c r="E50" s="47">
        <f t="shared" si="36"/>
        <v>-4.044174756808161E-2</v>
      </c>
      <c r="F50" s="46">
        <f>'EOP Class Annual'!F9</f>
        <v>29586436</v>
      </c>
      <c r="G50" s="47">
        <f t="shared" si="37"/>
        <v>-3.7955617668795627E-3</v>
      </c>
      <c r="H50" s="46">
        <f>'EOP Class Annual'!H9</f>
        <v>12624542.800000001</v>
      </c>
      <c r="I50" s="47">
        <f t="shared" si="38"/>
        <v>-4.645113572046955E-2</v>
      </c>
      <c r="J50" s="46">
        <f>'EOP Class Annual'!J9</f>
        <v>17770090.012132525</v>
      </c>
      <c r="K50" s="47">
        <f t="shared" si="39"/>
        <v>-7.8006452213559396E-2</v>
      </c>
      <c r="O50" s="45">
        <v>2010</v>
      </c>
      <c r="P50" s="41">
        <f>'PC Class Annual'!E20</f>
        <v>8151</v>
      </c>
      <c r="Q50" s="52">
        <f>'PC Class Annual'!G20</f>
        <v>898</v>
      </c>
      <c r="R50" s="41">
        <f>'PC Class Annual'!I20</f>
        <v>81</v>
      </c>
      <c r="S50" s="41">
        <f>'PC Class Annual'!K20</f>
        <v>2015</v>
      </c>
      <c r="T50" s="41">
        <f>'PC Class Annual'!M20</f>
        <v>46</v>
      </c>
      <c r="U50" s="41">
        <f>'PC Class Annual'!O20</f>
        <v>14</v>
      </c>
      <c r="Z50" s="59">
        <v>2008</v>
      </c>
      <c r="AA50" s="60">
        <f>'PC Class Annual'!E18</f>
        <v>8151</v>
      </c>
      <c r="AB50" s="56">
        <f t="shared" ref="AB50:AB55" si="40">AA50/AA49-1</f>
        <v>2.4597220514082085E-3</v>
      </c>
      <c r="AC50" s="63">
        <f>'PC Class Annual'!G18</f>
        <v>910</v>
      </c>
      <c r="AD50" s="56">
        <f t="shared" ref="AD50:AD55" si="41">AC50/AC49-1</f>
        <v>-2.1505376344086002E-2</v>
      </c>
      <c r="AE50" s="60">
        <f>'PC Class Annual'!I18</f>
        <v>77</v>
      </c>
      <c r="AF50" s="56">
        <f t="shared" ref="AF50:AF55" si="42">AE50/AE49-1</f>
        <v>-2.5316455696202556E-2</v>
      </c>
      <c r="AG50" s="60">
        <f>'PC Class Annual'!K18</f>
        <v>1991</v>
      </c>
      <c r="AH50" s="56">
        <f t="shared" ref="AH50:AH55" si="43">AG50/AG49-1</f>
        <v>-3.0045067601401909E-3</v>
      </c>
      <c r="AI50" s="60">
        <f>'PC Class Annual'!M18</f>
        <v>38</v>
      </c>
      <c r="AJ50" s="56">
        <f t="shared" ref="AJ50:AJ55" si="44">AI50/AI49-1</f>
        <v>-5.0000000000000044E-2</v>
      </c>
      <c r="AK50" s="60">
        <f>'PC Class Annual'!O18</f>
        <v>14</v>
      </c>
      <c r="AL50" s="56"/>
      <c r="AO50" s="59">
        <v>2008</v>
      </c>
      <c r="AP50" s="60">
        <f t="shared" ref="AP50:AP55" si="45">$Q$82*AA50</f>
        <v>64141726.590421706</v>
      </c>
      <c r="AQ50" s="56">
        <f t="shared" ref="AQ50:AQ55" si="46">AP50/AP49-1</f>
        <v>2.4597220514082085E-3</v>
      </c>
      <c r="AR50" s="63">
        <f t="shared" ref="AR50:AR55" si="47">$R$82*AC50</f>
        <v>24150997.984505806</v>
      </c>
      <c r="AS50" s="56">
        <f t="shared" ref="AS50:AS55" si="48">AR50/AR49-1</f>
        <v>-2.1505376344086002E-2</v>
      </c>
      <c r="AT50" s="73">
        <f>R23</f>
        <v>101312433.35942645</v>
      </c>
      <c r="AU50" s="74">
        <f t="shared" ref="AU50:AU55" si="49">AT50/AT49-1</f>
        <v>1.1364124987837343E-2</v>
      </c>
      <c r="AV50" s="73">
        <f>S23</f>
        <v>1784998.4929277273</v>
      </c>
      <c r="AW50" s="74">
        <f t="shared" ref="AW50:AW55" si="50">AV50/AV49-1</f>
        <v>-3.7082591786820052E-3</v>
      </c>
      <c r="AX50" s="73">
        <f>T23</f>
        <v>12843.968223212556</v>
      </c>
      <c r="AY50" s="74">
        <f t="shared" ref="AY50:AY55" si="51">AX50/AX49-1</f>
        <v>-8.2034843876705565E-2</v>
      </c>
      <c r="AZ50" s="73">
        <f>U23</f>
        <v>776225.46699999995</v>
      </c>
      <c r="BA50" s="74"/>
    </row>
    <row r="51" spans="3:53" x14ac:dyDescent="0.2">
      <c r="C51" s="45">
        <v>2010</v>
      </c>
      <c r="D51" s="46">
        <f>'EOP Class Annual'!D10</f>
        <v>64807649.499999993</v>
      </c>
      <c r="E51" s="47">
        <f t="shared" si="36"/>
        <v>-9.5617345964003064E-3</v>
      </c>
      <c r="F51" s="46">
        <f>'EOP Class Annual'!F10</f>
        <v>28625240</v>
      </c>
      <c r="G51" s="47">
        <f t="shared" si="37"/>
        <v>-3.2487725118361621E-2</v>
      </c>
      <c r="H51" s="46">
        <f>'EOP Class Annual'!H10</f>
        <v>12306415</v>
      </c>
      <c r="I51" s="47">
        <f t="shared" si="38"/>
        <v>-2.5199154142833691E-2</v>
      </c>
      <c r="J51" s="46">
        <f>'EOP Class Annual'!J10</f>
        <v>17583454.400303438</v>
      </c>
      <c r="K51" s="47">
        <f t="shared" si="39"/>
        <v>-1.0502794960614237E-2</v>
      </c>
      <c r="O51" s="45">
        <v>2011</v>
      </c>
      <c r="P51" s="41">
        <f>'PC Class Annual'!E21</f>
        <v>8145.833333333333</v>
      </c>
      <c r="Q51" s="52">
        <f>'PC Class Annual'!G21</f>
        <v>896.75</v>
      </c>
      <c r="R51" s="41">
        <f>'PC Class Annual'!I21</f>
        <v>75.5</v>
      </c>
      <c r="S51" s="41">
        <f>'PC Class Annual'!K21</f>
        <v>2000</v>
      </c>
      <c r="T51" s="41">
        <f>'PC Class Annual'!M21</f>
        <v>41</v>
      </c>
      <c r="U51" s="41">
        <f>'PC Class Annual'!O21</f>
        <v>13.666666666666666</v>
      </c>
      <c r="Z51" s="59">
        <v>2009</v>
      </c>
      <c r="AA51" s="60">
        <f>'PC Class Annual'!E19</f>
        <v>8170</v>
      </c>
      <c r="AB51" s="56">
        <f t="shared" si="40"/>
        <v>2.3310023310023631E-3</v>
      </c>
      <c r="AC51" s="63">
        <f>'PC Class Annual'!G19</f>
        <v>913</v>
      </c>
      <c r="AD51" s="56">
        <f t="shared" si="41"/>
        <v>3.296703296703285E-3</v>
      </c>
      <c r="AE51" s="60">
        <f>'PC Class Annual'!I19</f>
        <v>80</v>
      </c>
      <c r="AF51" s="56">
        <f t="shared" si="42"/>
        <v>3.8961038961038863E-2</v>
      </c>
      <c r="AG51" s="60">
        <f>'PC Class Annual'!K19</f>
        <v>2034</v>
      </c>
      <c r="AH51" s="56">
        <f t="shared" si="43"/>
        <v>2.1597187343043611E-2</v>
      </c>
      <c r="AI51" s="60">
        <f>'PC Class Annual'!M19</f>
        <v>38</v>
      </c>
      <c r="AJ51" s="56">
        <f t="shared" si="44"/>
        <v>0</v>
      </c>
      <c r="AK51" s="60">
        <f>'PC Class Annual'!O19</f>
        <v>14</v>
      </c>
      <c r="AL51" s="56">
        <f>AK51/AK50-1</f>
        <v>0</v>
      </c>
      <c r="AO51" s="59">
        <v>2009</v>
      </c>
      <c r="AP51" s="60">
        <f t="shared" si="45"/>
        <v>64291241.10461849</v>
      </c>
      <c r="AQ51" s="56">
        <f t="shared" si="46"/>
        <v>2.3310023310023631E-3</v>
      </c>
      <c r="AR51" s="63">
        <f t="shared" si="47"/>
        <v>24230616.65918</v>
      </c>
      <c r="AS51" s="56">
        <f t="shared" si="48"/>
        <v>3.296703296703285E-3</v>
      </c>
      <c r="AT51" s="73">
        <f>R24</f>
        <v>101400950.77839404</v>
      </c>
      <c r="AU51" s="74">
        <f t="shared" si="49"/>
        <v>8.7370736278291616E-4</v>
      </c>
      <c r="AV51" s="73">
        <f>S24</f>
        <v>1824489.3762836661</v>
      </c>
      <c r="AW51" s="74">
        <f t="shared" si="50"/>
        <v>2.2123762856049556E-2</v>
      </c>
      <c r="AX51" s="73">
        <f>T24</f>
        <v>11664.023445068788</v>
      </c>
      <c r="AY51" s="74">
        <f t="shared" si="51"/>
        <v>-9.1867618919461824E-2</v>
      </c>
      <c r="AZ51" s="73">
        <f>U24</f>
        <v>780483.49499999988</v>
      </c>
      <c r="BA51" s="74">
        <f>AZ51/AZ50-1</f>
        <v>5.4855556549266993E-3</v>
      </c>
    </row>
    <row r="52" spans="3:53" x14ac:dyDescent="0.2">
      <c r="C52" s="45">
        <v>2011</v>
      </c>
      <c r="D52" s="46">
        <f>'EOP Class Annual'!D11</f>
        <v>64340229.599999994</v>
      </c>
      <c r="E52" s="47">
        <f t="shared" si="36"/>
        <v>-7.2124186512889654E-3</v>
      </c>
      <c r="F52" s="46">
        <f>'EOP Class Annual'!F11</f>
        <v>29052645</v>
      </c>
      <c r="G52" s="47">
        <f t="shared" si="37"/>
        <v>1.4931053853172838E-2</v>
      </c>
      <c r="H52" s="46">
        <f>'EOP Class Annual'!H11</f>
        <v>12351830</v>
      </c>
      <c r="I52" s="47">
        <f t="shared" si="38"/>
        <v>3.690351739316533E-3</v>
      </c>
      <c r="J52" s="46">
        <f>'EOP Class Annual'!J11</f>
        <v>17421028.1837858</v>
      </c>
      <c r="K52" s="47">
        <f t="shared" si="39"/>
        <v>-9.2374463413079644E-3</v>
      </c>
      <c r="Z52" s="59">
        <v>2010</v>
      </c>
      <c r="AA52" s="60">
        <f>'PC Class Annual'!E20</f>
        <v>8151</v>
      </c>
      <c r="AB52" s="56">
        <f t="shared" si="40"/>
        <v>-2.3255813953488857E-3</v>
      </c>
      <c r="AC52" s="63">
        <f>'PC Class Annual'!G20</f>
        <v>898</v>
      </c>
      <c r="AD52" s="56">
        <f t="shared" si="41"/>
        <v>-1.6429353778751321E-2</v>
      </c>
      <c r="AE52" s="60">
        <f>'PC Class Annual'!I20</f>
        <v>81</v>
      </c>
      <c r="AF52" s="56">
        <f t="shared" si="42"/>
        <v>1.2499999999999956E-2</v>
      </c>
      <c r="AG52" s="60">
        <f>'PC Class Annual'!K20</f>
        <v>2015</v>
      </c>
      <c r="AH52" s="56">
        <f t="shared" si="43"/>
        <v>-9.3411996066863345E-3</v>
      </c>
      <c r="AI52" s="60">
        <f>'PC Class Annual'!M20</f>
        <v>46</v>
      </c>
      <c r="AJ52" s="56">
        <f t="shared" si="44"/>
        <v>0.21052631578947367</v>
      </c>
      <c r="AK52" s="60">
        <f>'PC Class Annual'!O20</f>
        <v>14</v>
      </c>
      <c r="AL52" s="56">
        <f>AK52/AK51-1</f>
        <v>0</v>
      </c>
      <c r="AO52" s="59">
        <v>2010</v>
      </c>
      <c r="AP52" s="60">
        <f t="shared" si="45"/>
        <v>64141726.590421706</v>
      </c>
      <c r="AQ52" s="56">
        <f t="shared" si="46"/>
        <v>-2.3255813953487747E-3</v>
      </c>
      <c r="AR52" s="63">
        <f t="shared" si="47"/>
        <v>23832523.285809029</v>
      </c>
      <c r="AS52" s="56">
        <f t="shared" si="48"/>
        <v>-1.642935377875121E-2</v>
      </c>
      <c r="AT52" s="73">
        <f>R25</f>
        <v>102093243.05884923</v>
      </c>
      <c r="AU52" s="74">
        <f t="shared" si="49"/>
        <v>6.8272760278960121E-3</v>
      </c>
      <c r="AV52" s="73">
        <f>S25</f>
        <v>1628021.6955563508</v>
      </c>
      <c r="AW52" s="74">
        <f t="shared" si="50"/>
        <v>-0.10768365290649362</v>
      </c>
      <c r="AX52" s="73">
        <f>T25</f>
        <v>12475.084152922775</v>
      </c>
      <c r="AY52" s="74">
        <f t="shared" si="51"/>
        <v>6.9535243278071368E-2</v>
      </c>
      <c r="AZ52" s="73">
        <f>U25</f>
        <v>695082.46799999999</v>
      </c>
      <c r="BA52" s="74">
        <f>AZ52/AZ51-1</f>
        <v>-0.1094206700681094</v>
      </c>
    </row>
    <row r="53" spans="3:53" x14ac:dyDescent="0.2">
      <c r="C53" s="45"/>
      <c r="D53" s="46"/>
      <c r="E53" s="47"/>
      <c r="F53" s="46"/>
      <c r="G53" s="47"/>
      <c r="H53" s="46"/>
      <c r="I53" s="47"/>
      <c r="J53" s="46"/>
      <c r="K53" s="47"/>
      <c r="O53" s="200" t="s">
        <v>72</v>
      </c>
      <c r="P53" s="201"/>
      <c r="Q53" s="201"/>
      <c r="R53" s="201"/>
      <c r="S53" s="201"/>
      <c r="T53" s="201"/>
      <c r="U53" s="201"/>
      <c r="Z53" s="59">
        <v>2011</v>
      </c>
      <c r="AA53" s="60">
        <f>'PC Class Annual'!E21</f>
        <v>8145.833333333333</v>
      </c>
      <c r="AB53" s="56">
        <f t="shared" si="40"/>
        <v>-6.3386905492168744E-4</v>
      </c>
      <c r="AC53" s="63">
        <f>'PC Class Annual'!G21</f>
        <v>896.75</v>
      </c>
      <c r="AD53" s="56">
        <f t="shared" si="41"/>
        <v>-1.3919821826280376E-3</v>
      </c>
      <c r="AE53" s="60">
        <f>'PC Class Annual'!I21</f>
        <v>75.5</v>
      </c>
      <c r="AF53" s="56">
        <f t="shared" si="42"/>
        <v>-6.7901234567901203E-2</v>
      </c>
      <c r="AG53" s="60">
        <f>'PC Class Annual'!K21</f>
        <v>2000</v>
      </c>
      <c r="AH53" s="56">
        <f t="shared" si="43"/>
        <v>-7.4441687344912744E-3</v>
      </c>
      <c r="AI53" s="60">
        <f>'PC Class Annual'!M21</f>
        <v>41</v>
      </c>
      <c r="AJ53" s="56">
        <f t="shared" si="44"/>
        <v>-0.10869565217391308</v>
      </c>
      <c r="AK53" s="60">
        <f>'PC Class Annual'!O21</f>
        <v>13.666666666666666</v>
      </c>
      <c r="AL53" s="56">
        <f>AK53/AK52-1</f>
        <v>-2.3809523809523836E-2</v>
      </c>
      <c r="AO53" s="59">
        <v>2011</v>
      </c>
      <c r="AP53" s="60">
        <f t="shared" si="45"/>
        <v>64101069.134806789</v>
      </c>
      <c r="AQ53" s="56">
        <f t="shared" si="46"/>
        <v>-6.3386905492168744E-4</v>
      </c>
      <c r="AR53" s="63">
        <f t="shared" si="47"/>
        <v>23799348.838028114</v>
      </c>
      <c r="AS53" s="56">
        <f t="shared" si="48"/>
        <v>-1.3919821826280376E-3</v>
      </c>
      <c r="AT53" s="73">
        <f>R26</f>
        <v>97295952.247736454</v>
      </c>
      <c r="AU53" s="74">
        <f t="shared" si="49"/>
        <v>-4.6989307689515702E-2</v>
      </c>
      <c r="AV53" s="73">
        <f>S26</f>
        <v>1787582.0067424388</v>
      </c>
      <c r="AW53" s="74">
        <f t="shared" si="50"/>
        <v>9.8008713042095463E-2</v>
      </c>
      <c r="AX53" s="73">
        <f>T26</f>
        <v>13331.116547871314</v>
      </c>
      <c r="AY53" s="74">
        <f t="shared" si="51"/>
        <v>6.8619368370992584E-2</v>
      </c>
      <c r="AZ53" s="73">
        <f>U26</f>
        <v>581814.92000000004</v>
      </c>
      <c r="BA53" s="74">
        <f>AZ53/AZ52-1</f>
        <v>-0.16295555306683396</v>
      </c>
    </row>
    <row r="54" spans="3:53" x14ac:dyDescent="0.2">
      <c r="C54" s="45"/>
      <c r="D54" s="46"/>
      <c r="E54" s="43" t="s">
        <v>0</v>
      </c>
      <c r="F54" s="43" t="s">
        <v>59</v>
      </c>
      <c r="G54" s="44" t="s">
        <v>30</v>
      </c>
      <c r="H54" s="43" t="s">
        <v>60</v>
      </c>
      <c r="I54" s="44" t="s">
        <v>30</v>
      </c>
      <c r="J54" s="43" t="s">
        <v>61</v>
      </c>
      <c r="K54" s="44" t="s">
        <v>30</v>
      </c>
      <c r="O54" s="202" t="s">
        <v>27</v>
      </c>
      <c r="P54" s="203"/>
      <c r="Q54" s="203"/>
      <c r="R54" s="203"/>
      <c r="S54" s="203"/>
      <c r="T54" s="203"/>
      <c r="U54" s="203"/>
      <c r="Z54" s="61">
        <v>2012</v>
      </c>
      <c r="AA54" s="62">
        <f>ROUND((1+AVERAGE($AB$52:$AB$53))*AA53,0)</f>
        <v>8134</v>
      </c>
      <c r="AB54" s="64">
        <f t="shared" si="40"/>
        <v>-1.4526854219948371E-3</v>
      </c>
      <c r="AC54" s="62">
        <f>ROUND((1+AVERAGE($AD$52:$AD$53))*AC53,0)</f>
        <v>889</v>
      </c>
      <c r="AD54" s="64">
        <f t="shared" si="41"/>
        <v>-8.6423194870365316E-3</v>
      </c>
      <c r="AE54" s="61">
        <v>84</v>
      </c>
      <c r="AF54" s="64">
        <f t="shared" si="42"/>
        <v>0.11258278145695355</v>
      </c>
      <c r="AG54" s="62">
        <f>AG53</f>
        <v>2000</v>
      </c>
      <c r="AH54" s="64">
        <f t="shared" si="43"/>
        <v>0</v>
      </c>
      <c r="AI54" s="62">
        <f>AI53</f>
        <v>41</v>
      </c>
      <c r="AJ54" s="64">
        <f t="shared" si="44"/>
        <v>0</v>
      </c>
      <c r="AK54" s="62">
        <f>AK53</f>
        <v>13.666666666666666</v>
      </c>
      <c r="AL54" s="64">
        <f>AK54/AK53-1</f>
        <v>0</v>
      </c>
      <c r="AO54" s="61">
        <v>2012</v>
      </c>
      <c r="AP54" s="62">
        <f t="shared" si="45"/>
        <v>64007950.446140371</v>
      </c>
      <c r="AQ54" s="64">
        <f t="shared" si="46"/>
        <v>-1.4526854219948371E-3</v>
      </c>
      <c r="AR54" s="65">
        <f t="shared" si="47"/>
        <v>23593667.261786442</v>
      </c>
      <c r="AS54" s="64">
        <f t="shared" si="48"/>
        <v>-8.6423194870366427E-3</v>
      </c>
      <c r="AT54" s="75">
        <f>$R$76*AE54</f>
        <v>108249801.17628956</v>
      </c>
      <c r="AU54" s="76">
        <f t="shared" si="49"/>
        <v>0.11258278145695355</v>
      </c>
      <c r="AV54" s="75">
        <f>$S$76*AG54</f>
        <v>1787582.0067424388</v>
      </c>
      <c r="AW54" s="76">
        <f t="shared" si="50"/>
        <v>0</v>
      </c>
      <c r="AX54" s="75">
        <f>$T$76*AI54</f>
        <v>13331.116547871316</v>
      </c>
      <c r="AY54" s="76">
        <f t="shared" si="51"/>
        <v>0</v>
      </c>
      <c r="AZ54" s="75">
        <f>$U$76*AK54</f>
        <v>581814.92000000004</v>
      </c>
      <c r="BA54" s="76">
        <f>AZ54/AZ53-1</f>
        <v>0</v>
      </c>
    </row>
    <row r="55" spans="3:53" x14ac:dyDescent="0.2">
      <c r="C55" s="45"/>
      <c r="D55" s="46"/>
      <c r="E55" s="45">
        <v>2005</v>
      </c>
      <c r="F55" s="46">
        <f>'EOP Class Annual'!L5</f>
        <v>579573.43632195529</v>
      </c>
      <c r="G55" s="47"/>
      <c r="H55" s="46">
        <f>'EOP Class Annual'!N5</f>
        <v>69027.652189292276</v>
      </c>
      <c r="I55" s="47"/>
      <c r="J55" s="46"/>
      <c r="K55" s="47"/>
      <c r="O55" s="50" t="s">
        <v>0</v>
      </c>
      <c r="P55" s="50" t="s">
        <v>37</v>
      </c>
      <c r="Q55" s="50" t="s">
        <v>38</v>
      </c>
      <c r="R55" s="50" t="s">
        <v>39</v>
      </c>
      <c r="S55" s="50" t="s">
        <v>40</v>
      </c>
      <c r="T55" s="50" t="s">
        <v>41</v>
      </c>
      <c r="U55" s="50" t="s">
        <v>42</v>
      </c>
      <c r="Z55" s="61">
        <v>2013</v>
      </c>
      <c r="AA55" s="62">
        <f>ROUND((1+AVERAGE($AB$52:$AB$53))*AA54,0)</f>
        <v>8122</v>
      </c>
      <c r="AB55" s="64">
        <f t="shared" si="40"/>
        <v>-1.4752889107449985E-3</v>
      </c>
      <c r="AC55" s="62">
        <f>ROUND((1+AVERAGE($AD$52:$AD$53))*AC54,0)</f>
        <v>881</v>
      </c>
      <c r="AD55" s="64">
        <f t="shared" si="41"/>
        <v>-8.9988751406073764E-3</v>
      </c>
      <c r="AE55" s="61">
        <v>84</v>
      </c>
      <c r="AF55" s="64">
        <f t="shared" si="42"/>
        <v>0</v>
      </c>
      <c r="AG55" s="62">
        <f>AG54</f>
        <v>2000</v>
      </c>
      <c r="AH55" s="64">
        <f t="shared" si="43"/>
        <v>0</v>
      </c>
      <c r="AI55" s="62">
        <f>AI54</f>
        <v>41</v>
      </c>
      <c r="AJ55" s="64">
        <f t="shared" si="44"/>
        <v>0</v>
      </c>
      <c r="AK55" s="62">
        <f>AK54</f>
        <v>13.666666666666666</v>
      </c>
      <c r="AL55" s="64">
        <f>AK55/AK54-1</f>
        <v>0</v>
      </c>
      <c r="AO55" s="61">
        <v>2013</v>
      </c>
      <c r="AP55" s="62">
        <f t="shared" si="45"/>
        <v>63913520.22664766</v>
      </c>
      <c r="AQ55" s="64">
        <f t="shared" si="46"/>
        <v>-1.4752889107451095E-3</v>
      </c>
      <c r="AR55" s="65">
        <f t="shared" si="47"/>
        <v>23381350.79598859</v>
      </c>
      <c r="AS55" s="64">
        <f t="shared" si="48"/>
        <v>-8.9988751406073764E-3</v>
      </c>
      <c r="AT55" s="83">
        <f>$R$76*AE55-'JBL and OLG Slots'!Y21</f>
        <v>83231683.676289558</v>
      </c>
      <c r="AU55" s="76">
        <f t="shared" si="49"/>
        <v>-0.2311146739129516</v>
      </c>
      <c r="AV55" s="75">
        <f>$S$76*AG55</f>
        <v>1787582.0067424388</v>
      </c>
      <c r="AW55" s="76">
        <f t="shared" si="50"/>
        <v>0</v>
      </c>
      <c r="AX55" s="75">
        <f>$T$76*AI55</f>
        <v>13331.116547871316</v>
      </c>
      <c r="AY55" s="76">
        <f t="shared" si="51"/>
        <v>0</v>
      </c>
      <c r="AZ55" s="75">
        <f>$U$76*AK55</f>
        <v>581814.92000000004</v>
      </c>
      <c r="BA55" s="76">
        <f>AZ55/AZ54-1</f>
        <v>0</v>
      </c>
    </row>
    <row r="56" spans="3:53" x14ac:dyDescent="0.2">
      <c r="C56" s="45"/>
      <c r="D56" s="46"/>
      <c r="E56" s="45">
        <v>2006</v>
      </c>
      <c r="F56" s="46">
        <f>'EOP Class Annual'!L6</f>
        <v>564267.64325486589</v>
      </c>
      <c r="G56" s="47">
        <f t="shared" ref="G56:G61" si="52">F56/F55-1</f>
        <v>-2.640872080718859E-2</v>
      </c>
      <c r="H56" s="46">
        <f>'EOP Class Annual'!N6</f>
        <v>71424.500765852936</v>
      </c>
      <c r="I56" s="47">
        <f t="shared" ref="I56:I61" si="53">H56/H55-1</f>
        <v>3.472302042068387E-2</v>
      </c>
      <c r="J56" s="46"/>
      <c r="K56" s="47"/>
      <c r="O56" s="45">
        <v>2007</v>
      </c>
      <c r="P56" s="41">
        <f>P6/P31</f>
        <v>9573.6849925201532</v>
      </c>
      <c r="Q56" s="41">
        <f>Q6/Q31</f>
        <v>33721.425187438974</v>
      </c>
      <c r="R56" s="41">
        <f>R6/R31</f>
        <v>635593.93318510463</v>
      </c>
      <c r="S56" s="41">
        <f>S6/S31</f>
        <v>912.94749430030492</v>
      </c>
      <c r="T56" s="53">
        <f>T6/T31</f>
        <v>896.33605078120047</v>
      </c>
      <c r="U56" s="41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</row>
    <row r="57" spans="3:53" x14ac:dyDescent="0.2">
      <c r="C57" s="45"/>
      <c r="D57" s="46"/>
      <c r="E57" s="45">
        <v>2007</v>
      </c>
      <c r="F57" s="46">
        <f>'EOP Class Annual'!L7</f>
        <v>537726.07414287957</v>
      </c>
      <c r="G57" s="47">
        <f t="shared" si="52"/>
        <v>-4.7037198445203265E-2</v>
      </c>
      <c r="H57" s="46">
        <f>'EOP Class Annual'!N7</f>
        <v>75740.396291011435</v>
      </c>
      <c r="I57" s="47">
        <f t="shared" si="53"/>
        <v>6.0425980985251426E-2</v>
      </c>
      <c r="J57" s="46"/>
      <c r="K57" s="47"/>
      <c r="O57" s="45">
        <v>2008</v>
      </c>
      <c r="P57" s="41">
        <f t="shared" ref="P57:U60" si="54">P7/P32</f>
        <v>9580.3745161290317</v>
      </c>
      <c r="Q57" s="41">
        <f t="shared" si="54"/>
        <v>32649.899383477186</v>
      </c>
      <c r="R57" s="41">
        <f t="shared" si="54"/>
        <v>558653.6630891274</v>
      </c>
      <c r="S57" s="41">
        <f t="shared" si="54"/>
        <v>919.13315838115761</v>
      </c>
      <c r="T57" s="53">
        <f t="shared" si="54"/>
        <v>831.3433131124591</v>
      </c>
      <c r="U57" s="41">
        <f t="shared" si="54"/>
        <v>22138.909571428572</v>
      </c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</row>
    <row r="58" spans="3:53" x14ac:dyDescent="0.2">
      <c r="C58" s="45"/>
      <c r="D58" s="46"/>
      <c r="E58" s="45">
        <v>2008</v>
      </c>
      <c r="F58" s="46">
        <f>'EOP Class Annual'!L8</f>
        <v>543667.26318245474</v>
      </c>
      <c r="G58" s="47">
        <f t="shared" si="52"/>
        <v>1.1048727828653737E-2</v>
      </c>
      <c r="H58" s="46">
        <f>'EOP Class Annual'!N8</f>
        <v>72742.539897340175</v>
      </c>
      <c r="I58" s="47">
        <f t="shared" si="53"/>
        <v>-3.9580680066061857E-2</v>
      </c>
      <c r="J58" s="46">
        <f>'EOP Class Annual'!P8</f>
        <v>154972.367</v>
      </c>
      <c r="K58" s="47"/>
      <c r="O58" s="45">
        <v>2009</v>
      </c>
      <c r="P58" s="41">
        <f t="shared" si="54"/>
        <v>9537.8581560283692</v>
      </c>
      <c r="Q58" s="41">
        <f t="shared" si="54"/>
        <v>31561.357000000004</v>
      </c>
      <c r="R58" s="41">
        <f t="shared" si="54"/>
        <v>522649.70623919193</v>
      </c>
      <c r="S58" s="41">
        <f t="shared" si="54"/>
        <v>913.14071001576588</v>
      </c>
      <c r="T58" s="53">
        <f t="shared" si="54"/>
        <v>793.5283310700637</v>
      </c>
      <c r="U58" s="41">
        <f t="shared" si="54"/>
        <v>26552.988333333331</v>
      </c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</row>
    <row r="59" spans="3:53" x14ac:dyDescent="0.2">
      <c r="C59" s="45"/>
      <c r="D59" s="46"/>
      <c r="E59" s="45">
        <v>2009</v>
      </c>
      <c r="F59" s="46">
        <f>'EOP Class Annual'!L9</f>
        <v>554732.98133457778</v>
      </c>
      <c r="G59" s="47">
        <f t="shared" si="52"/>
        <v>2.035384306082344E-2</v>
      </c>
      <c r="H59" s="46">
        <f>'EOP Class Annual'!N9</f>
        <v>70624.021465235666</v>
      </c>
      <c r="I59" s="47">
        <f t="shared" si="53"/>
        <v>-2.9123514728717548E-2</v>
      </c>
      <c r="J59" s="46">
        <f>'EOP Class Annual'!P9</f>
        <v>159317.93</v>
      </c>
      <c r="K59" s="47">
        <f>J59/J58-1</f>
        <v>2.8040889379975731E-2</v>
      </c>
      <c r="O59" s="45">
        <v>2010</v>
      </c>
      <c r="P59" s="41">
        <f t="shared" si="54"/>
        <v>9227.9948420373948</v>
      </c>
      <c r="Q59" s="41">
        <f t="shared" si="54"/>
        <v>31076.805555555555</v>
      </c>
      <c r="R59" s="41">
        <f t="shared" si="54"/>
        <v>567208.20646140119</v>
      </c>
      <c r="S59" s="41">
        <f t="shared" si="54"/>
        <v>446.98757309740472</v>
      </c>
      <c r="T59" s="41">
        <f t="shared" si="54"/>
        <v>924.65318248097549</v>
      </c>
      <c r="U59" s="41">
        <f t="shared" si="54"/>
        <v>26739.089000000004</v>
      </c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</row>
    <row r="60" spans="3:53" x14ac:dyDescent="0.2">
      <c r="C60" s="45"/>
      <c r="D60" s="46"/>
      <c r="E60" s="45">
        <v>2010</v>
      </c>
      <c r="F60" s="46">
        <f>'EOP Class Annual'!L10</f>
        <v>277802.77668003703</v>
      </c>
      <c r="G60" s="47">
        <f t="shared" si="52"/>
        <v>-0.49921352068936209</v>
      </c>
      <c r="H60" s="46">
        <f>'EOP Class Annual'!N10</f>
        <v>67962.008912351695</v>
      </c>
      <c r="I60" s="47">
        <f t="shared" si="53"/>
        <v>-3.7692735384579179E-2</v>
      </c>
      <c r="J60" s="46">
        <f>'EOP Class Annual'!P10</f>
        <v>160434.53400000001</v>
      </c>
      <c r="K60" s="47">
        <f>J60/J59-1</f>
        <v>7.0086524473422784E-3</v>
      </c>
      <c r="O60" s="45">
        <v>2011</v>
      </c>
      <c r="P60" s="41">
        <f t="shared" si="54"/>
        <v>9337.1830306925913</v>
      </c>
      <c r="Q60" s="41">
        <f t="shared" si="54"/>
        <v>30995.809284818068</v>
      </c>
      <c r="R60" s="41">
        <f t="shared" si="54"/>
        <v>657397.28995418118</v>
      </c>
      <c r="S60" s="41">
        <f t="shared" si="54"/>
        <v>886.67582190952805</v>
      </c>
      <c r="T60" s="41">
        <f t="shared" si="54"/>
        <v>1042.4431351354829</v>
      </c>
      <c r="U60" s="41">
        <f t="shared" si="54"/>
        <v>26242.935666666668</v>
      </c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</row>
    <row r="61" spans="3:53" x14ac:dyDescent="0.2">
      <c r="C61" s="45"/>
      <c r="D61" s="46"/>
      <c r="E61" s="45">
        <v>2011</v>
      </c>
      <c r="F61" s="46">
        <f>'EOP Class Annual'!L11</f>
        <v>551512.36122772645</v>
      </c>
      <c r="G61" s="47">
        <f t="shared" si="52"/>
        <v>0.98526583434023052</v>
      </c>
      <c r="H61" s="46">
        <f>'EOP Class Annual'!N11</f>
        <v>60461.701837858011</v>
      </c>
      <c r="I61" s="47">
        <f t="shared" si="53"/>
        <v>-0.11036029091144994</v>
      </c>
      <c r="J61" s="46">
        <f>'EOP Class Annual'!P11</f>
        <v>157457.614</v>
      </c>
      <c r="K61" s="47">
        <f>J61/J60-1</f>
        <v>-1.855535666653918E-2</v>
      </c>
      <c r="P61" s="41"/>
      <c r="Q61" s="41"/>
      <c r="R61" s="41"/>
      <c r="S61" s="41"/>
      <c r="T61" s="41"/>
      <c r="U61" s="41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</row>
    <row r="62" spans="3:53" x14ac:dyDescent="0.2">
      <c r="O62" s="202" t="s">
        <v>58</v>
      </c>
      <c r="P62" s="199"/>
      <c r="Q62" s="199"/>
      <c r="R62" s="199"/>
      <c r="S62" s="199"/>
      <c r="T62" s="199"/>
      <c r="U62" s="19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</row>
    <row r="63" spans="3:53" x14ac:dyDescent="0.2">
      <c r="O63" s="50" t="s">
        <v>0</v>
      </c>
      <c r="P63" s="50" t="s">
        <v>37</v>
      </c>
      <c r="Q63" s="50" t="s">
        <v>38</v>
      </c>
      <c r="R63" s="50" t="s">
        <v>39</v>
      </c>
      <c r="S63" s="50" t="s">
        <v>40</v>
      </c>
      <c r="T63" s="50" t="s">
        <v>41</v>
      </c>
      <c r="U63" s="50" t="s">
        <v>42</v>
      </c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</row>
    <row r="64" spans="3:53" x14ac:dyDescent="0.2">
      <c r="O64" s="45">
        <v>2007</v>
      </c>
      <c r="P64" s="41">
        <f t="shared" ref="P64:T65" si="55">P14/P39</f>
        <v>8086.12866449583</v>
      </c>
      <c r="Q64" s="41">
        <f t="shared" si="55"/>
        <v>32788.420825863737</v>
      </c>
      <c r="R64" s="41">
        <f t="shared" si="55"/>
        <v>1037166.5237334974</v>
      </c>
      <c r="S64" s="41">
        <f t="shared" si="55"/>
        <v>703.51168447073371</v>
      </c>
      <c r="T64" s="41">
        <f t="shared" si="55"/>
        <v>824.72450982276143</v>
      </c>
      <c r="U64" s="41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</row>
    <row r="65" spans="15:53" x14ac:dyDescent="0.2">
      <c r="O65" s="45">
        <v>2008</v>
      </c>
      <c r="P65" s="41">
        <f t="shared" si="55"/>
        <v>7887.9759334631035</v>
      </c>
      <c r="Q65" s="41">
        <f t="shared" si="55"/>
        <v>28858.367333049762</v>
      </c>
      <c r="R65" s="41">
        <f t="shared" si="55"/>
        <v>974482.87533128075</v>
      </c>
      <c r="S65" s="41">
        <f t="shared" si="55"/>
        <v>711.70990669781565</v>
      </c>
      <c r="T65" s="41">
        <f t="shared" si="55"/>
        <v>799.51550040827885</v>
      </c>
      <c r="U65" s="41"/>
      <c r="BA65" s="59"/>
    </row>
    <row r="66" spans="15:53" x14ac:dyDescent="0.2">
      <c r="O66" s="45">
        <v>2009</v>
      </c>
      <c r="P66" s="41">
        <f t="shared" ref="P66:U66" si="56">P16/P41</f>
        <v>7850.6074569117127</v>
      </c>
      <c r="Q66" s="41">
        <f t="shared" si="56"/>
        <v>28300.341589958163</v>
      </c>
      <c r="R66" s="41">
        <f t="shared" si="56"/>
        <v>925201.68320155458</v>
      </c>
      <c r="S66" s="41">
        <f t="shared" si="56"/>
        <v>701.79831752938276</v>
      </c>
      <c r="T66" s="41">
        <f t="shared" si="56"/>
        <v>712.50433792574006</v>
      </c>
      <c r="U66" s="41">
        <f t="shared" si="56"/>
        <v>10070.764484375</v>
      </c>
      <c r="BA66" s="59"/>
    </row>
    <row r="67" spans="15:53" x14ac:dyDescent="0.2">
      <c r="O67" s="45">
        <v>2010</v>
      </c>
      <c r="P67" s="41">
        <f t="shared" ref="P67:U67" si="57">P17/P42</f>
        <v>7996.2983243356939</v>
      </c>
      <c r="Q67" s="41">
        <f t="shared" si="57"/>
        <v>28855.49594706369</v>
      </c>
      <c r="R67" s="41">
        <f t="shared" si="57"/>
        <v>1013469.797302047</v>
      </c>
      <c r="S67" s="41">
        <f t="shared" si="57"/>
        <v>638.48545609081975</v>
      </c>
      <c r="T67" s="41">
        <f t="shared" si="57"/>
        <v>778.32391700812343</v>
      </c>
      <c r="U67" s="41">
        <f t="shared" si="57"/>
        <v>35196.343052631579</v>
      </c>
      <c r="BA67" s="59"/>
    </row>
    <row r="68" spans="15:53" x14ac:dyDescent="0.2">
      <c r="O68" s="45">
        <v>2011</v>
      </c>
      <c r="P68" s="41">
        <f t="shared" ref="P68:U68" si="58">P18/P43</f>
        <v>7938.931155094775</v>
      </c>
      <c r="Q68" s="41">
        <f t="shared" si="58"/>
        <v>28841.862732150228</v>
      </c>
      <c r="R68" s="41">
        <f t="shared" si="58"/>
        <v>999695.93130670814</v>
      </c>
      <c r="S68" s="41">
        <f t="shared" si="58"/>
        <v>694.96040390040264</v>
      </c>
      <c r="T68" s="41">
        <f t="shared" si="58"/>
        <v>797.26451489230499</v>
      </c>
      <c r="U68" s="41">
        <f t="shared" si="58"/>
        <v>41508.191947368417</v>
      </c>
      <c r="BA68" s="59"/>
    </row>
    <row r="69" spans="15:53" x14ac:dyDescent="0.2">
      <c r="O69" s="42"/>
      <c r="P69" s="41"/>
      <c r="Q69" s="51"/>
      <c r="R69" s="41"/>
      <c r="S69" s="41"/>
      <c r="T69" s="41"/>
      <c r="U69" s="41"/>
      <c r="BA69" s="59"/>
    </row>
    <row r="70" spans="15:53" x14ac:dyDescent="0.2">
      <c r="O70" s="202" t="s">
        <v>62</v>
      </c>
      <c r="P70" s="199"/>
      <c r="Q70" s="199"/>
      <c r="R70" s="199"/>
      <c r="S70" s="199"/>
      <c r="T70" s="199"/>
      <c r="U70" s="199"/>
    </row>
    <row r="71" spans="15:53" x14ac:dyDescent="0.2">
      <c r="O71" s="50" t="s">
        <v>0</v>
      </c>
      <c r="P71" s="50" t="s">
        <v>37</v>
      </c>
      <c r="Q71" s="50" t="s">
        <v>38</v>
      </c>
      <c r="R71" s="50" t="s">
        <v>39</v>
      </c>
      <c r="S71" s="50" t="s">
        <v>40</v>
      </c>
      <c r="T71" s="50" t="s">
        <v>41</v>
      </c>
      <c r="U71" s="50" t="s">
        <v>42</v>
      </c>
    </row>
    <row r="72" spans="15:53" x14ac:dyDescent="0.2">
      <c r="O72" s="45">
        <v>2007</v>
      </c>
      <c r="P72" s="41">
        <f t="shared" ref="P72:U74" si="59">P22/P47</f>
        <v>8032.2590180750576</v>
      </c>
      <c r="Q72" s="41">
        <f t="shared" si="59"/>
        <v>28151.557880142438</v>
      </c>
      <c r="R72" s="41">
        <f t="shared" si="59"/>
        <v>1268025.8609376897</v>
      </c>
      <c r="S72" s="41">
        <f t="shared" si="59"/>
        <v>897.1669339913575</v>
      </c>
      <c r="T72" s="41">
        <f t="shared" si="59"/>
        <v>349.79454659952933</v>
      </c>
      <c r="U72" s="41">
        <f t="shared" si="59"/>
        <v>0</v>
      </c>
    </row>
    <row r="73" spans="15:53" x14ac:dyDescent="0.2">
      <c r="O73" s="45">
        <v>2008</v>
      </c>
      <c r="P73" s="41">
        <f t="shared" si="59"/>
        <v>7854.8434547908228</v>
      </c>
      <c r="Q73" s="41">
        <f t="shared" si="59"/>
        <v>27453.968131868132</v>
      </c>
      <c r="R73" s="41">
        <f t="shared" si="59"/>
        <v>1315745.887784759</v>
      </c>
      <c r="S73" s="41">
        <f t="shared" si="59"/>
        <v>896.5336478793206</v>
      </c>
      <c r="T73" s="41">
        <f t="shared" si="59"/>
        <v>337.99916376875149</v>
      </c>
      <c r="U73" s="41">
        <f t="shared" si="59"/>
        <v>55444.676214285711</v>
      </c>
    </row>
    <row r="74" spans="15:53" x14ac:dyDescent="0.2">
      <c r="O74" s="45">
        <v>2009</v>
      </c>
      <c r="P74" s="41">
        <f t="shared" si="59"/>
        <v>7715.7532435740513</v>
      </c>
      <c r="Q74" s="41">
        <f t="shared" si="59"/>
        <v>25362.151150054764</v>
      </c>
      <c r="R74" s="41">
        <f t="shared" si="59"/>
        <v>1267511.8847299255</v>
      </c>
      <c r="S74" s="41">
        <f t="shared" si="59"/>
        <v>896.99576021812493</v>
      </c>
      <c r="T74" s="41">
        <f t="shared" si="59"/>
        <v>306.94798539654704</v>
      </c>
      <c r="U74" s="41">
        <f t="shared" si="59"/>
        <v>55748.82107142856</v>
      </c>
    </row>
    <row r="75" spans="15:53" x14ac:dyDescent="0.2">
      <c r="O75" s="45">
        <v>2010</v>
      </c>
      <c r="P75" s="41">
        <f t="shared" ref="P75:U75" si="60">P25/P50</f>
        <v>7884.228928965771</v>
      </c>
      <c r="Q75" s="41">
        <f t="shared" si="60"/>
        <v>25369.043953229397</v>
      </c>
      <c r="R75" s="41">
        <f t="shared" si="60"/>
        <v>1260410.408133941</v>
      </c>
      <c r="S75" s="41">
        <f t="shared" si="60"/>
        <v>807.9512136756083</v>
      </c>
      <c r="T75" s="41">
        <f t="shared" si="60"/>
        <v>271.19748158527773</v>
      </c>
      <c r="U75" s="41">
        <f t="shared" si="60"/>
        <v>49648.747714285717</v>
      </c>
    </row>
    <row r="76" spans="15:53" x14ac:dyDescent="0.2">
      <c r="O76" s="45">
        <v>2011</v>
      </c>
      <c r="P76" s="41">
        <f t="shared" ref="P76:U76" si="61">P26/P51</f>
        <v>7858.8401432225064</v>
      </c>
      <c r="Q76" s="41">
        <f t="shared" si="61"/>
        <v>26361.070008363546</v>
      </c>
      <c r="R76" s="41">
        <f t="shared" si="61"/>
        <v>1288688.1092415424</v>
      </c>
      <c r="S76" s="41">
        <f t="shared" si="61"/>
        <v>893.7910033712194</v>
      </c>
      <c r="T76" s="41">
        <f t="shared" si="61"/>
        <v>325.14918409442231</v>
      </c>
      <c r="U76" s="41">
        <f t="shared" si="61"/>
        <v>42571.823414634149</v>
      </c>
    </row>
    <row r="78" spans="15:53" x14ac:dyDescent="0.2">
      <c r="O78" s="69" t="s">
        <v>73</v>
      </c>
      <c r="P78" s="70"/>
      <c r="Q78" s="70"/>
      <c r="R78" s="70"/>
      <c r="S78" s="54"/>
      <c r="T78" s="54"/>
      <c r="U78" s="54"/>
      <c r="V78" s="54"/>
    </row>
    <row r="79" spans="15:53" x14ac:dyDescent="0.2">
      <c r="Q79" s="50" t="s">
        <v>37</v>
      </c>
      <c r="R79" s="50" t="s">
        <v>38</v>
      </c>
      <c r="S79" s="66" t="s">
        <v>39</v>
      </c>
      <c r="T79" s="66" t="s">
        <v>40</v>
      </c>
      <c r="U79" s="66" t="s">
        <v>41</v>
      </c>
      <c r="V79" s="66" t="s">
        <v>42</v>
      </c>
    </row>
    <row r="80" spans="15:53" x14ac:dyDescent="0.2">
      <c r="O80" s="198" t="s">
        <v>27</v>
      </c>
      <c r="P80" s="199"/>
      <c r="Q80" s="41">
        <f>AVERAGE(P56:P60)</f>
        <v>9451.4191074815062</v>
      </c>
      <c r="R80" s="41">
        <f>AVERAGE(Q58:Q60)</f>
        <v>31211.323946791206</v>
      </c>
      <c r="S80" s="67">
        <f>AVERAGE(R56:R60)</f>
        <v>588300.55978580122</v>
      </c>
      <c r="T80" s="67">
        <f>AVERAGE(S56:S60)</f>
        <v>815.77695154083233</v>
      </c>
      <c r="U80" s="67">
        <f>AVERAGE(T59:T60)</f>
        <v>983.54815880822912</v>
      </c>
      <c r="V80" s="67">
        <f>AVERAGE(U57:U60)</f>
        <v>25418.480642857146</v>
      </c>
    </row>
    <row r="81" spans="15:22" x14ac:dyDescent="0.2">
      <c r="O81" s="198" t="s">
        <v>58</v>
      </c>
      <c r="P81" s="199"/>
      <c r="Q81" s="41">
        <f>AVERAGE(P64:P68)</f>
        <v>7951.988306860223</v>
      </c>
      <c r="R81" s="41">
        <f>AVERAGE(Q64:Q68)</f>
        <v>29528.897685617114</v>
      </c>
      <c r="S81" s="67">
        <f>AVERAGE(R64:R68)</f>
        <v>990003.3621750176</v>
      </c>
      <c r="T81" s="67">
        <f>AVERAGE(S64:S68)</f>
        <v>690.09315373783079</v>
      </c>
      <c r="U81" s="67">
        <f>AVERAGE(T64:T68)</f>
        <v>782.46655601144175</v>
      </c>
      <c r="V81" s="67">
        <f>AVERAGE(U66:U68)</f>
        <v>28925.099828124996</v>
      </c>
    </row>
    <row r="82" spans="15:22" x14ac:dyDescent="0.2">
      <c r="O82" s="198" t="s">
        <v>62</v>
      </c>
      <c r="P82" s="199"/>
      <c r="Q82" s="41">
        <f>AVERAGE(P72:P76)</f>
        <v>7869.1849577256417</v>
      </c>
      <c r="R82" s="41">
        <f>AVERAGE(Q72:Q76)</f>
        <v>26539.558224731656</v>
      </c>
      <c r="S82" s="67">
        <f>AVERAGE(R72:R76)</f>
        <v>1280076.4301655716</v>
      </c>
      <c r="T82" s="67">
        <f>AVERAGE(S72:S76)</f>
        <v>878.48771182712608</v>
      </c>
      <c r="U82" s="67">
        <f>AVERAGE(T72:T76)</f>
        <v>318.21767228890559</v>
      </c>
      <c r="V82" s="67">
        <f>AVERAGE(U73:U76)</f>
        <v>50853.517103658538</v>
      </c>
    </row>
    <row r="83" spans="15:22" x14ac:dyDescent="0.2">
      <c r="S83" s="68" t="s">
        <v>68</v>
      </c>
      <c r="T83" s="68"/>
      <c r="U83" s="68"/>
      <c r="V83" s="68"/>
    </row>
    <row r="84" spans="15:22" x14ac:dyDescent="0.2">
      <c r="O84" s="40" t="s">
        <v>66</v>
      </c>
      <c r="R84" s="41">
        <f>AVERAGE('EOP Class Annual'!H31:H35)</f>
        <v>33961.969138047476</v>
      </c>
    </row>
    <row r="89" spans="15:22" x14ac:dyDescent="0.2">
      <c r="O89" s="40" t="s">
        <v>92</v>
      </c>
    </row>
    <row r="91" spans="15:22" x14ac:dyDescent="0.2">
      <c r="O91" s="50" t="s">
        <v>0</v>
      </c>
      <c r="P91" s="50" t="s">
        <v>28</v>
      </c>
      <c r="Q91" s="50" t="s">
        <v>93</v>
      </c>
      <c r="R91" s="50" t="s">
        <v>94</v>
      </c>
    </row>
    <row r="92" spans="15:22" x14ac:dyDescent="0.2">
      <c r="O92" s="40">
        <v>2004</v>
      </c>
      <c r="P92" s="41">
        <f>'EOP Class Annual'!H4</f>
        <v>14736115.533953398</v>
      </c>
      <c r="Q92" s="41">
        <f>'EOP Class Annual'!H16</f>
        <v>0</v>
      </c>
      <c r="R92" s="41" t="e">
        <f>P92/Q92</f>
        <v>#DIV/0!</v>
      </c>
    </row>
    <row r="93" spans="15:22" x14ac:dyDescent="0.2">
      <c r="O93" s="40">
        <v>2005</v>
      </c>
      <c r="P93" s="41">
        <f>'EOP Class Annual'!H5</f>
        <v>13984029.957886012</v>
      </c>
      <c r="Q93" s="41">
        <f>'EOP Class Annual'!H17</f>
        <v>401.5</v>
      </c>
      <c r="R93" s="41">
        <f t="shared" ref="R93:R99" si="62">P93/Q93</f>
        <v>34829.464403203019</v>
      </c>
    </row>
    <row r="94" spans="15:22" x14ac:dyDescent="0.2">
      <c r="O94" s="40">
        <v>2006</v>
      </c>
      <c r="P94" s="41">
        <f>'EOP Class Annual'!H6</f>
        <v>14153335.275641894</v>
      </c>
      <c r="Q94" s="41">
        <f>'EOP Class Annual'!H18</f>
        <v>408.5</v>
      </c>
      <c r="R94" s="41">
        <f t="shared" si="62"/>
        <v>34647.087578070728</v>
      </c>
    </row>
    <row r="95" spans="15:22" x14ac:dyDescent="0.2">
      <c r="O95" s="40">
        <v>2007</v>
      </c>
      <c r="P95" s="41">
        <f>'EOP Class Annual'!H7</f>
        <v>13842645.039443698</v>
      </c>
      <c r="Q95" s="41">
        <f>'EOP Class Annual'!H19</f>
        <v>410.5</v>
      </c>
      <c r="R95" s="41">
        <f t="shared" si="62"/>
        <v>33721.425187438974</v>
      </c>
    </row>
    <row r="96" spans="15:22" x14ac:dyDescent="0.2">
      <c r="O96" s="40">
        <v>2008</v>
      </c>
      <c r="P96" s="41">
        <f>'EOP Class Annual'!H8</f>
        <v>13239534.199999999</v>
      </c>
      <c r="Q96" s="41">
        <f>'EOP Class Annual'!H20</f>
        <v>405.5</v>
      </c>
      <c r="R96" s="41">
        <f t="shared" si="62"/>
        <v>32649.899383477186</v>
      </c>
    </row>
    <row r="97" spans="15:18" x14ac:dyDescent="0.2">
      <c r="O97" s="40">
        <v>2009</v>
      </c>
      <c r="P97" s="41">
        <f>'EOP Class Annual'!H9</f>
        <v>12624542.800000001</v>
      </c>
      <c r="Q97" s="41">
        <f>'EOP Class Annual'!H21</f>
        <v>400</v>
      </c>
      <c r="R97" s="41">
        <f t="shared" si="62"/>
        <v>31561.357000000004</v>
      </c>
    </row>
    <row r="98" spans="15:18" x14ac:dyDescent="0.2">
      <c r="O98" s="40">
        <v>2010</v>
      </c>
      <c r="P98" s="41">
        <f>'EOP Class Annual'!H10</f>
        <v>12306415</v>
      </c>
      <c r="Q98" s="41">
        <f>'EOP Class Annual'!H22</f>
        <v>396</v>
      </c>
      <c r="R98" s="41">
        <f t="shared" si="62"/>
        <v>31076.805555555555</v>
      </c>
    </row>
    <row r="99" spans="15:18" x14ac:dyDescent="0.2">
      <c r="O99" s="40">
        <v>2011</v>
      </c>
      <c r="P99" s="41">
        <f>'EOP Class Annual'!H11</f>
        <v>12351830</v>
      </c>
      <c r="Q99" s="41">
        <f>'EOP Class Annual'!H23</f>
        <v>398.5</v>
      </c>
      <c r="R99" s="41">
        <f t="shared" si="62"/>
        <v>30995.809284818068</v>
      </c>
    </row>
    <row r="101" spans="15:18" x14ac:dyDescent="0.2">
      <c r="O101" s="40" t="s">
        <v>95</v>
      </c>
      <c r="R101" s="41" t="e">
        <f>AVERAGE(R92:R96)</f>
        <v>#DIV/0!</v>
      </c>
    </row>
    <row r="102" spans="15:18" x14ac:dyDescent="0.2">
      <c r="O102" s="40" t="s">
        <v>96</v>
      </c>
      <c r="R102" s="41">
        <f>AVERAGE(R97:R99)</f>
        <v>31211.323946791206</v>
      </c>
    </row>
  </sheetData>
  <mergeCells count="31">
    <mergeCell ref="C3:K3"/>
    <mergeCell ref="C4:K4"/>
    <mergeCell ref="C23:K23"/>
    <mergeCell ref="O3:U3"/>
    <mergeCell ref="O4:U4"/>
    <mergeCell ref="BO29:BQ29"/>
    <mergeCell ref="C43:K43"/>
    <mergeCell ref="C44:K44"/>
    <mergeCell ref="BG29:BI29"/>
    <mergeCell ref="BK29:BM29"/>
    <mergeCell ref="O82:P82"/>
    <mergeCell ref="O28:U28"/>
    <mergeCell ref="O29:U29"/>
    <mergeCell ref="O37:U37"/>
    <mergeCell ref="O45:U45"/>
    <mergeCell ref="O53:U53"/>
    <mergeCell ref="O54:U54"/>
    <mergeCell ref="O62:U62"/>
    <mergeCell ref="O81:P81"/>
    <mergeCell ref="O80:P80"/>
    <mergeCell ref="O70:U70"/>
    <mergeCell ref="AO28:AZ28"/>
    <mergeCell ref="AO29:AZ29"/>
    <mergeCell ref="AO38:AZ38"/>
    <mergeCell ref="AO47:AZ47"/>
    <mergeCell ref="O12:U12"/>
    <mergeCell ref="O20:U20"/>
    <mergeCell ref="Z28:AK28"/>
    <mergeCell ref="Z29:AK29"/>
    <mergeCell ref="Z38:AK38"/>
    <mergeCell ref="Z47:AK47"/>
  </mergeCells>
  <phoneticPr fontId="0" type="noConversion"/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BE59" sqref="C3:BE59"/>
    </sheetView>
  </sheetViews>
  <sheetFormatPr defaultColWidth="12" defaultRowHeight="14.25" x14ac:dyDescent="0.2"/>
  <cols>
    <col min="1" max="1" width="15.1640625" style="80" customWidth="1"/>
    <col min="2" max="2" width="13.5" style="80" bestFit="1" customWidth="1"/>
    <col min="3" max="3" width="12" style="80"/>
    <col min="4" max="4" width="13.5" style="80" bestFit="1" customWidth="1"/>
    <col min="5" max="5" width="12" style="80"/>
    <col min="6" max="6" width="13.5" style="80" bestFit="1" customWidth="1"/>
    <col min="7" max="7" width="12" style="80"/>
    <col min="8" max="8" width="14.83203125" style="80" bestFit="1" customWidth="1"/>
    <col min="9" max="9" width="12" style="80"/>
    <col min="10" max="10" width="14.83203125" style="80" bestFit="1" customWidth="1"/>
    <col min="11" max="11" width="12" style="80"/>
    <col min="12" max="12" width="16.83203125" style="80" bestFit="1" customWidth="1"/>
    <col min="13" max="13" width="12.1640625" style="80" bestFit="1" customWidth="1"/>
    <col min="14" max="14" width="16.83203125" style="80" bestFit="1" customWidth="1"/>
    <col min="15" max="15" width="12.1640625" style="80" bestFit="1" customWidth="1"/>
    <col min="16" max="16" width="16.83203125" style="80" bestFit="1" customWidth="1"/>
    <col min="17" max="17" width="12.1640625" style="80" bestFit="1" customWidth="1"/>
    <col min="18" max="20" width="12" style="80"/>
    <col min="21" max="21" width="13.6640625" style="80" bestFit="1" customWidth="1"/>
    <col min="22" max="24" width="12" style="80"/>
    <col min="25" max="25" width="12.83203125" style="80" bestFit="1" customWidth="1"/>
    <col min="26" max="16384" width="12" style="80"/>
  </cols>
  <sheetData>
    <row r="1" spans="1:27" x14ac:dyDescent="0.2">
      <c r="B1" s="208" t="s">
        <v>77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27" x14ac:dyDescent="0.2">
      <c r="B2" s="208">
        <v>2004</v>
      </c>
      <c r="C2" s="208"/>
      <c r="D2" s="208">
        <v>2005</v>
      </c>
      <c r="E2" s="208"/>
      <c r="F2" s="208">
        <v>2006</v>
      </c>
      <c r="G2" s="208"/>
      <c r="H2" s="208">
        <v>2007</v>
      </c>
      <c r="I2" s="208"/>
      <c r="J2" s="208">
        <v>2008</v>
      </c>
      <c r="K2" s="208"/>
      <c r="L2" s="208">
        <v>2009</v>
      </c>
      <c r="M2" s="208"/>
      <c r="N2" s="208">
        <v>2010</v>
      </c>
      <c r="O2" s="208"/>
      <c r="P2" s="208">
        <v>2011</v>
      </c>
      <c r="Q2" s="208"/>
      <c r="T2" s="84" t="s">
        <v>97</v>
      </c>
      <c r="U2" s="84"/>
      <c r="V2" s="84"/>
      <c r="W2" s="84"/>
      <c r="X2" s="84"/>
      <c r="Y2" s="84"/>
      <c r="Z2" s="84"/>
      <c r="AA2" s="84"/>
    </row>
    <row r="3" spans="1:27" x14ac:dyDescent="0.2">
      <c r="B3" s="81" t="s">
        <v>28</v>
      </c>
      <c r="C3" s="81" t="s">
        <v>78</v>
      </c>
      <c r="D3" s="81" t="s">
        <v>28</v>
      </c>
      <c r="E3" s="81" t="s">
        <v>78</v>
      </c>
      <c r="F3" s="81" t="s">
        <v>28</v>
      </c>
      <c r="G3" s="81" t="s">
        <v>78</v>
      </c>
      <c r="H3" s="81" t="s">
        <v>28</v>
      </c>
      <c r="I3" s="81" t="s">
        <v>78</v>
      </c>
      <c r="J3" s="81" t="s">
        <v>28</v>
      </c>
      <c r="K3" s="81" t="s">
        <v>78</v>
      </c>
      <c r="L3" s="81" t="s">
        <v>28</v>
      </c>
      <c r="M3" s="81" t="s">
        <v>78</v>
      </c>
      <c r="N3" s="81" t="s">
        <v>28</v>
      </c>
      <c r="O3" s="81" t="s">
        <v>78</v>
      </c>
      <c r="P3" s="81" t="s">
        <v>28</v>
      </c>
      <c r="Q3" s="81" t="s">
        <v>78</v>
      </c>
      <c r="T3" s="84" t="s">
        <v>98</v>
      </c>
      <c r="U3" s="84"/>
      <c r="V3" s="84"/>
      <c r="W3" s="84"/>
      <c r="X3" s="84" t="s">
        <v>112</v>
      </c>
      <c r="Y3" s="84"/>
      <c r="Z3" s="84"/>
      <c r="AA3" s="84"/>
    </row>
    <row r="4" spans="1:27" x14ac:dyDescent="0.2">
      <c r="A4" s="80" t="s">
        <v>79</v>
      </c>
      <c r="B4" s="82">
        <v>2314</v>
      </c>
      <c r="C4" s="82">
        <v>6772</v>
      </c>
      <c r="D4" s="82">
        <v>14354</v>
      </c>
      <c r="E4" s="82">
        <v>2831</v>
      </c>
      <c r="F4" s="82">
        <v>13060</v>
      </c>
      <c r="G4" s="82">
        <v>1313</v>
      </c>
      <c r="H4" s="82">
        <v>267300</v>
      </c>
      <c r="I4" s="82">
        <v>6443</v>
      </c>
      <c r="J4" s="82">
        <v>1442755</v>
      </c>
      <c r="K4" s="82">
        <v>5489</v>
      </c>
      <c r="L4" s="82">
        <v>1992791</v>
      </c>
      <c r="M4" s="82">
        <v>5362</v>
      </c>
      <c r="N4" s="82">
        <v>794336</v>
      </c>
      <c r="O4" s="82">
        <v>4712</v>
      </c>
      <c r="P4" s="82">
        <v>2338197</v>
      </c>
      <c r="Q4" s="82">
        <v>4894</v>
      </c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80" t="s">
        <v>80</v>
      </c>
      <c r="B5" s="82">
        <v>25</v>
      </c>
      <c r="C5" s="82">
        <v>365</v>
      </c>
      <c r="D5" s="82">
        <v>182877</v>
      </c>
      <c r="E5" s="82">
        <v>3529</v>
      </c>
      <c r="F5" s="82">
        <v>49233</v>
      </c>
      <c r="G5" s="82">
        <v>1547</v>
      </c>
      <c r="H5" s="82">
        <v>355339</v>
      </c>
      <c r="I5" s="82">
        <v>2284</v>
      </c>
      <c r="J5" s="82">
        <v>1373485</v>
      </c>
      <c r="K5" s="82">
        <v>7471</v>
      </c>
      <c r="L5" s="82">
        <v>1959475</v>
      </c>
      <c r="M5" s="82">
        <v>5306</v>
      </c>
      <c r="N5" s="82">
        <v>1773455</v>
      </c>
      <c r="O5" s="82">
        <v>4516</v>
      </c>
      <c r="P5" s="82">
        <v>2624875</v>
      </c>
      <c r="Q5" s="82">
        <v>4938</v>
      </c>
      <c r="T5" s="84"/>
      <c r="U5" s="85" t="s">
        <v>28</v>
      </c>
      <c r="V5" s="85" t="s">
        <v>78</v>
      </c>
      <c r="W5" s="84"/>
      <c r="X5" s="84"/>
      <c r="Y5" s="85" t="s">
        <v>28</v>
      </c>
      <c r="Z5" s="85" t="s">
        <v>78</v>
      </c>
      <c r="AA5" s="84"/>
    </row>
    <row r="6" spans="1:27" x14ac:dyDescent="0.2">
      <c r="A6" s="80" t="s">
        <v>81</v>
      </c>
      <c r="B6" s="82">
        <v>75126</v>
      </c>
      <c r="C6" s="82">
        <v>3662</v>
      </c>
      <c r="D6" s="82">
        <v>53</v>
      </c>
      <c r="E6" s="82">
        <v>63</v>
      </c>
      <c r="F6" s="82">
        <v>327859</v>
      </c>
      <c r="G6" s="82">
        <v>4588</v>
      </c>
      <c r="H6" s="82">
        <v>654895</v>
      </c>
      <c r="I6" s="82">
        <v>3895</v>
      </c>
      <c r="J6" s="82">
        <v>1489789</v>
      </c>
      <c r="K6" s="82">
        <v>7900</v>
      </c>
      <c r="L6" s="82">
        <v>1323339</v>
      </c>
      <c r="M6" s="82">
        <v>6652</v>
      </c>
      <c r="N6" s="82">
        <v>2237167</v>
      </c>
      <c r="O6" s="82">
        <v>5132</v>
      </c>
      <c r="P6" s="82">
        <v>3000364</v>
      </c>
      <c r="Q6" s="82">
        <v>7190</v>
      </c>
      <c r="T6" s="86" t="s">
        <v>99</v>
      </c>
      <c r="U6" s="87">
        <f t="shared" ref="U6:U17" si="0">P23</f>
        <v>459867</v>
      </c>
      <c r="V6" s="87">
        <f t="shared" ref="V6:V17" si="1">Q23</f>
        <v>696</v>
      </c>
      <c r="W6" s="84"/>
      <c r="X6" s="86" t="s">
        <v>99</v>
      </c>
      <c r="Y6" s="87">
        <f t="shared" ref="Y6:Y17" si="2">P4</f>
        <v>2338197</v>
      </c>
      <c r="Z6" s="87">
        <f t="shared" ref="Z6:Z17" si="3">Q4</f>
        <v>4894</v>
      </c>
      <c r="AA6" s="84"/>
    </row>
    <row r="7" spans="1:27" x14ac:dyDescent="0.2">
      <c r="A7" s="80" t="s">
        <v>82</v>
      </c>
      <c r="B7" s="82">
        <v>5362</v>
      </c>
      <c r="C7" s="82">
        <v>2777</v>
      </c>
      <c r="D7" s="82">
        <v>342</v>
      </c>
      <c r="E7" s="82">
        <v>947</v>
      </c>
      <c r="F7" s="82">
        <v>92699</v>
      </c>
      <c r="G7" s="82">
        <v>1825</v>
      </c>
      <c r="H7" s="82">
        <v>1206813</v>
      </c>
      <c r="I7" s="82">
        <v>5533</v>
      </c>
      <c r="J7" s="82">
        <v>1352519</v>
      </c>
      <c r="K7" s="82">
        <v>7858</v>
      </c>
      <c r="L7" s="82">
        <v>1729038</v>
      </c>
      <c r="M7" s="82">
        <v>5458</v>
      </c>
      <c r="N7" s="82">
        <v>1567951</v>
      </c>
      <c r="O7" s="82">
        <v>5563</v>
      </c>
      <c r="P7" s="82">
        <v>3122700</v>
      </c>
      <c r="Q7" s="82">
        <v>8316</v>
      </c>
      <c r="T7" s="86" t="s">
        <v>100</v>
      </c>
      <c r="U7" s="87">
        <f t="shared" si="0"/>
        <v>411204</v>
      </c>
      <c r="V7" s="87">
        <f t="shared" si="1"/>
        <v>720</v>
      </c>
      <c r="W7" s="84"/>
      <c r="X7" s="86" t="s">
        <v>100</v>
      </c>
      <c r="Y7" s="87">
        <f t="shared" si="2"/>
        <v>2624875</v>
      </c>
      <c r="Z7" s="87">
        <f t="shared" si="3"/>
        <v>4938</v>
      </c>
      <c r="AA7" s="84"/>
    </row>
    <row r="8" spans="1:27" x14ac:dyDescent="0.2">
      <c r="A8" s="80" t="s">
        <v>83</v>
      </c>
      <c r="B8" s="82">
        <v>77297</v>
      </c>
      <c r="C8" s="82">
        <v>7943</v>
      </c>
      <c r="D8" s="82">
        <v>134737</v>
      </c>
      <c r="E8" s="82">
        <v>6149</v>
      </c>
      <c r="F8" s="82">
        <v>233257</v>
      </c>
      <c r="G8" s="82">
        <v>5302</v>
      </c>
      <c r="H8" s="82">
        <v>1269361</v>
      </c>
      <c r="I8" s="82">
        <v>3927</v>
      </c>
      <c r="J8" s="82">
        <v>1769800</v>
      </c>
      <c r="K8" s="82">
        <v>6023</v>
      </c>
      <c r="L8" s="82">
        <v>1303127</v>
      </c>
      <c r="M8" s="82">
        <v>5554</v>
      </c>
      <c r="N8" s="82">
        <v>1377540</v>
      </c>
      <c r="O8" s="82">
        <v>6258</v>
      </c>
      <c r="P8" s="82">
        <v>2974060</v>
      </c>
      <c r="Q8" s="82">
        <v>8013</v>
      </c>
      <c r="T8" s="86" t="s">
        <v>101</v>
      </c>
      <c r="U8" s="87">
        <f t="shared" si="0"/>
        <v>425626.5</v>
      </c>
      <c r="V8" s="87">
        <f t="shared" si="1"/>
        <v>660</v>
      </c>
      <c r="W8" s="84"/>
      <c r="X8" s="86" t="s">
        <v>101</v>
      </c>
      <c r="Y8" s="87">
        <f t="shared" si="2"/>
        <v>3000364</v>
      </c>
      <c r="Z8" s="87">
        <f t="shared" si="3"/>
        <v>7190</v>
      </c>
      <c r="AA8" s="84"/>
    </row>
    <row r="9" spans="1:27" x14ac:dyDescent="0.2">
      <c r="A9" s="80" t="s">
        <v>84</v>
      </c>
      <c r="B9" s="82">
        <v>440</v>
      </c>
      <c r="C9" s="82">
        <v>429</v>
      </c>
      <c r="D9" s="82">
        <v>21167</v>
      </c>
      <c r="E9" s="82">
        <v>1454</v>
      </c>
      <c r="F9" s="82">
        <v>1393096</v>
      </c>
      <c r="G9" s="82">
        <v>7378</v>
      </c>
      <c r="H9" s="82">
        <v>1831134</v>
      </c>
      <c r="I9" s="82">
        <v>6123</v>
      </c>
      <c r="J9" s="82">
        <v>2575248</v>
      </c>
      <c r="K9" s="82">
        <v>6163</v>
      </c>
      <c r="L9" s="82">
        <v>866277</v>
      </c>
      <c r="M9" s="82">
        <v>6242</v>
      </c>
      <c r="N9" s="82">
        <v>2234487</v>
      </c>
      <c r="O9" s="82">
        <v>8560</v>
      </c>
      <c r="P9" s="82">
        <v>2957380</v>
      </c>
      <c r="Q9" s="82">
        <v>6200</v>
      </c>
      <c r="T9" s="86" t="s">
        <v>102</v>
      </c>
      <c r="U9" s="87">
        <f t="shared" si="0"/>
        <v>420594</v>
      </c>
      <c r="V9" s="87">
        <f t="shared" si="1"/>
        <v>843.28</v>
      </c>
      <c r="W9" s="84"/>
      <c r="X9" s="86" t="s">
        <v>102</v>
      </c>
      <c r="Y9" s="87">
        <f t="shared" si="2"/>
        <v>3122700</v>
      </c>
      <c r="Z9" s="87">
        <f t="shared" si="3"/>
        <v>8316</v>
      </c>
      <c r="AA9" s="84"/>
    </row>
    <row r="10" spans="1:27" x14ac:dyDescent="0.2">
      <c r="A10" s="80" t="s">
        <v>85</v>
      </c>
      <c r="B10" s="82">
        <v>33397</v>
      </c>
      <c r="C10" s="82">
        <v>6631</v>
      </c>
      <c r="D10" s="82">
        <v>159396</v>
      </c>
      <c r="E10" s="82">
        <v>4726</v>
      </c>
      <c r="F10" s="82">
        <v>1254245</v>
      </c>
      <c r="G10" s="82">
        <v>4980</v>
      </c>
      <c r="H10" s="82">
        <v>2534916</v>
      </c>
      <c r="I10" s="82">
        <v>8538</v>
      </c>
      <c r="J10" s="82">
        <v>2747648</v>
      </c>
      <c r="K10" s="82">
        <v>7040</v>
      </c>
      <c r="L10" s="82">
        <v>1725691</v>
      </c>
      <c r="M10" s="82">
        <v>5829</v>
      </c>
      <c r="N10" s="82">
        <v>3065109</v>
      </c>
      <c r="O10" s="82">
        <v>8901</v>
      </c>
      <c r="P10" s="82">
        <v>3591831</v>
      </c>
      <c r="Q10" s="82">
        <v>6584</v>
      </c>
      <c r="T10" s="86" t="s">
        <v>83</v>
      </c>
      <c r="U10" s="87">
        <f t="shared" si="0"/>
        <v>499479</v>
      </c>
      <c r="V10" s="87">
        <f t="shared" si="1"/>
        <v>1237.2</v>
      </c>
      <c r="W10" s="84"/>
      <c r="X10" s="86" t="s">
        <v>83</v>
      </c>
      <c r="Y10" s="87">
        <f t="shared" si="2"/>
        <v>2974060</v>
      </c>
      <c r="Z10" s="87">
        <f t="shared" si="3"/>
        <v>8013</v>
      </c>
      <c r="AA10" s="84"/>
    </row>
    <row r="11" spans="1:27" x14ac:dyDescent="0.2">
      <c r="A11" s="80" t="s">
        <v>86</v>
      </c>
      <c r="B11" s="82">
        <v>18800</v>
      </c>
      <c r="C11" s="82">
        <v>3181</v>
      </c>
      <c r="D11" s="82">
        <v>139599</v>
      </c>
      <c r="E11" s="82">
        <v>4756</v>
      </c>
      <c r="F11" s="82">
        <v>1855192</v>
      </c>
      <c r="G11" s="82">
        <v>6976</v>
      </c>
      <c r="H11" s="82">
        <v>2503944</v>
      </c>
      <c r="I11" s="82">
        <v>6177</v>
      </c>
      <c r="J11" s="82">
        <v>3030259</v>
      </c>
      <c r="K11" s="82">
        <v>8924</v>
      </c>
      <c r="L11" s="82">
        <v>1683992</v>
      </c>
      <c r="M11" s="82">
        <v>4865</v>
      </c>
      <c r="N11" s="82">
        <v>3554173</v>
      </c>
      <c r="O11" s="82">
        <v>7991</v>
      </c>
      <c r="P11" s="82">
        <v>3410805</v>
      </c>
      <c r="Q11" s="82">
        <v>8403</v>
      </c>
      <c r="T11" s="86" t="s">
        <v>103</v>
      </c>
      <c r="U11" s="87">
        <f t="shared" si="0"/>
        <v>547687.5</v>
      </c>
      <c r="V11" s="87">
        <f t="shared" si="1"/>
        <v>1150.26</v>
      </c>
      <c r="W11" s="84"/>
      <c r="X11" s="86" t="s">
        <v>103</v>
      </c>
      <c r="Y11" s="87">
        <f t="shared" si="2"/>
        <v>2957380</v>
      </c>
      <c r="Z11" s="87">
        <f t="shared" si="3"/>
        <v>6200</v>
      </c>
      <c r="AA11" s="84"/>
    </row>
    <row r="12" spans="1:27" x14ac:dyDescent="0.2">
      <c r="A12" s="80" t="s">
        <v>87</v>
      </c>
      <c r="B12" s="82">
        <v>481</v>
      </c>
      <c r="C12" s="82">
        <v>602</v>
      </c>
      <c r="D12" s="82">
        <v>100239</v>
      </c>
      <c r="E12" s="82">
        <v>7821</v>
      </c>
      <c r="F12" s="82">
        <v>1272418</v>
      </c>
      <c r="G12" s="82">
        <v>6064</v>
      </c>
      <c r="H12" s="82">
        <v>2554587</v>
      </c>
      <c r="I12" s="82">
        <v>6978</v>
      </c>
      <c r="J12" s="82">
        <v>2614415</v>
      </c>
      <c r="K12" s="82">
        <v>7063</v>
      </c>
      <c r="L12" s="82">
        <v>1198082</v>
      </c>
      <c r="M12" s="82">
        <v>5376</v>
      </c>
      <c r="N12" s="82">
        <v>2576414</v>
      </c>
      <c r="O12" s="82">
        <v>7057</v>
      </c>
      <c r="P12" s="82">
        <v>3903255</v>
      </c>
      <c r="Q12" s="82">
        <v>7666</v>
      </c>
      <c r="T12" s="86" t="s">
        <v>104</v>
      </c>
      <c r="U12" s="87">
        <f t="shared" si="0"/>
        <v>632656.5</v>
      </c>
      <c r="V12" s="87">
        <f t="shared" si="1"/>
        <v>1201.49</v>
      </c>
      <c r="W12" s="84"/>
      <c r="X12" s="86" t="s">
        <v>104</v>
      </c>
      <c r="Y12" s="87">
        <f t="shared" si="2"/>
        <v>3591831</v>
      </c>
      <c r="Z12" s="87">
        <f t="shared" si="3"/>
        <v>6584</v>
      </c>
      <c r="AA12" s="84"/>
    </row>
    <row r="13" spans="1:27" x14ac:dyDescent="0.2">
      <c r="A13" s="80" t="s">
        <v>88</v>
      </c>
      <c r="B13" s="82">
        <v>37529</v>
      </c>
      <c r="C13" s="82">
        <v>4438</v>
      </c>
      <c r="D13" s="82">
        <v>52505</v>
      </c>
      <c r="E13" s="82">
        <v>1831</v>
      </c>
      <c r="F13" s="82">
        <v>592987</v>
      </c>
      <c r="G13" s="82">
        <v>5267</v>
      </c>
      <c r="H13" s="82">
        <v>765056</v>
      </c>
      <c r="I13" s="82">
        <v>3833</v>
      </c>
      <c r="J13" s="82">
        <v>2419283</v>
      </c>
      <c r="K13" s="82">
        <v>8229</v>
      </c>
      <c r="L13" s="82">
        <v>846806</v>
      </c>
      <c r="M13" s="82">
        <v>3675</v>
      </c>
      <c r="N13" s="82">
        <v>2317684</v>
      </c>
      <c r="O13" s="82">
        <v>5184</v>
      </c>
      <c r="P13" s="82">
        <v>2872832</v>
      </c>
      <c r="Q13" s="82">
        <v>7796</v>
      </c>
      <c r="T13" s="86" t="s">
        <v>105</v>
      </c>
      <c r="U13" s="87">
        <f t="shared" si="0"/>
        <v>571392</v>
      </c>
      <c r="V13" s="87">
        <f t="shared" si="1"/>
        <v>1170.02</v>
      </c>
      <c r="W13" s="84"/>
      <c r="X13" s="86" t="s">
        <v>105</v>
      </c>
      <c r="Y13" s="87">
        <f t="shared" si="2"/>
        <v>3410805</v>
      </c>
      <c r="Z13" s="87">
        <f t="shared" si="3"/>
        <v>8403</v>
      </c>
      <c r="AA13" s="84"/>
    </row>
    <row r="14" spans="1:27" x14ac:dyDescent="0.2">
      <c r="A14" s="80" t="s">
        <v>89</v>
      </c>
      <c r="B14" s="82">
        <v>7096</v>
      </c>
      <c r="C14" s="82">
        <v>3194</v>
      </c>
      <c r="D14" s="82">
        <v>41837</v>
      </c>
      <c r="E14" s="82">
        <v>1242</v>
      </c>
      <c r="F14" s="82">
        <v>45893</v>
      </c>
      <c r="G14" s="82">
        <v>1199</v>
      </c>
      <c r="H14" s="82">
        <v>90212</v>
      </c>
      <c r="I14" s="82">
        <v>1624</v>
      </c>
      <c r="J14" s="82">
        <v>1928716</v>
      </c>
      <c r="K14" s="82">
        <v>7948</v>
      </c>
      <c r="L14" s="82">
        <v>621113</v>
      </c>
      <c r="M14" s="82">
        <v>2772</v>
      </c>
      <c r="N14" s="82">
        <v>1261181</v>
      </c>
      <c r="O14" s="82">
        <v>6023</v>
      </c>
      <c r="P14" s="82">
        <v>1365580</v>
      </c>
      <c r="Q14" s="82">
        <v>5111</v>
      </c>
      <c r="T14" s="86" t="s">
        <v>106</v>
      </c>
      <c r="U14" s="87">
        <f t="shared" si="0"/>
        <v>525934.5</v>
      </c>
      <c r="V14" s="87">
        <f t="shared" si="1"/>
        <v>1109.99</v>
      </c>
      <c r="W14" s="84"/>
      <c r="X14" s="86" t="s">
        <v>106</v>
      </c>
      <c r="Y14" s="87">
        <f t="shared" si="2"/>
        <v>3903255</v>
      </c>
      <c r="Z14" s="87">
        <f t="shared" si="3"/>
        <v>7666</v>
      </c>
      <c r="AA14" s="84"/>
    </row>
    <row r="15" spans="1:27" x14ac:dyDescent="0.2">
      <c r="A15" s="80" t="s">
        <v>90</v>
      </c>
      <c r="B15" s="82">
        <v>221</v>
      </c>
      <c r="C15" s="82">
        <v>244</v>
      </c>
      <c r="D15" s="82">
        <v>34447</v>
      </c>
      <c r="E15" s="82">
        <v>4140</v>
      </c>
      <c r="F15" s="82">
        <v>12983</v>
      </c>
      <c r="G15" s="82">
        <v>958</v>
      </c>
      <c r="H15" s="82">
        <v>390414</v>
      </c>
      <c r="I15" s="82">
        <v>5295</v>
      </c>
      <c r="J15" s="82">
        <v>1214030</v>
      </c>
      <c r="K15" s="82">
        <v>7277</v>
      </c>
      <c r="L15" s="82">
        <v>442350</v>
      </c>
      <c r="M15" s="82">
        <v>2137</v>
      </c>
      <c r="N15" s="82">
        <v>463875</v>
      </c>
      <c r="O15" s="82">
        <v>8504</v>
      </c>
      <c r="P15" s="82">
        <v>1195611</v>
      </c>
      <c r="Q15" s="82">
        <v>8576</v>
      </c>
      <c r="T15" s="86" t="s">
        <v>107</v>
      </c>
      <c r="U15" s="87">
        <f t="shared" si="0"/>
        <v>462580.5</v>
      </c>
      <c r="V15" s="87">
        <f t="shared" si="1"/>
        <v>994.92</v>
      </c>
      <c r="W15" s="84"/>
      <c r="X15" s="86" t="s">
        <v>107</v>
      </c>
      <c r="Y15" s="87">
        <f t="shared" si="2"/>
        <v>2872832</v>
      </c>
      <c r="Z15" s="87">
        <f t="shared" si="3"/>
        <v>7796</v>
      </c>
      <c r="AA15" s="84"/>
    </row>
    <row r="16" spans="1:27" x14ac:dyDescent="0.2">
      <c r="T16" s="86" t="s">
        <v>108</v>
      </c>
      <c r="U16" s="87">
        <f t="shared" si="0"/>
        <v>407481</v>
      </c>
      <c r="V16" s="87">
        <f t="shared" si="1"/>
        <v>678</v>
      </c>
      <c r="W16" s="84"/>
      <c r="X16" s="86" t="s">
        <v>108</v>
      </c>
      <c r="Y16" s="87">
        <f t="shared" si="2"/>
        <v>1365580</v>
      </c>
      <c r="Z16" s="87">
        <f t="shared" si="3"/>
        <v>5111</v>
      </c>
      <c r="AA16" s="84"/>
    </row>
    <row r="17" spans="1:27" x14ac:dyDescent="0.2">
      <c r="B17" s="82">
        <f t="shared" ref="B17:Q17" si="4">SUM(B4:B15)</f>
        <v>258088</v>
      </c>
      <c r="C17" s="82">
        <f t="shared" si="4"/>
        <v>40238</v>
      </c>
      <c r="D17" s="82">
        <f t="shared" si="4"/>
        <v>881553</v>
      </c>
      <c r="E17" s="82">
        <f t="shared" si="4"/>
        <v>39489</v>
      </c>
      <c r="F17" s="82">
        <f t="shared" si="4"/>
        <v>7142922</v>
      </c>
      <c r="G17" s="82">
        <f t="shared" si="4"/>
        <v>47397</v>
      </c>
      <c r="H17" s="82">
        <f t="shared" si="4"/>
        <v>14423971</v>
      </c>
      <c r="I17" s="82">
        <f t="shared" si="4"/>
        <v>60650</v>
      </c>
      <c r="J17" s="82">
        <f t="shared" si="4"/>
        <v>23957947</v>
      </c>
      <c r="K17" s="82">
        <f t="shared" si="4"/>
        <v>87385</v>
      </c>
      <c r="L17" s="82">
        <f t="shared" si="4"/>
        <v>15692081</v>
      </c>
      <c r="M17" s="82">
        <f t="shared" si="4"/>
        <v>59228</v>
      </c>
      <c r="N17" s="82">
        <f t="shared" si="4"/>
        <v>23223372</v>
      </c>
      <c r="O17" s="82">
        <f t="shared" si="4"/>
        <v>78401</v>
      </c>
      <c r="P17" s="82">
        <f t="shared" si="4"/>
        <v>33357490</v>
      </c>
      <c r="Q17" s="82">
        <f t="shared" si="4"/>
        <v>83687</v>
      </c>
      <c r="T17" s="86" t="s">
        <v>109</v>
      </c>
      <c r="U17" s="87">
        <f t="shared" si="0"/>
        <v>426472.5</v>
      </c>
      <c r="V17" s="87">
        <f t="shared" si="1"/>
        <v>654</v>
      </c>
      <c r="W17" s="84"/>
      <c r="X17" s="86" t="s">
        <v>109</v>
      </c>
      <c r="Y17" s="87">
        <f t="shared" si="2"/>
        <v>1195611</v>
      </c>
      <c r="Z17" s="87">
        <f t="shared" si="3"/>
        <v>8576</v>
      </c>
      <c r="AA17" s="84"/>
    </row>
    <row r="18" spans="1:27" x14ac:dyDescent="0.2">
      <c r="T18" s="84"/>
      <c r="U18" s="84"/>
      <c r="V18" s="84"/>
      <c r="W18" s="84"/>
      <c r="X18" s="84"/>
      <c r="Y18" s="84"/>
      <c r="Z18" s="84"/>
      <c r="AA18" s="84"/>
    </row>
    <row r="19" spans="1:27" x14ac:dyDescent="0.2">
      <c r="T19" s="86" t="s">
        <v>43</v>
      </c>
      <c r="U19" s="87">
        <f>SUM(U6:U17)</f>
        <v>5790975</v>
      </c>
      <c r="V19" s="87">
        <f>SUM(V6:V17)</f>
        <v>11115.16</v>
      </c>
      <c r="W19" s="84"/>
      <c r="X19" s="86" t="s">
        <v>43</v>
      </c>
      <c r="Y19" s="87">
        <f>SUM(Y6:Y17)</f>
        <v>33357490</v>
      </c>
      <c r="Z19" s="87">
        <f>SUM(Z6:Z17)</f>
        <v>83687</v>
      </c>
      <c r="AA19" s="84"/>
    </row>
    <row r="20" spans="1:27" x14ac:dyDescent="0.2">
      <c r="B20" s="208" t="s">
        <v>91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T20" s="86" t="s">
        <v>110</v>
      </c>
      <c r="U20" s="87">
        <f>SUM(U6:U9)</f>
        <v>1717291.5</v>
      </c>
      <c r="V20" s="87">
        <f>SUM(V6:V9)</f>
        <v>2919.2799999999997</v>
      </c>
      <c r="W20" s="84"/>
      <c r="X20" s="88">
        <v>0.25</v>
      </c>
      <c r="Y20" s="89">
        <f>0.25*Y19</f>
        <v>8339372.5</v>
      </c>
      <c r="Z20" s="89">
        <f>0.25*Z19</f>
        <v>20921.75</v>
      </c>
      <c r="AA20" s="84"/>
    </row>
    <row r="21" spans="1:27" x14ac:dyDescent="0.2">
      <c r="B21" s="208">
        <v>2004</v>
      </c>
      <c r="C21" s="208"/>
      <c r="D21" s="208">
        <v>2005</v>
      </c>
      <c r="E21" s="208"/>
      <c r="F21" s="208">
        <v>2006</v>
      </c>
      <c r="G21" s="208"/>
      <c r="H21" s="208">
        <v>2007</v>
      </c>
      <c r="I21" s="208"/>
      <c r="J21" s="208">
        <v>2008</v>
      </c>
      <c r="K21" s="208"/>
      <c r="L21" s="208">
        <v>2009</v>
      </c>
      <c r="M21" s="208"/>
      <c r="N21" s="208">
        <v>2010</v>
      </c>
      <c r="O21" s="208"/>
      <c r="P21" s="208">
        <v>2011</v>
      </c>
      <c r="Q21" s="208"/>
      <c r="T21" s="86" t="s">
        <v>111</v>
      </c>
      <c r="U21" s="87">
        <f>SUM(U10:U17)</f>
        <v>4073683.5</v>
      </c>
      <c r="V21" s="87">
        <f>SUM(V10:V17)</f>
        <v>8195.8799999999992</v>
      </c>
      <c r="W21" s="84"/>
      <c r="X21" s="85" t="s">
        <v>113</v>
      </c>
      <c r="Y21" s="89">
        <f>-(Y20-Y19)</f>
        <v>25018117.5</v>
      </c>
      <c r="Z21" s="89">
        <f>-(Z20-Z19)</f>
        <v>62765.25</v>
      </c>
      <c r="AA21" s="84"/>
    </row>
    <row r="22" spans="1:27" x14ac:dyDescent="0.2">
      <c r="B22" s="81" t="s">
        <v>28</v>
      </c>
      <c r="C22" s="81" t="s">
        <v>78</v>
      </c>
      <c r="D22" s="81" t="s">
        <v>28</v>
      </c>
      <c r="E22" s="81" t="s">
        <v>78</v>
      </c>
      <c r="F22" s="81" t="s">
        <v>28</v>
      </c>
      <c r="G22" s="81" t="s">
        <v>78</v>
      </c>
      <c r="H22" s="81" t="s">
        <v>28</v>
      </c>
      <c r="I22" s="81" t="s">
        <v>78</v>
      </c>
      <c r="J22" s="81" t="s">
        <v>28</v>
      </c>
      <c r="K22" s="81" t="s">
        <v>78</v>
      </c>
      <c r="L22" s="81" t="s">
        <v>28</v>
      </c>
      <c r="M22" s="81" t="s">
        <v>78</v>
      </c>
      <c r="N22" s="81" t="s">
        <v>28</v>
      </c>
      <c r="O22" s="81" t="s">
        <v>78</v>
      </c>
      <c r="P22" s="81" t="s">
        <v>28</v>
      </c>
      <c r="Q22" s="81" t="s">
        <v>78</v>
      </c>
    </row>
    <row r="23" spans="1:27" x14ac:dyDescent="0.2">
      <c r="A23" s="80" t="s">
        <v>79</v>
      </c>
      <c r="B23" s="82">
        <v>672373</v>
      </c>
      <c r="C23" s="82">
        <v>984</v>
      </c>
      <c r="D23" s="82">
        <v>653460</v>
      </c>
      <c r="E23" s="82">
        <v>1020</v>
      </c>
      <c r="F23" s="82">
        <v>628953</v>
      </c>
      <c r="G23" s="82">
        <v>991</v>
      </c>
      <c r="H23" s="82">
        <v>630181</v>
      </c>
      <c r="I23" s="82">
        <v>936</v>
      </c>
      <c r="J23" s="82">
        <v>596239</v>
      </c>
      <c r="K23" s="82">
        <v>894</v>
      </c>
      <c r="L23" s="82">
        <v>567368</v>
      </c>
      <c r="M23" s="82">
        <v>846</v>
      </c>
      <c r="N23" s="82">
        <v>536389</v>
      </c>
      <c r="O23" s="82">
        <v>792</v>
      </c>
      <c r="P23" s="82">
        <v>459867</v>
      </c>
      <c r="Q23" s="82">
        <v>696</v>
      </c>
    </row>
    <row r="24" spans="1:27" x14ac:dyDescent="0.2">
      <c r="A24" s="80" t="s">
        <v>80</v>
      </c>
      <c r="B24" s="82">
        <v>621774</v>
      </c>
      <c r="C24" s="82">
        <v>972</v>
      </c>
      <c r="D24" s="82">
        <v>582346</v>
      </c>
      <c r="E24" s="82">
        <v>972</v>
      </c>
      <c r="F24" s="82">
        <v>576252</v>
      </c>
      <c r="G24" s="82">
        <v>954</v>
      </c>
      <c r="H24" s="82">
        <v>588502</v>
      </c>
      <c r="I24" s="82">
        <v>966</v>
      </c>
      <c r="J24" s="82">
        <v>543320</v>
      </c>
      <c r="K24" s="82">
        <v>876</v>
      </c>
      <c r="L24" s="82">
        <v>500370</v>
      </c>
      <c r="M24" s="82">
        <v>852</v>
      </c>
      <c r="N24" s="82">
        <v>480000</v>
      </c>
      <c r="O24" s="82">
        <v>780</v>
      </c>
      <c r="P24" s="82">
        <v>411204</v>
      </c>
      <c r="Q24" s="82">
        <v>720</v>
      </c>
    </row>
    <row r="25" spans="1:27" x14ac:dyDescent="0.2">
      <c r="A25" s="80" t="s">
        <v>81</v>
      </c>
      <c r="B25" s="82">
        <v>662148</v>
      </c>
      <c r="C25" s="82">
        <v>1122</v>
      </c>
      <c r="D25" s="82">
        <v>637458</v>
      </c>
      <c r="E25" s="82">
        <v>990</v>
      </c>
      <c r="F25" s="82">
        <v>654881</v>
      </c>
      <c r="G25" s="82">
        <v>1165</v>
      </c>
      <c r="H25" s="82">
        <v>610234</v>
      </c>
      <c r="I25" s="82">
        <v>942</v>
      </c>
      <c r="J25" s="82">
        <v>564570</v>
      </c>
      <c r="K25" s="82">
        <v>852</v>
      </c>
      <c r="L25" s="82">
        <v>540864</v>
      </c>
      <c r="M25" s="82">
        <v>810</v>
      </c>
      <c r="N25" s="82">
        <v>516819</v>
      </c>
      <c r="O25" s="82">
        <v>774</v>
      </c>
      <c r="P25" s="82">
        <v>425626.5</v>
      </c>
      <c r="Q25" s="82">
        <v>660</v>
      </c>
    </row>
    <row r="26" spans="1:27" x14ac:dyDescent="0.2">
      <c r="A26" s="80" t="s">
        <v>82</v>
      </c>
      <c r="B26" s="82">
        <v>657318</v>
      </c>
      <c r="C26" s="82">
        <v>1242</v>
      </c>
      <c r="D26" s="82">
        <v>640213</v>
      </c>
      <c r="E26" s="82">
        <v>1146</v>
      </c>
      <c r="F26" s="82">
        <v>640409</v>
      </c>
      <c r="G26" s="82">
        <v>1240</v>
      </c>
      <c r="H26" s="82">
        <v>574890</v>
      </c>
      <c r="I26" s="82">
        <v>1128</v>
      </c>
      <c r="J26" s="82">
        <v>561813</v>
      </c>
      <c r="K26" s="82">
        <v>1123</v>
      </c>
      <c r="L26" s="82">
        <v>543531</v>
      </c>
      <c r="M26" s="82">
        <v>1068</v>
      </c>
      <c r="N26" s="82">
        <v>488388</v>
      </c>
      <c r="O26" s="82">
        <v>1068</v>
      </c>
      <c r="P26" s="82">
        <v>420594</v>
      </c>
      <c r="Q26" s="82">
        <v>843.28</v>
      </c>
    </row>
    <row r="27" spans="1:27" x14ac:dyDescent="0.2">
      <c r="A27" s="80" t="s">
        <v>83</v>
      </c>
      <c r="B27" s="82">
        <v>791070</v>
      </c>
      <c r="C27" s="82">
        <v>1386</v>
      </c>
      <c r="D27" s="82">
        <v>688492</v>
      </c>
      <c r="E27" s="82">
        <v>1260</v>
      </c>
      <c r="F27" s="82">
        <v>727948</v>
      </c>
      <c r="G27" s="82">
        <v>1524</v>
      </c>
      <c r="H27" s="82">
        <v>662629</v>
      </c>
      <c r="I27" s="82">
        <v>1281</v>
      </c>
      <c r="J27" s="82">
        <v>604186</v>
      </c>
      <c r="K27" s="82">
        <v>1134</v>
      </c>
      <c r="L27" s="82">
        <v>610494</v>
      </c>
      <c r="M27" s="82">
        <v>1230</v>
      </c>
      <c r="N27" s="82">
        <v>569638</v>
      </c>
      <c r="O27" s="82">
        <v>1215</v>
      </c>
      <c r="P27" s="82">
        <v>499479</v>
      </c>
      <c r="Q27" s="82">
        <v>1237.2</v>
      </c>
    </row>
    <row r="28" spans="1:27" x14ac:dyDescent="0.2">
      <c r="A28" s="80" t="s">
        <v>84</v>
      </c>
      <c r="B28" s="82">
        <v>827932</v>
      </c>
      <c r="C28" s="82">
        <v>1524</v>
      </c>
      <c r="D28" s="82">
        <v>861285</v>
      </c>
      <c r="E28" s="82">
        <v>1578</v>
      </c>
      <c r="F28" s="82">
        <v>806060</v>
      </c>
      <c r="G28" s="82">
        <v>1534</v>
      </c>
      <c r="H28" s="82">
        <v>740967</v>
      </c>
      <c r="I28" s="82">
        <v>1469</v>
      </c>
      <c r="J28" s="82">
        <v>690040</v>
      </c>
      <c r="K28" s="82">
        <v>1392</v>
      </c>
      <c r="L28" s="82">
        <v>688488</v>
      </c>
      <c r="M28" s="82">
        <v>1287</v>
      </c>
      <c r="N28" s="82">
        <v>604252</v>
      </c>
      <c r="O28" s="82">
        <v>1148</v>
      </c>
      <c r="P28" s="82">
        <v>547687.5</v>
      </c>
      <c r="Q28" s="82">
        <v>1150.26</v>
      </c>
    </row>
    <row r="29" spans="1:27" x14ac:dyDescent="0.2">
      <c r="A29" s="80" t="s">
        <v>85</v>
      </c>
      <c r="B29" s="82">
        <v>914821</v>
      </c>
      <c r="C29" s="82">
        <v>1655</v>
      </c>
      <c r="D29" s="82">
        <v>906484</v>
      </c>
      <c r="E29" s="82">
        <v>1554</v>
      </c>
      <c r="F29" s="82">
        <v>949827</v>
      </c>
      <c r="G29" s="82">
        <v>1566</v>
      </c>
      <c r="H29" s="82">
        <v>825882</v>
      </c>
      <c r="I29" s="82">
        <v>1375</v>
      </c>
      <c r="J29" s="82">
        <v>758802</v>
      </c>
      <c r="K29" s="82">
        <v>1337</v>
      </c>
      <c r="L29" s="82">
        <v>671923</v>
      </c>
      <c r="M29" s="82">
        <v>1198</v>
      </c>
      <c r="N29" s="82">
        <v>691258</v>
      </c>
      <c r="O29" s="82">
        <v>1258</v>
      </c>
      <c r="P29" s="82">
        <v>632656.5</v>
      </c>
      <c r="Q29" s="82">
        <v>1201.49</v>
      </c>
    </row>
    <row r="30" spans="1:27" x14ac:dyDescent="0.2">
      <c r="A30" s="80" t="s">
        <v>86</v>
      </c>
      <c r="B30" s="82">
        <v>884724</v>
      </c>
      <c r="C30" s="82">
        <v>1558</v>
      </c>
      <c r="D30" s="82">
        <v>874489</v>
      </c>
      <c r="E30" s="82">
        <v>1518</v>
      </c>
      <c r="F30" s="82">
        <v>862887</v>
      </c>
      <c r="G30" s="82">
        <v>1560</v>
      </c>
      <c r="H30" s="82">
        <v>838138</v>
      </c>
      <c r="I30" s="82">
        <v>1452</v>
      </c>
      <c r="J30" s="82">
        <v>711510</v>
      </c>
      <c r="K30" s="82">
        <v>1275</v>
      </c>
      <c r="L30" s="82">
        <v>70765</v>
      </c>
      <c r="M30" s="82">
        <v>1341</v>
      </c>
      <c r="N30" s="82">
        <v>647997</v>
      </c>
      <c r="O30" s="82">
        <v>1243</v>
      </c>
      <c r="P30" s="82">
        <v>571392</v>
      </c>
      <c r="Q30" s="82">
        <v>1170.02</v>
      </c>
    </row>
    <row r="31" spans="1:27" x14ac:dyDescent="0.2">
      <c r="A31" s="80" t="s">
        <v>87</v>
      </c>
      <c r="B31" s="82">
        <v>808786</v>
      </c>
      <c r="C31" s="82">
        <v>1492</v>
      </c>
      <c r="D31" s="82">
        <v>769015</v>
      </c>
      <c r="E31" s="82">
        <v>1410</v>
      </c>
      <c r="F31" s="82">
        <v>745029</v>
      </c>
      <c r="G31" s="82">
        <v>1422</v>
      </c>
      <c r="H31" s="82">
        <v>703920</v>
      </c>
      <c r="I31" s="82">
        <v>1419</v>
      </c>
      <c r="J31" s="82">
        <v>648910</v>
      </c>
      <c r="K31" s="82">
        <v>1244</v>
      </c>
      <c r="L31" s="82">
        <v>588951</v>
      </c>
      <c r="M31" s="82">
        <v>1148</v>
      </c>
      <c r="N31" s="82">
        <v>510193</v>
      </c>
      <c r="O31" s="82">
        <v>1134</v>
      </c>
      <c r="P31" s="82">
        <v>525934.5</v>
      </c>
      <c r="Q31" s="82">
        <v>1109.99</v>
      </c>
    </row>
    <row r="32" spans="1:27" x14ac:dyDescent="0.2">
      <c r="A32" s="80" t="s">
        <v>88</v>
      </c>
      <c r="B32" s="82">
        <v>689902</v>
      </c>
      <c r="C32" s="82">
        <v>1215</v>
      </c>
      <c r="D32" s="82">
        <v>683508</v>
      </c>
      <c r="E32" s="82">
        <v>1347</v>
      </c>
      <c r="F32" s="82">
        <v>622695</v>
      </c>
      <c r="G32" s="82">
        <v>1286</v>
      </c>
      <c r="H32" s="82">
        <v>675421</v>
      </c>
      <c r="I32" s="82">
        <v>1333</v>
      </c>
      <c r="J32" s="82">
        <v>554118</v>
      </c>
      <c r="K32" s="82">
        <v>1032</v>
      </c>
      <c r="L32" s="82">
        <v>535252</v>
      </c>
      <c r="M32" s="82">
        <v>917</v>
      </c>
      <c r="N32" s="82">
        <v>460449</v>
      </c>
      <c r="O32" s="82">
        <v>843</v>
      </c>
      <c r="P32" s="82">
        <v>462580.5</v>
      </c>
      <c r="Q32" s="82">
        <v>994.92</v>
      </c>
    </row>
    <row r="33" spans="1:17" x14ac:dyDescent="0.2">
      <c r="A33" s="80" t="s">
        <v>89</v>
      </c>
      <c r="B33" s="82">
        <v>635949</v>
      </c>
      <c r="C33" s="82">
        <v>1073</v>
      </c>
      <c r="D33" s="82">
        <v>613243</v>
      </c>
      <c r="E33" s="82">
        <v>1045</v>
      </c>
      <c r="F33" s="82">
        <v>575320</v>
      </c>
      <c r="G33" s="82">
        <v>924</v>
      </c>
      <c r="H33" s="82">
        <v>561340</v>
      </c>
      <c r="I33" s="82">
        <v>894</v>
      </c>
      <c r="J33" s="82">
        <v>508642</v>
      </c>
      <c r="K33" s="82">
        <v>961</v>
      </c>
      <c r="L33" s="82">
        <v>510912</v>
      </c>
      <c r="M33" s="82">
        <v>810</v>
      </c>
      <c r="N33" s="82">
        <v>439467</v>
      </c>
      <c r="O33" s="82">
        <v>696</v>
      </c>
      <c r="P33" s="82">
        <v>407481</v>
      </c>
      <c r="Q33" s="82">
        <v>678</v>
      </c>
    </row>
    <row r="34" spans="1:17" x14ac:dyDescent="0.2">
      <c r="A34" s="80" t="s">
        <v>90</v>
      </c>
      <c r="B34" s="82">
        <v>641554</v>
      </c>
      <c r="C34" s="82">
        <v>1074</v>
      </c>
      <c r="D34" s="82">
        <v>628740</v>
      </c>
      <c r="E34" s="82">
        <v>924</v>
      </c>
      <c r="F34" s="82">
        <v>593274</v>
      </c>
      <c r="G34" s="82">
        <v>864</v>
      </c>
      <c r="H34" s="82">
        <v>585586</v>
      </c>
      <c r="I34" s="82">
        <v>852</v>
      </c>
      <c r="J34" s="82">
        <v>553260</v>
      </c>
      <c r="K34" s="82">
        <v>822</v>
      </c>
      <c r="L34" s="82">
        <v>535588</v>
      </c>
      <c r="M34" s="82">
        <v>792</v>
      </c>
      <c r="N34" s="82">
        <v>459633</v>
      </c>
      <c r="O34" s="82">
        <v>738</v>
      </c>
      <c r="P34" s="82">
        <v>426472.5</v>
      </c>
      <c r="Q34" s="82">
        <v>654</v>
      </c>
    </row>
    <row r="36" spans="1:17" x14ac:dyDescent="0.2">
      <c r="B36" s="82">
        <f t="shared" ref="B36:Q36" si="5">SUM(B23:B34)</f>
        <v>8808351</v>
      </c>
      <c r="C36" s="82">
        <f t="shared" si="5"/>
        <v>15297</v>
      </c>
      <c r="D36" s="82">
        <f t="shared" si="5"/>
        <v>8538733</v>
      </c>
      <c r="E36" s="82">
        <f t="shared" si="5"/>
        <v>14764</v>
      </c>
      <c r="F36" s="82">
        <f t="shared" si="5"/>
        <v>8383535</v>
      </c>
      <c r="G36" s="82">
        <f t="shared" si="5"/>
        <v>15030</v>
      </c>
      <c r="H36" s="82">
        <f t="shared" si="5"/>
        <v>7997690</v>
      </c>
      <c r="I36" s="82">
        <f t="shared" si="5"/>
        <v>14047</v>
      </c>
      <c r="J36" s="82">
        <f t="shared" si="5"/>
        <v>7295410</v>
      </c>
      <c r="K36" s="82">
        <f t="shared" si="5"/>
        <v>12942</v>
      </c>
      <c r="L36" s="82">
        <f t="shared" si="5"/>
        <v>6364506</v>
      </c>
      <c r="M36" s="82">
        <f t="shared" si="5"/>
        <v>12299</v>
      </c>
      <c r="N36" s="82">
        <f t="shared" si="5"/>
        <v>6404483</v>
      </c>
      <c r="O36" s="82">
        <f t="shared" si="5"/>
        <v>11689</v>
      </c>
      <c r="P36" s="82">
        <f t="shared" si="5"/>
        <v>5790975</v>
      </c>
      <c r="Q36" s="82">
        <f t="shared" si="5"/>
        <v>11115.16</v>
      </c>
    </row>
  </sheetData>
  <mergeCells count="18">
    <mergeCell ref="B1:Q1"/>
    <mergeCell ref="B20:Q20"/>
    <mergeCell ref="B2:C2"/>
    <mergeCell ref="D2:E2"/>
    <mergeCell ref="J2:K2"/>
    <mergeCell ref="L2:M2"/>
    <mergeCell ref="B21:C21"/>
    <mergeCell ref="D21:E21"/>
    <mergeCell ref="F21:G21"/>
    <mergeCell ref="H21:I21"/>
    <mergeCell ref="F2:G2"/>
    <mergeCell ref="H2:I2"/>
    <mergeCell ref="N21:O21"/>
    <mergeCell ref="P21:Q21"/>
    <mergeCell ref="N2:O2"/>
    <mergeCell ref="P2:Q2"/>
    <mergeCell ref="J21:K21"/>
    <mergeCell ref="L21:M21"/>
  </mergeCells>
  <phoneticPr fontId="27" type="noConversion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workbookViewId="0">
      <selection activeCell="F7" sqref="F7"/>
    </sheetView>
  </sheetViews>
  <sheetFormatPr defaultRowHeight="12.75" x14ac:dyDescent="0.2"/>
  <sheetData>
    <row r="1" spans="1:10" x14ac:dyDescent="0.2">
      <c r="A1" t="s">
        <v>118</v>
      </c>
      <c r="B1" t="s">
        <v>119</v>
      </c>
      <c r="C1" t="s">
        <v>120</v>
      </c>
      <c r="D1" s="15" t="s">
        <v>163</v>
      </c>
      <c r="E1" s="104"/>
      <c r="F1" s="104" t="s">
        <v>164</v>
      </c>
      <c r="G1" s="104" t="s">
        <v>165</v>
      </c>
      <c r="H1" s="104" t="s">
        <v>166</v>
      </c>
      <c r="I1" s="104" t="s">
        <v>167</v>
      </c>
      <c r="J1" s="104" t="s">
        <v>168</v>
      </c>
    </row>
    <row r="2" spans="1:10" x14ac:dyDescent="0.2">
      <c r="A2">
        <v>6241.9</v>
      </c>
      <c r="B2">
        <v>72.5</v>
      </c>
      <c r="C2">
        <v>188.5</v>
      </c>
      <c r="F2" s="3">
        <v>42573</v>
      </c>
      <c r="G2" s="3">
        <v>42642</v>
      </c>
      <c r="H2" s="3">
        <v>42619</v>
      </c>
      <c r="I2" s="3">
        <v>42614</v>
      </c>
      <c r="J2" s="3"/>
    </row>
    <row r="3" spans="1:10" x14ac:dyDescent="0.2">
      <c r="A3">
        <v>6226.4</v>
      </c>
      <c r="B3">
        <v>72.2</v>
      </c>
      <c r="C3">
        <v>185.1</v>
      </c>
      <c r="E3" s="104">
        <v>2016</v>
      </c>
      <c r="F3" s="105">
        <v>1.2E-2</v>
      </c>
      <c r="G3" s="105">
        <v>0.01</v>
      </c>
      <c r="H3" s="105">
        <v>1.0999999999999999E-2</v>
      </c>
      <c r="I3" s="105">
        <v>1.0999999999999999E-2</v>
      </c>
      <c r="J3" s="105">
        <f>AVERAGE(F3:I3)</f>
        <v>1.0999999999999999E-2</v>
      </c>
    </row>
    <row r="4" spans="1:10" x14ac:dyDescent="0.2">
      <c r="A4">
        <v>6195.9</v>
      </c>
      <c r="B4">
        <v>71.5</v>
      </c>
      <c r="C4">
        <v>181.9</v>
      </c>
      <c r="E4" s="104">
        <v>2017</v>
      </c>
      <c r="F4" s="105">
        <v>0.01</v>
      </c>
      <c r="G4" s="105">
        <v>8.0000000000000002E-3</v>
      </c>
      <c r="H4" s="105">
        <v>1.0999999999999999E-2</v>
      </c>
      <c r="I4" s="105">
        <v>0.01</v>
      </c>
      <c r="J4" s="105">
        <f>AVERAGE(F4:I4)</f>
        <v>9.75E-3</v>
      </c>
    </row>
    <row r="5" spans="1:10" x14ac:dyDescent="0.2">
      <c r="A5">
        <v>6211</v>
      </c>
      <c r="B5">
        <v>71.5</v>
      </c>
      <c r="C5">
        <v>181.6</v>
      </c>
      <c r="E5" s="104"/>
      <c r="F5" s="105"/>
      <c r="G5" s="105"/>
      <c r="H5" s="105"/>
      <c r="I5" s="105"/>
      <c r="J5" s="105"/>
    </row>
    <row r="6" spans="1:10" x14ac:dyDescent="0.2">
      <c r="A6">
        <v>6255.1</v>
      </c>
      <c r="B6">
        <v>72.599999999999994</v>
      </c>
      <c r="C6">
        <v>182.8</v>
      </c>
    </row>
    <row r="7" spans="1:10" x14ac:dyDescent="0.2">
      <c r="A7">
        <v>6335.7</v>
      </c>
      <c r="B7">
        <v>73.7</v>
      </c>
      <c r="C7">
        <v>185</v>
      </c>
    </row>
    <row r="8" spans="1:10" x14ac:dyDescent="0.2">
      <c r="A8">
        <v>6399.9</v>
      </c>
      <c r="B8">
        <v>74.900000000000006</v>
      </c>
      <c r="C8">
        <v>188.9</v>
      </c>
    </row>
    <row r="9" spans="1:10" x14ac:dyDescent="0.2">
      <c r="A9">
        <v>6421.5</v>
      </c>
      <c r="B9">
        <v>75.2</v>
      </c>
      <c r="C9">
        <v>192</v>
      </c>
    </row>
    <row r="10" spans="1:10" x14ac:dyDescent="0.2">
      <c r="A10">
        <v>6380.2</v>
      </c>
      <c r="B10">
        <v>75.2</v>
      </c>
      <c r="C10">
        <v>194.2</v>
      </c>
    </row>
    <row r="11" spans="1:10" x14ac:dyDescent="0.2">
      <c r="A11">
        <v>6355.5</v>
      </c>
      <c r="B11">
        <v>74.5</v>
      </c>
      <c r="C11">
        <v>196.1</v>
      </c>
    </row>
    <row r="12" spans="1:10" x14ac:dyDescent="0.2">
      <c r="A12">
        <v>6334.3</v>
      </c>
      <c r="B12">
        <v>72.900000000000006</v>
      </c>
      <c r="C12">
        <v>197.4</v>
      </c>
    </row>
    <row r="13" spans="1:10" x14ac:dyDescent="0.2">
      <c r="A13">
        <v>6345.2</v>
      </c>
      <c r="B13">
        <v>73.3</v>
      </c>
      <c r="C13">
        <v>198.5</v>
      </c>
    </row>
    <row r="14" spans="1:10" x14ac:dyDescent="0.2">
      <c r="A14">
        <v>6301.2</v>
      </c>
      <c r="B14">
        <v>72.599999999999994</v>
      </c>
      <c r="C14">
        <v>197.4</v>
      </c>
    </row>
    <row r="15" spans="1:10" x14ac:dyDescent="0.2">
      <c r="A15">
        <v>6270.7</v>
      </c>
      <c r="B15">
        <v>73</v>
      </c>
      <c r="C15">
        <v>196.6</v>
      </c>
    </row>
    <row r="16" spans="1:10" x14ac:dyDescent="0.2">
      <c r="A16">
        <v>6241.7</v>
      </c>
      <c r="B16">
        <v>71.8</v>
      </c>
      <c r="C16">
        <v>193.9</v>
      </c>
    </row>
    <row r="17" spans="1:3" x14ac:dyDescent="0.2">
      <c r="A17">
        <v>6267.8</v>
      </c>
      <c r="B17">
        <v>72.599999999999994</v>
      </c>
      <c r="C17">
        <v>192.4</v>
      </c>
    </row>
    <row r="18" spans="1:3" x14ac:dyDescent="0.2">
      <c r="A18">
        <v>6332.3</v>
      </c>
      <c r="B18">
        <v>74.599999999999994</v>
      </c>
      <c r="C18">
        <v>192.8</v>
      </c>
    </row>
    <row r="19" spans="1:3" x14ac:dyDescent="0.2">
      <c r="A19">
        <v>6413.4</v>
      </c>
      <c r="B19">
        <v>76.900000000000006</v>
      </c>
      <c r="C19">
        <v>196.7</v>
      </c>
    </row>
    <row r="20" spans="1:3" x14ac:dyDescent="0.2">
      <c r="A20">
        <v>6469.8</v>
      </c>
      <c r="B20">
        <v>78</v>
      </c>
      <c r="C20">
        <v>200</v>
      </c>
    </row>
    <row r="21" spans="1:3" x14ac:dyDescent="0.2">
      <c r="A21">
        <v>6482.5</v>
      </c>
      <c r="B21">
        <v>77.900000000000006</v>
      </c>
      <c r="C21">
        <v>199.9</v>
      </c>
    </row>
    <row r="22" spans="1:3" x14ac:dyDescent="0.2">
      <c r="A22">
        <v>6449.4</v>
      </c>
      <c r="B22">
        <v>77.099999999999994</v>
      </c>
      <c r="C22">
        <v>198.2</v>
      </c>
    </row>
    <row r="23" spans="1:3" x14ac:dyDescent="0.2">
      <c r="A23">
        <v>6440.1</v>
      </c>
      <c r="B23">
        <v>76.599999999999994</v>
      </c>
      <c r="C23">
        <v>195.7</v>
      </c>
    </row>
    <row r="24" spans="1:3" x14ac:dyDescent="0.2">
      <c r="A24">
        <v>6419.7</v>
      </c>
      <c r="B24">
        <v>76</v>
      </c>
      <c r="C24">
        <v>193.8</v>
      </c>
    </row>
    <row r="25" spans="1:3" x14ac:dyDescent="0.2">
      <c r="A25">
        <v>6419.7</v>
      </c>
      <c r="B25">
        <v>75.400000000000006</v>
      </c>
      <c r="C25">
        <v>191.2</v>
      </c>
    </row>
    <row r="26" spans="1:3" x14ac:dyDescent="0.2">
      <c r="A26">
        <v>6373.2</v>
      </c>
      <c r="B26">
        <v>74.8</v>
      </c>
      <c r="C26">
        <v>186.9</v>
      </c>
    </row>
    <row r="27" spans="1:3" x14ac:dyDescent="0.2">
      <c r="A27">
        <v>6330.4</v>
      </c>
      <c r="B27">
        <v>74.400000000000006</v>
      </c>
      <c r="C27">
        <v>182.8</v>
      </c>
    </row>
    <row r="28" spans="1:3" x14ac:dyDescent="0.2">
      <c r="A28">
        <v>6308</v>
      </c>
      <c r="B28">
        <v>74.900000000000006</v>
      </c>
      <c r="C28">
        <v>181.3</v>
      </c>
    </row>
    <row r="29" spans="1:3" x14ac:dyDescent="0.2">
      <c r="A29">
        <v>6334.2</v>
      </c>
      <c r="B29">
        <v>75.599999999999994</v>
      </c>
      <c r="C29">
        <v>183.8</v>
      </c>
    </row>
    <row r="30" spans="1:3" x14ac:dyDescent="0.2">
      <c r="A30">
        <v>6415.5</v>
      </c>
      <c r="B30">
        <v>77.400000000000006</v>
      </c>
      <c r="C30">
        <v>189.9</v>
      </c>
    </row>
    <row r="31" spans="1:3" x14ac:dyDescent="0.2">
      <c r="A31">
        <v>6502.3</v>
      </c>
      <c r="B31">
        <v>79.3</v>
      </c>
      <c r="C31">
        <v>195.2</v>
      </c>
    </row>
    <row r="32" spans="1:3" x14ac:dyDescent="0.2">
      <c r="A32">
        <v>6565</v>
      </c>
      <c r="B32">
        <v>80.400000000000006</v>
      </c>
      <c r="C32">
        <v>200.3</v>
      </c>
    </row>
    <row r="33" spans="1:3" x14ac:dyDescent="0.2">
      <c r="A33">
        <v>6570.2</v>
      </c>
      <c r="B33">
        <v>80.099999999999994</v>
      </c>
      <c r="C33">
        <v>204</v>
      </c>
    </row>
    <row r="34" spans="1:3" x14ac:dyDescent="0.2">
      <c r="A34">
        <v>6521</v>
      </c>
      <c r="B34">
        <v>78.2</v>
      </c>
      <c r="C34">
        <v>203</v>
      </c>
    </row>
    <row r="35" spans="1:3" x14ac:dyDescent="0.2">
      <c r="A35">
        <v>6485.7</v>
      </c>
      <c r="B35">
        <v>76.8</v>
      </c>
      <c r="C35">
        <v>200.9</v>
      </c>
    </row>
    <row r="36" spans="1:3" x14ac:dyDescent="0.2">
      <c r="A36">
        <v>6457.7</v>
      </c>
      <c r="B36">
        <v>75.3</v>
      </c>
      <c r="C36">
        <v>194.3</v>
      </c>
    </row>
    <row r="37" spans="1:3" x14ac:dyDescent="0.2">
      <c r="A37">
        <v>6478.1</v>
      </c>
      <c r="B37">
        <v>76.2</v>
      </c>
      <c r="C37">
        <v>191.5</v>
      </c>
    </row>
    <row r="38" spans="1:3" x14ac:dyDescent="0.2">
      <c r="A38">
        <v>6454.7</v>
      </c>
      <c r="B38">
        <v>76.8</v>
      </c>
      <c r="C38">
        <v>186.9</v>
      </c>
    </row>
    <row r="39" spans="1:3" x14ac:dyDescent="0.2">
      <c r="A39">
        <v>6435.8</v>
      </c>
      <c r="B39">
        <v>77.599999999999994</v>
      </c>
      <c r="C39">
        <v>185.9</v>
      </c>
    </row>
    <row r="40" spans="1:3" x14ac:dyDescent="0.2">
      <c r="A40">
        <v>6409.9</v>
      </c>
      <c r="B40">
        <v>79</v>
      </c>
      <c r="C40">
        <v>185.9</v>
      </c>
    </row>
    <row r="41" spans="1:3" x14ac:dyDescent="0.2">
      <c r="A41">
        <v>6427.5</v>
      </c>
      <c r="B41">
        <v>79.400000000000006</v>
      </c>
      <c r="C41">
        <v>190.2</v>
      </c>
    </row>
    <row r="42" spans="1:3" x14ac:dyDescent="0.2">
      <c r="A42">
        <v>6484.1</v>
      </c>
      <c r="B42">
        <v>80.3</v>
      </c>
      <c r="C42">
        <v>194.9</v>
      </c>
    </row>
    <row r="43" spans="1:3" x14ac:dyDescent="0.2">
      <c r="A43">
        <v>6557.6</v>
      </c>
      <c r="B43">
        <v>79.900000000000006</v>
      </c>
      <c r="C43">
        <v>197.3</v>
      </c>
    </row>
    <row r="44" spans="1:3" x14ac:dyDescent="0.2">
      <c r="A44">
        <v>6623.6</v>
      </c>
      <c r="B44">
        <v>80.900000000000006</v>
      </c>
      <c r="C44">
        <v>197</v>
      </c>
    </row>
    <row r="45" spans="1:3" x14ac:dyDescent="0.2">
      <c r="A45">
        <v>6646.3</v>
      </c>
      <c r="B45">
        <v>80.7</v>
      </c>
      <c r="C45">
        <v>197.3</v>
      </c>
    </row>
    <row r="46" spans="1:3" x14ac:dyDescent="0.2">
      <c r="A46">
        <v>6618.1</v>
      </c>
      <c r="B46">
        <v>78.900000000000006</v>
      </c>
      <c r="C46">
        <v>198.6</v>
      </c>
    </row>
    <row r="47" spans="1:3" x14ac:dyDescent="0.2">
      <c r="A47">
        <v>6613</v>
      </c>
      <c r="B47">
        <v>77.099999999999994</v>
      </c>
      <c r="C47">
        <v>201.5</v>
      </c>
    </row>
    <row r="48" spans="1:3" x14ac:dyDescent="0.2">
      <c r="A48">
        <v>6593.3</v>
      </c>
      <c r="B48">
        <v>75.900000000000006</v>
      </c>
      <c r="C48">
        <v>202.4</v>
      </c>
    </row>
    <row r="49" spans="1:3" x14ac:dyDescent="0.2">
      <c r="A49">
        <v>6596.3</v>
      </c>
      <c r="B49">
        <v>76.3</v>
      </c>
      <c r="C49">
        <v>200.8</v>
      </c>
    </row>
    <row r="50" spans="1:3" x14ac:dyDescent="0.2">
      <c r="A50">
        <v>6544</v>
      </c>
      <c r="B50">
        <v>76.400000000000006</v>
      </c>
      <c r="C50">
        <v>198.5</v>
      </c>
    </row>
    <row r="51" spans="1:3" x14ac:dyDescent="0.2">
      <c r="A51">
        <v>6522.8</v>
      </c>
      <c r="B51">
        <v>77</v>
      </c>
      <c r="C51">
        <v>196.9</v>
      </c>
    </row>
    <row r="52" spans="1:3" x14ac:dyDescent="0.2">
      <c r="A52">
        <v>6505.5</v>
      </c>
      <c r="B52">
        <v>77.7</v>
      </c>
      <c r="C52">
        <v>196</v>
      </c>
    </row>
    <row r="53" spans="1:3" x14ac:dyDescent="0.2">
      <c r="A53">
        <v>6535.8</v>
      </c>
      <c r="B53">
        <v>79.099999999999994</v>
      </c>
      <c r="C53">
        <v>196.6</v>
      </c>
    </row>
    <row r="54" spans="1:3" x14ac:dyDescent="0.2">
      <c r="A54">
        <v>6590.4</v>
      </c>
      <c r="B54">
        <v>79.8</v>
      </c>
      <c r="C54">
        <v>197.8</v>
      </c>
    </row>
    <row r="55" spans="1:3" x14ac:dyDescent="0.2">
      <c r="A55">
        <v>6658</v>
      </c>
      <c r="B55">
        <v>80.900000000000006</v>
      </c>
      <c r="C55">
        <v>201.6</v>
      </c>
    </row>
    <row r="56" spans="1:3" x14ac:dyDescent="0.2">
      <c r="A56">
        <v>6696.5</v>
      </c>
      <c r="B56">
        <v>82</v>
      </c>
      <c r="C56">
        <v>203.7</v>
      </c>
    </row>
    <row r="57" spans="1:3" x14ac:dyDescent="0.2">
      <c r="A57">
        <v>6700.1</v>
      </c>
      <c r="B57">
        <v>82.9</v>
      </c>
      <c r="C57">
        <v>204</v>
      </c>
    </row>
    <row r="58" spans="1:3" x14ac:dyDescent="0.2">
      <c r="A58">
        <v>6670.4</v>
      </c>
      <c r="B58">
        <v>82</v>
      </c>
      <c r="C58">
        <v>201</v>
      </c>
    </row>
    <row r="59" spans="1:3" x14ac:dyDescent="0.2">
      <c r="A59">
        <v>6670.2</v>
      </c>
      <c r="B59">
        <v>80.7</v>
      </c>
      <c r="C59">
        <v>199.8</v>
      </c>
    </row>
    <row r="60" spans="1:3" x14ac:dyDescent="0.2">
      <c r="A60">
        <v>6627.6</v>
      </c>
      <c r="B60">
        <v>79.7</v>
      </c>
      <c r="C60">
        <v>196.4</v>
      </c>
    </row>
    <row r="61" spans="1:3" x14ac:dyDescent="0.2">
      <c r="A61">
        <v>6607.1</v>
      </c>
      <c r="B61">
        <v>80</v>
      </c>
      <c r="C61">
        <v>195.5</v>
      </c>
    </row>
    <row r="62" spans="1:3" x14ac:dyDescent="0.2">
      <c r="A62">
        <v>6506.5</v>
      </c>
      <c r="B62">
        <v>79.5</v>
      </c>
      <c r="C62">
        <v>191.9</v>
      </c>
    </row>
    <row r="63" spans="1:3" x14ac:dyDescent="0.2">
      <c r="A63">
        <v>6436.2</v>
      </c>
      <c r="B63">
        <v>78.900000000000006</v>
      </c>
      <c r="C63">
        <v>188.5</v>
      </c>
    </row>
    <row r="64" spans="1:3" x14ac:dyDescent="0.2">
      <c r="A64">
        <v>6363.8</v>
      </c>
      <c r="B64">
        <v>78</v>
      </c>
      <c r="C64">
        <v>184.4</v>
      </c>
    </row>
    <row r="65" spans="1:3" x14ac:dyDescent="0.2">
      <c r="A65">
        <v>6359.6</v>
      </c>
      <c r="B65">
        <v>77.2</v>
      </c>
      <c r="C65">
        <v>179.7</v>
      </c>
    </row>
    <row r="66" spans="1:3" x14ac:dyDescent="0.2">
      <c r="A66">
        <v>6382.1</v>
      </c>
      <c r="B66">
        <v>76.900000000000006</v>
      </c>
      <c r="C66">
        <v>179</v>
      </c>
    </row>
    <row r="67" spans="1:3" x14ac:dyDescent="0.2">
      <c r="A67">
        <v>6429.4</v>
      </c>
      <c r="B67">
        <v>77.400000000000006</v>
      </c>
      <c r="C67">
        <v>182.5</v>
      </c>
    </row>
    <row r="68" spans="1:3" x14ac:dyDescent="0.2">
      <c r="A68">
        <v>6467</v>
      </c>
      <c r="B68">
        <v>78.400000000000006</v>
      </c>
      <c r="C68">
        <v>186.9</v>
      </c>
    </row>
    <row r="69" spans="1:3" x14ac:dyDescent="0.2">
      <c r="A69">
        <v>6487.6</v>
      </c>
      <c r="B69">
        <v>79.3</v>
      </c>
      <c r="C69">
        <v>191</v>
      </c>
    </row>
    <row r="70" spans="1:3" x14ac:dyDescent="0.2">
      <c r="A70">
        <v>6470.2</v>
      </c>
      <c r="B70">
        <v>80</v>
      </c>
      <c r="C70">
        <v>189.9</v>
      </c>
    </row>
    <row r="71" spans="1:3" x14ac:dyDescent="0.2">
      <c r="A71">
        <v>6472.1</v>
      </c>
      <c r="B71">
        <v>80.900000000000006</v>
      </c>
      <c r="C71">
        <v>190.8</v>
      </c>
    </row>
    <row r="72" spans="1:3" x14ac:dyDescent="0.2">
      <c r="A72">
        <v>6465.6</v>
      </c>
      <c r="B72">
        <v>81.2</v>
      </c>
      <c r="C72">
        <v>189.5</v>
      </c>
    </row>
    <row r="73" spans="1:3" x14ac:dyDescent="0.2">
      <c r="A73">
        <v>6467.5</v>
      </c>
      <c r="B73">
        <v>81.2</v>
      </c>
      <c r="C73">
        <v>188.5</v>
      </c>
    </row>
    <row r="74" spans="1:3" x14ac:dyDescent="0.2">
      <c r="A74">
        <v>6434.5</v>
      </c>
      <c r="B74">
        <v>80</v>
      </c>
      <c r="C74">
        <v>186.4</v>
      </c>
    </row>
    <row r="75" spans="1:3" x14ac:dyDescent="0.2">
      <c r="A75">
        <v>6404.1</v>
      </c>
      <c r="B75">
        <v>77.7</v>
      </c>
      <c r="C75">
        <v>184.7</v>
      </c>
    </row>
    <row r="76" spans="1:3" x14ac:dyDescent="0.2">
      <c r="A76">
        <v>6377.2</v>
      </c>
      <c r="B76">
        <v>76.400000000000006</v>
      </c>
      <c r="C76">
        <v>184.8</v>
      </c>
    </row>
    <row r="77" spans="1:3" x14ac:dyDescent="0.2">
      <c r="A77">
        <v>6401.7</v>
      </c>
      <c r="B77">
        <v>76.400000000000006</v>
      </c>
      <c r="C77">
        <v>184.9</v>
      </c>
    </row>
    <row r="78" spans="1:3" x14ac:dyDescent="0.2">
      <c r="A78">
        <v>6468.9</v>
      </c>
      <c r="B78">
        <v>77.599999999999994</v>
      </c>
      <c r="C78">
        <v>188.2</v>
      </c>
    </row>
    <row r="79" spans="1:3" x14ac:dyDescent="0.2">
      <c r="A79">
        <v>6578.9</v>
      </c>
      <c r="B79">
        <v>77.7</v>
      </c>
      <c r="C79">
        <v>193.5</v>
      </c>
    </row>
    <row r="80" spans="1:3" x14ac:dyDescent="0.2">
      <c r="A80">
        <v>6640.9</v>
      </c>
      <c r="B80">
        <v>78.5</v>
      </c>
      <c r="C80">
        <v>196.1</v>
      </c>
    </row>
    <row r="81" spans="1:3" x14ac:dyDescent="0.2">
      <c r="A81">
        <v>6662.6</v>
      </c>
      <c r="B81">
        <v>78.099999999999994</v>
      </c>
      <c r="C81">
        <v>195.6</v>
      </c>
    </row>
    <row r="82" spans="1:3" x14ac:dyDescent="0.2">
      <c r="A82">
        <v>6611.2</v>
      </c>
      <c r="B82">
        <v>77.2</v>
      </c>
      <c r="C82">
        <v>191.5</v>
      </c>
    </row>
    <row r="83" spans="1:3" x14ac:dyDescent="0.2">
      <c r="A83">
        <v>6587.1</v>
      </c>
      <c r="B83">
        <v>75.099999999999994</v>
      </c>
      <c r="C83">
        <v>191.4</v>
      </c>
    </row>
    <row r="84" spans="1:3" x14ac:dyDescent="0.2">
      <c r="A84">
        <v>6566.6</v>
      </c>
      <c r="B84">
        <v>74.5</v>
      </c>
      <c r="C84">
        <v>191.5</v>
      </c>
    </row>
    <row r="85" spans="1:3" x14ac:dyDescent="0.2">
      <c r="A85">
        <v>6584.1</v>
      </c>
      <c r="B85">
        <v>75.5</v>
      </c>
      <c r="C85">
        <v>192</v>
      </c>
    </row>
    <row r="86" spans="1:3" x14ac:dyDescent="0.2">
      <c r="A86">
        <v>6571.2</v>
      </c>
      <c r="B86">
        <v>76.2</v>
      </c>
      <c r="C86">
        <v>191.3</v>
      </c>
    </row>
    <row r="87" spans="1:3" x14ac:dyDescent="0.2">
      <c r="A87">
        <v>6548.1</v>
      </c>
      <c r="B87">
        <v>76.2</v>
      </c>
      <c r="C87">
        <v>189.7</v>
      </c>
    </row>
    <row r="88" spans="1:3" x14ac:dyDescent="0.2">
      <c r="A88">
        <v>6523.7</v>
      </c>
      <c r="B88">
        <v>75.900000000000006</v>
      </c>
      <c r="C88">
        <v>189.7</v>
      </c>
    </row>
    <row r="89" spans="1:3" x14ac:dyDescent="0.2">
      <c r="A89">
        <v>6550</v>
      </c>
      <c r="B89">
        <v>77.7</v>
      </c>
      <c r="C89">
        <v>190.7</v>
      </c>
    </row>
    <row r="90" spans="1:3" x14ac:dyDescent="0.2">
      <c r="A90">
        <v>6612</v>
      </c>
      <c r="B90">
        <v>78.8</v>
      </c>
      <c r="C90">
        <v>193.3</v>
      </c>
    </row>
    <row r="91" spans="1:3" x14ac:dyDescent="0.2">
      <c r="A91">
        <v>6706.8</v>
      </c>
      <c r="B91">
        <v>81</v>
      </c>
      <c r="C91">
        <v>197.3</v>
      </c>
    </row>
    <row r="92" spans="1:3" x14ac:dyDescent="0.2">
      <c r="A92">
        <v>6755.3</v>
      </c>
      <c r="B92">
        <v>81.2</v>
      </c>
      <c r="C92">
        <v>200.1</v>
      </c>
    </row>
    <row r="93" spans="1:3" x14ac:dyDescent="0.2">
      <c r="A93">
        <v>6778</v>
      </c>
      <c r="B93">
        <v>82</v>
      </c>
      <c r="C93">
        <v>201.8</v>
      </c>
    </row>
    <row r="94" spans="1:3" x14ac:dyDescent="0.2">
      <c r="A94">
        <v>6734.6</v>
      </c>
      <c r="B94">
        <v>80.5</v>
      </c>
      <c r="C94">
        <v>201.6</v>
      </c>
    </row>
    <row r="95" spans="1:3" x14ac:dyDescent="0.2">
      <c r="A95">
        <v>6702.2</v>
      </c>
      <c r="B95">
        <v>79.7</v>
      </c>
      <c r="C95">
        <v>200.6</v>
      </c>
    </row>
    <row r="96" spans="1:3" x14ac:dyDescent="0.2">
      <c r="A96">
        <v>6669.4</v>
      </c>
      <c r="B96">
        <v>78.7</v>
      </c>
      <c r="C96">
        <v>198.2</v>
      </c>
    </row>
    <row r="97" spans="1:3" x14ac:dyDescent="0.2">
      <c r="A97">
        <v>6668.3</v>
      </c>
      <c r="B97">
        <v>79.599999999999994</v>
      </c>
      <c r="C97">
        <v>195.7</v>
      </c>
    </row>
    <row r="98" spans="1:3" x14ac:dyDescent="0.2">
      <c r="A98">
        <v>6635.9</v>
      </c>
      <c r="B98">
        <v>80.2</v>
      </c>
      <c r="C98">
        <v>193.8</v>
      </c>
    </row>
    <row r="99" spans="1:3" x14ac:dyDescent="0.2">
      <c r="A99">
        <v>6598</v>
      </c>
      <c r="B99">
        <v>81</v>
      </c>
      <c r="C99">
        <v>193</v>
      </c>
    </row>
    <row r="100" spans="1:3" x14ac:dyDescent="0.2">
      <c r="A100">
        <v>6569.8</v>
      </c>
      <c r="B100">
        <v>80.7</v>
      </c>
      <c r="C100">
        <v>192.5</v>
      </c>
    </row>
    <row r="101" spans="1:3" x14ac:dyDescent="0.2">
      <c r="A101">
        <v>6603.3</v>
      </c>
      <c r="B101">
        <v>81</v>
      </c>
      <c r="C101">
        <v>193.4</v>
      </c>
    </row>
    <row r="102" spans="1:3" x14ac:dyDescent="0.2">
      <c r="A102">
        <v>6658.1</v>
      </c>
      <c r="B102">
        <v>81.900000000000006</v>
      </c>
      <c r="C102">
        <v>199</v>
      </c>
    </row>
    <row r="103" spans="1:3" x14ac:dyDescent="0.2">
      <c r="A103">
        <v>6737.2</v>
      </c>
      <c r="B103">
        <v>83.1</v>
      </c>
      <c r="C103">
        <v>205.3</v>
      </c>
    </row>
    <row r="104" spans="1:3" x14ac:dyDescent="0.2">
      <c r="A104">
        <v>6778.6</v>
      </c>
      <c r="B104">
        <v>82.6</v>
      </c>
      <c r="C104">
        <v>209.1</v>
      </c>
    </row>
    <row r="105" spans="1:3" x14ac:dyDescent="0.2">
      <c r="A105">
        <v>6797.9</v>
      </c>
      <c r="B105">
        <v>80.900000000000006</v>
      </c>
      <c r="C105">
        <v>209.5</v>
      </c>
    </row>
    <row r="106" spans="1:3" x14ac:dyDescent="0.2">
      <c r="A106">
        <v>6763.1</v>
      </c>
      <c r="B106">
        <v>79.099999999999994</v>
      </c>
      <c r="C106">
        <v>208.7</v>
      </c>
    </row>
    <row r="107" spans="1:3" x14ac:dyDescent="0.2">
      <c r="A107">
        <v>6740.9</v>
      </c>
      <c r="B107">
        <v>78.099999999999994</v>
      </c>
      <c r="C107">
        <v>207.9</v>
      </c>
    </row>
    <row r="108" spans="1:3" x14ac:dyDescent="0.2">
      <c r="A108">
        <v>6727.4</v>
      </c>
      <c r="B108">
        <v>78.7</v>
      </c>
      <c r="C108">
        <v>204</v>
      </c>
    </row>
    <row r="109" spans="1:3" x14ac:dyDescent="0.2">
      <c r="A109">
        <v>6740.2</v>
      </c>
      <c r="B109">
        <v>79.400000000000006</v>
      </c>
      <c r="C109">
        <v>200.5</v>
      </c>
    </row>
    <row r="110" spans="1:3" x14ac:dyDescent="0.2">
      <c r="A110">
        <v>6721.7</v>
      </c>
      <c r="B110">
        <v>80.7</v>
      </c>
      <c r="C110">
        <v>197.4</v>
      </c>
    </row>
    <row r="111" spans="1:3" x14ac:dyDescent="0.2">
      <c r="A111">
        <v>6702</v>
      </c>
      <c r="B111">
        <v>80.7</v>
      </c>
      <c r="C111">
        <v>195.2</v>
      </c>
    </row>
    <row r="112" spans="1:3" x14ac:dyDescent="0.2">
      <c r="A112">
        <v>6675.8</v>
      </c>
      <c r="B112">
        <v>80.599999999999994</v>
      </c>
      <c r="C112">
        <v>193.3</v>
      </c>
    </row>
    <row r="113" spans="1:3" x14ac:dyDescent="0.2">
      <c r="A113">
        <v>6703.7</v>
      </c>
      <c r="B113">
        <v>80.2</v>
      </c>
      <c r="C113">
        <v>191.8</v>
      </c>
    </row>
    <row r="114" spans="1:3" x14ac:dyDescent="0.2">
      <c r="A114">
        <v>6770.3</v>
      </c>
      <c r="B114">
        <v>80.599999999999994</v>
      </c>
      <c r="C114">
        <v>195.4</v>
      </c>
    </row>
    <row r="115" spans="1:3" x14ac:dyDescent="0.2">
      <c r="A115">
        <v>6861.8</v>
      </c>
      <c r="B115">
        <v>81.7</v>
      </c>
      <c r="C115">
        <v>196.8</v>
      </c>
    </row>
    <row r="116" spans="1:3" x14ac:dyDescent="0.2">
      <c r="A116">
        <v>6917.1</v>
      </c>
      <c r="B116">
        <v>82.5</v>
      </c>
      <c r="C116">
        <v>197.6</v>
      </c>
    </row>
    <row r="117" spans="1:3" x14ac:dyDescent="0.2">
      <c r="A117">
        <v>6934.7</v>
      </c>
      <c r="B117">
        <v>83.4</v>
      </c>
      <c r="C117">
        <v>194.9</v>
      </c>
    </row>
    <row r="118" spans="1:3" x14ac:dyDescent="0.2">
      <c r="A118">
        <v>6906.9</v>
      </c>
      <c r="B118">
        <v>84.1</v>
      </c>
      <c r="C118">
        <v>192</v>
      </c>
    </row>
    <row r="119" spans="1:3" x14ac:dyDescent="0.2">
      <c r="A119">
        <v>6889</v>
      </c>
      <c r="B119">
        <v>85.1</v>
      </c>
      <c r="C119">
        <v>192.2</v>
      </c>
    </row>
    <row r="120" spans="1:3" x14ac:dyDescent="0.2">
      <c r="A120">
        <v>6863.8</v>
      </c>
      <c r="B120">
        <v>85.1</v>
      </c>
      <c r="C120">
        <v>191.1</v>
      </c>
    </row>
    <row r="121" spans="1:3" x14ac:dyDescent="0.2">
      <c r="A121">
        <v>6849.3</v>
      </c>
      <c r="B121">
        <v>84.1</v>
      </c>
      <c r="C121">
        <v>192.1</v>
      </c>
    </row>
    <row r="122" spans="1:3" x14ac:dyDescent="0.2">
      <c r="A122">
        <v>6806.1</v>
      </c>
      <c r="B122">
        <v>82.5</v>
      </c>
      <c r="C122">
        <v>190.4</v>
      </c>
    </row>
    <row r="123" spans="1:3" x14ac:dyDescent="0.2">
      <c r="A123">
        <v>6772.3</v>
      </c>
      <c r="B123">
        <v>82.1</v>
      </c>
      <c r="C123">
        <v>191.6</v>
      </c>
    </row>
    <row r="124" spans="1:3" x14ac:dyDescent="0.2">
      <c r="A124">
        <v>6751.3</v>
      </c>
      <c r="B124">
        <v>81.8</v>
      </c>
      <c r="C124">
        <v>192.2</v>
      </c>
    </row>
    <row r="125" spans="1:3" x14ac:dyDescent="0.2">
      <c r="A125">
        <v>6785</v>
      </c>
      <c r="B125">
        <v>82</v>
      </c>
      <c r="C125">
        <v>193.4</v>
      </c>
    </row>
    <row r="126" spans="1:3" x14ac:dyDescent="0.2">
      <c r="A126">
        <v>6842.6</v>
      </c>
      <c r="B126">
        <v>82.8</v>
      </c>
      <c r="C126">
        <v>195.7</v>
      </c>
    </row>
    <row r="127" spans="1:3" x14ac:dyDescent="0.2">
      <c r="A127">
        <v>6912.9</v>
      </c>
      <c r="B127">
        <v>83.4</v>
      </c>
      <c r="C127">
        <v>197.1</v>
      </c>
    </row>
    <row r="128" spans="1:3" x14ac:dyDescent="0.2">
      <c r="A128">
        <v>6957.8</v>
      </c>
      <c r="B128">
        <v>83.4</v>
      </c>
      <c r="C128">
        <v>197.9</v>
      </c>
    </row>
    <row r="129" spans="1:3" x14ac:dyDescent="0.2">
      <c r="A129">
        <v>6969.7</v>
      </c>
      <c r="B129">
        <v>82.2</v>
      </c>
      <c r="C129">
        <v>196.7</v>
      </c>
    </row>
    <row r="130" spans="1:3" x14ac:dyDescent="0.2">
      <c r="A130">
        <v>6944.1</v>
      </c>
      <c r="B130">
        <v>81.3</v>
      </c>
      <c r="C130">
        <v>196.3</v>
      </c>
    </row>
    <row r="131" spans="1:3" x14ac:dyDescent="0.2">
      <c r="A131">
        <v>6936.6</v>
      </c>
      <c r="B131">
        <v>80.099999999999994</v>
      </c>
      <c r="C131">
        <v>197.1</v>
      </c>
    </row>
    <row r="132" spans="1:3" x14ac:dyDescent="0.2">
      <c r="A132">
        <v>6914.3</v>
      </c>
      <c r="B132">
        <v>79.099999999999994</v>
      </c>
      <c r="C132">
        <v>197.2</v>
      </c>
    </row>
    <row r="133" spans="1:3" x14ac:dyDescent="0.2">
      <c r="A133">
        <v>6903.2</v>
      </c>
      <c r="B133">
        <v>79</v>
      </c>
      <c r="C133">
        <v>196</v>
      </c>
    </row>
    <row r="134" spans="1:3" x14ac:dyDescent="0.2">
      <c r="A134">
        <v>6845.1</v>
      </c>
      <c r="B134">
        <v>79.7</v>
      </c>
      <c r="C134">
        <v>193.5</v>
      </c>
    </row>
    <row r="135" spans="1:3" x14ac:dyDescent="0.2">
      <c r="A135">
        <v>6810.3</v>
      </c>
      <c r="B135">
        <v>79.599999999999994</v>
      </c>
      <c r="C135">
        <v>192.8</v>
      </c>
    </row>
    <row r="136" spans="1:3" x14ac:dyDescent="0.2">
      <c r="A136">
        <v>6783.7</v>
      </c>
      <c r="B136">
        <v>79.7</v>
      </c>
      <c r="C136">
        <v>195</v>
      </c>
    </row>
    <row r="137" spans="1:3" x14ac:dyDescent="0.2">
      <c r="A137">
        <v>6805.6</v>
      </c>
      <c r="B137">
        <v>79.900000000000006</v>
      </c>
      <c r="C137">
        <v>198.1</v>
      </c>
    </row>
    <row r="138" spans="1:3" x14ac:dyDescent="0.2">
      <c r="A138">
        <v>6870.9</v>
      </c>
      <c r="B138">
        <v>82</v>
      </c>
      <c r="C138">
        <v>200.6</v>
      </c>
    </row>
    <row r="139" spans="1:3" x14ac:dyDescent="0.2">
      <c r="A139">
        <v>6965.8</v>
      </c>
      <c r="B139">
        <v>83.6</v>
      </c>
      <c r="C139">
        <v>204.5</v>
      </c>
    </row>
    <row r="140" spans="1:3" x14ac:dyDescent="0.2">
      <c r="A140">
        <v>7032.3</v>
      </c>
      <c r="B140">
        <v>84.4</v>
      </c>
      <c r="C140">
        <v>209.6</v>
      </c>
    </row>
    <row r="141" spans="1:3" x14ac:dyDescent="0.2">
      <c r="A141">
        <v>7045.7</v>
      </c>
      <c r="B141">
        <v>85</v>
      </c>
      <c r="C141">
        <v>211.4</v>
      </c>
    </row>
    <row r="142" spans="1:3" x14ac:dyDescent="0.2">
      <c r="A142">
        <v>6994.9</v>
      </c>
      <c r="B142">
        <v>84.6</v>
      </c>
      <c r="C142">
        <v>210.4</v>
      </c>
    </row>
    <row r="143" spans="1:3" x14ac:dyDescent="0.2">
      <c r="A143">
        <v>6969</v>
      </c>
      <c r="B143">
        <v>85.1</v>
      </c>
      <c r="C143">
        <v>208.5</v>
      </c>
    </row>
    <row r="144" spans="1:3" x14ac:dyDescent="0.2">
      <c r="A144">
        <v>6936.9</v>
      </c>
      <c r="B144">
        <v>84.1</v>
      </c>
      <c r="C144">
        <v>207.7</v>
      </c>
    </row>
    <row r="145" spans="1:3" x14ac:dyDescent="0.2">
      <c r="A145">
        <v>6948.2</v>
      </c>
      <c r="B145">
        <v>83.8</v>
      </c>
      <c r="C145">
        <v>206.4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K20" sqref="K20"/>
    </sheetView>
  </sheetViews>
  <sheetFormatPr defaultColWidth="9" defaultRowHeight="12.75" x14ac:dyDescent="0.2"/>
  <cols>
    <col min="1" max="1" width="21.1640625" customWidth="1"/>
    <col min="2" max="2" width="12.6640625" bestFit="1" customWidth="1"/>
    <col min="3" max="3" width="15.83203125" bestFit="1" customWidth="1"/>
    <col min="4" max="4" width="12.6640625" bestFit="1" customWidth="1"/>
    <col min="5" max="5" width="12" bestFit="1" customWidth="1"/>
  </cols>
  <sheetData>
    <row r="1" spans="1:5" x14ac:dyDescent="0.2">
      <c r="A1" t="s">
        <v>261</v>
      </c>
    </row>
    <row r="2" spans="1:5" x14ac:dyDescent="0.2">
      <c r="A2" t="s">
        <v>262</v>
      </c>
    </row>
    <row r="4" spans="1:5" x14ac:dyDescent="0.2">
      <c r="B4" t="s">
        <v>138</v>
      </c>
      <c r="C4" t="s">
        <v>139</v>
      </c>
      <c r="D4" t="s">
        <v>140</v>
      </c>
      <c r="E4" t="s">
        <v>141</v>
      </c>
    </row>
    <row r="5" spans="1:5" x14ac:dyDescent="0.2">
      <c r="A5" t="s">
        <v>142</v>
      </c>
      <c r="B5">
        <v>-50878161.758948997</v>
      </c>
      <c r="C5">
        <v>16771473.5626949</v>
      </c>
      <c r="D5">
        <v>-3.0336130912264099</v>
      </c>
      <c r="E5">
        <v>3.37405746406282E-3</v>
      </c>
    </row>
    <row r="6" spans="1:5" x14ac:dyDescent="0.2">
      <c r="A6" t="s">
        <v>114</v>
      </c>
      <c r="B6">
        <v>15857.7368096386</v>
      </c>
      <c r="C6">
        <v>827.92616472545603</v>
      </c>
      <c r="D6">
        <v>19.153564031760101</v>
      </c>
      <c r="E6" s="100">
        <v>9.2121090546531503E-30</v>
      </c>
    </row>
    <row r="7" spans="1:5" x14ac:dyDescent="0.2">
      <c r="A7" t="s">
        <v>115</v>
      </c>
      <c r="B7">
        <v>94333.240086265199</v>
      </c>
      <c r="C7">
        <v>6936.5677219078198</v>
      </c>
      <c r="D7">
        <v>13.5994116785354</v>
      </c>
      <c r="E7" s="100">
        <v>1.8776049434356599E-21</v>
      </c>
    </row>
    <row r="8" spans="1:5" x14ac:dyDescent="0.2">
      <c r="A8" t="s">
        <v>118</v>
      </c>
      <c r="B8">
        <v>12440.9281500458</v>
      </c>
      <c r="C8">
        <v>2665.7973460477101</v>
      </c>
      <c r="D8">
        <v>4.6668694334513603</v>
      </c>
      <c r="E8" s="100">
        <v>1.40261901338635E-5</v>
      </c>
    </row>
    <row r="9" spans="1:5" x14ac:dyDescent="0.2">
      <c r="A9" t="s">
        <v>121</v>
      </c>
      <c r="B9">
        <v>-56303.459166964698</v>
      </c>
      <c r="C9">
        <v>22146.0364663291</v>
      </c>
      <c r="D9">
        <v>-2.5423718258826402</v>
      </c>
      <c r="E9">
        <v>1.31928560589273E-2</v>
      </c>
    </row>
    <row r="10" spans="1:5" x14ac:dyDescent="0.2">
      <c r="A10" t="s">
        <v>127</v>
      </c>
      <c r="B10">
        <v>463646.590711642</v>
      </c>
      <c r="C10">
        <v>133746.99435687001</v>
      </c>
      <c r="D10">
        <v>3.4665944677195499</v>
      </c>
      <c r="E10" s="100">
        <v>8.9876693688712697E-4</v>
      </c>
    </row>
    <row r="11" spans="1:5" x14ac:dyDescent="0.2">
      <c r="A11" t="s">
        <v>159</v>
      </c>
      <c r="B11">
        <v>-1980487.4456003499</v>
      </c>
      <c r="C11">
        <v>476114.397878043</v>
      </c>
      <c r="D11">
        <v>-4.1596882060845601</v>
      </c>
      <c r="E11" s="100">
        <v>8.8006379393333695E-5</v>
      </c>
    </row>
    <row r="12" spans="1:5" x14ac:dyDescent="0.2">
      <c r="A12" t="s">
        <v>160</v>
      </c>
      <c r="B12">
        <v>-106425.175310672</v>
      </c>
      <c r="C12">
        <v>20666.2472668544</v>
      </c>
      <c r="D12">
        <v>-5.1497097628054602</v>
      </c>
      <c r="E12" s="100">
        <v>2.2374700659798599E-6</v>
      </c>
    </row>
    <row r="13" spans="1:5" x14ac:dyDescent="0.2">
      <c r="A13" t="s">
        <v>125</v>
      </c>
      <c r="B13">
        <v>2647304.3437043098</v>
      </c>
      <c r="C13">
        <v>553528.72851884796</v>
      </c>
      <c r="D13">
        <v>4.78259610984973</v>
      </c>
      <c r="E13" s="100">
        <v>9.0983957701497305E-6</v>
      </c>
    </row>
    <row r="14" spans="1:5" x14ac:dyDescent="0.2">
      <c r="A14" t="s">
        <v>101</v>
      </c>
      <c r="B14">
        <v>1640135.6856942801</v>
      </c>
      <c r="C14">
        <v>555056.26461606403</v>
      </c>
      <c r="D14">
        <v>2.9548998727701501</v>
      </c>
      <c r="E14">
        <v>4.2409905495786899E-3</v>
      </c>
    </row>
    <row r="15" spans="1:5" x14ac:dyDescent="0.2">
      <c r="A15" t="s">
        <v>104</v>
      </c>
      <c r="B15">
        <v>2370057.8473386201</v>
      </c>
      <c r="C15">
        <v>660944.15747805894</v>
      </c>
      <c r="D15">
        <v>3.5858670063473501</v>
      </c>
      <c r="E15" s="100">
        <v>6.1296237454601496E-4</v>
      </c>
    </row>
    <row r="16" spans="1:5" x14ac:dyDescent="0.2">
      <c r="A16" t="s">
        <v>105</v>
      </c>
      <c r="B16">
        <v>3743904.46078429</v>
      </c>
      <c r="C16">
        <v>548367.59050862805</v>
      </c>
      <c r="D16">
        <v>6.8273627500700904</v>
      </c>
      <c r="E16" s="100">
        <v>2.4301635013168898E-9</v>
      </c>
    </row>
    <row r="17" spans="1:5" x14ac:dyDescent="0.2">
      <c r="A17" t="s">
        <v>108</v>
      </c>
      <c r="B17">
        <v>-1766353.8816768799</v>
      </c>
      <c r="C17">
        <v>450370.03833135101</v>
      </c>
      <c r="D17">
        <v>-3.9220057538048798</v>
      </c>
      <c r="E17">
        <v>2.0042817357301699E-4</v>
      </c>
    </row>
    <row r="19" spans="1:5" x14ac:dyDescent="0.2">
      <c r="A19" t="s">
        <v>143</v>
      </c>
      <c r="B19">
        <v>45875570.991022497</v>
      </c>
      <c r="C19" t="s">
        <v>144</v>
      </c>
      <c r="D19">
        <v>4541557.34852322</v>
      </c>
    </row>
    <row r="20" spans="1:5" x14ac:dyDescent="0.2">
      <c r="A20" t="s">
        <v>145</v>
      </c>
      <c r="B20">
        <v>75850615687509.203</v>
      </c>
      <c r="C20" t="s">
        <v>146</v>
      </c>
      <c r="D20">
        <v>1033594.95490738</v>
      </c>
    </row>
    <row r="21" spans="1:5" x14ac:dyDescent="0.2">
      <c r="A21" t="s">
        <v>147</v>
      </c>
      <c r="B21">
        <v>0.95569309513040501</v>
      </c>
      <c r="C21" t="s">
        <v>148</v>
      </c>
      <c r="D21">
        <v>0.94820460416652896</v>
      </c>
    </row>
    <row r="22" spans="1:5" x14ac:dyDescent="0.2">
      <c r="A22" t="s">
        <v>161</v>
      </c>
      <c r="B22">
        <v>127.62158621018401</v>
      </c>
      <c r="C22" t="s">
        <v>149</v>
      </c>
      <c r="D22" s="100">
        <v>5.0204903566953998E-43</v>
      </c>
    </row>
    <row r="23" spans="1:5" x14ac:dyDescent="0.2">
      <c r="A23" t="s">
        <v>150</v>
      </c>
      <c r="B23">
        <v>-1275.40758266999</v>
      </c>
      <c r="C23" t="s">
        <v>151</v>
      </c>
      <c r="D23">
        <v>2576.81516533998</v>
      </c>
    </row>
    <row r="24" spans="1:5" x14ac:dyDescent="0.2">
      <c r="A24" t="s">
        <v>152</v>
      </c>
      <c r="B24">
        <v>2608.41578372494</v>
      </c>
      <c r="C24" t="s">
        <v>153</v>
      </c>
      <c r="D24">
        <v>2589.5183479368302</v>
      </c>
    </row>
    <row r="25" spans="1:5" x14ac:dyDescent="0.2">
      <c r="A25" t="s">
        <v>154</v>
      </c>
      <c r="B25">
        <v>0.381426732540531</v>
      </c>
      <c r="C25" t="s">
        <v>155</v>
      </c>
      <c r="D25">
        <v>1.23628065566575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opLeftCell="A57" workbookViewId="0">
      <selection activeCell="O74" sqref="O74"/>
    </sheetView>
  </sheetViews>
  <sheetFormatPr defaultRowHeight="12.75" x14ac:dyDescent="0.2"/>
  <cols>
    <col min="1" max="1" width="10.33203125" bestFit="1" customWidth="1"/>
    <col min="2" max="2" width="5" bestFit="1" customWidth="1"/>
    <col min="3" max="3" width="12.6640625" bestFit="1" customWidth="1"/>
    <col min="4" max="4" width="8.33203125" bestFit="1" customWidth="1"/>
    <col min="5" max="5" width="8.1640625" bestFit="1" customWidth="1"/>
    <col min="6" max="6" width="10.83203125" bestFit="1" customWidth="1"/>
    <col min="7" max="8" width="5.33203125" bestFit="1" customWidth="1"/>
    <col min="9" max="9" width="8.5" bestFit="1" customWidth="1"/>
    <col min="10" max="10" width="3.5" bestFit="1" customWidth="1"/>
    <col min="11" max="11" width="4.1640625" bestFit="1" customWidth="1"/>
    <col min="12" max="12" width="3.1640625" bestFit="1" customWidth="1"/>
    <col min="13" max="13" width="4" bestFit="1" customWidth="1"/>
    <col min="14" max="14" width="4.1640625" bestFit="1" customWidth="1"/>
    <col min="17" max="17" width="11.83203125" bestFit="1" customWidth="1"/>
    <col min="18" max="18" width="11.83203125" customWidth="1"/>
    <col min="19" max="22" width="11.1640625" bestFit="1" customWidth="1"/>
    <col min="23" max="23" width="11.83203125" bestFit="1" customWidth="1"/>
    <col min="24" max="24" width="12.6640625" bestFit="1" customWidth="1"/>
    <col min="25" max="25" width="17.1640625" bestFit="1" customWidth="1"/>
    <col min="26" max="28" width="10.1640625" bestFit="1" customWidth="1"/>
    <col min="29" max="29" width="10.83203125" bestFit="1" customWidth="1"/>
    <col min="30" max="30" width="10.83203125" customWidth="1"/>
    <col min="31" max="31" width="12.33203125" bestFit="1" customWidth="1"/>
    <col min="32" max="32" width="5.6640625" bestFit="1" customWidth="1"/>
  </cols>
  <sheetData>
    <row r="1" spans="1:32" x14ac:dyDescent="0.2">
      <c r="A1" t="str">
        <f>'Combined Monthly Data'!A1</f>
        <v>Date</v>
      </c>
      <c r="B1" t="str">
        <f>'Combined Monthly Data'!B1</f>
        <v>Year</v>
      </c>
      <c r="C1" t="str">
        <f>'Combined Monthly Data'!C1</f>
        <v>WholesalekWh</v>
      </c>
      <c r="D1" t="str">
        <f>'Combined Monthly Data'!AB1</f>
        <v>PC_HDD</v>
      </c>
      <c r="E1" t="str">
        <f>'Combined Monthly Data'!AC1</f>
        <v>PC_CDD</v>
      </c>
      <c r="F1" t="str">
        <f>'Combined Monthly Data'!AF1</f>
        <v>Ontario_FTE</v>
      </c>
      <c r="G1" t="str">
        <f>'Combined Monthly Data'!AI1</f>
        <v>Trend</v>
      </c>
      <c r="H1" t="str">
        <f>'Combined Monthly Data'!AY1</f>
        <v>PeakDays</v>
      </c>
      <c r="I1" t="str">
        <f>'Combined Monthly Data'!BA1</f>
        <v>LostCustomers</v>
      </c>
      <c r="J1" t="str">
        <f>'Combined Monthly Data'!BB1</f>
        <v>LostCustomersTrend</v>
      </c>
      <c r="K1" t="str">
        <f>'Combined Monthly Data'!AM1</f>
        <v>Jan</v>
      </c>
      <c r="L1" t="str">
        <f>'Combined Monthly Data'!AO1</f>
        <v>Mar</v>
      </c>
      <c r="M1" t="str">
        <f>'Combined Monthly Data'!AS1</f>
        <v>Jul</v>
      </c>
      <c r="N1" t="str">
        <f>'Combined Monthly Data'!AT1</f>
        <v>Aug</v>
      </c>
      <c r="O1" t="str">
        <f>'Combined Monthly Data'!AW1</f>
        <v>Nov</v>
      </c>
      <c r="Q1" t="s">
        <v>142</v>
      </c>
      <c r="R1" t="s">
        <v>221</v>
      </c>
      <c r="S1" t="str">
        <f t="shared" ref="S1:AD1" si="0">D1</f>
        <v>PC_HDD</v>
      </c>
      <c r="T1" t="str">
        <f t="shared" si="0"/>
        <v>PC_CDD</v>
      </c>
      <c r="U1" t="str">
        <f t="shared" si="0"/>
        <v>Ontario_FTE</v>
      </c>
      <c r="V1" t="str">
        <f t="shared" si="0"/>
        <v>Trend</v>
      </c>
      <c r="W1" t="str">
        <f t="shared" si="0"/>
        <v>PeakDays</v>
      </c>
      <c r="X1" t="str">
        <f t="shared" si="0"/>
        <v>LostCustomers</v>
      </c>
      <c r="Y1" t="str">
        <f t="shared" si="0"/>
        <v>LostCustomersTrend</v>
      </c>
      <c r="Z1" t="str">
        <f t="shared" si="0"/>
        <v>Jan</v>
      </c>
      <c r="AA1" t="str">
        <f t="shared" si="0"/>
        <v>Mar</v>
      </c>
      <c r="AB1" t="str">
        <f t="shared" si="0"/>
        <v>Jul</v>
      </c>
      <c r="AC1" t="str">
        <f t="shared" si="0"/>
        <v>Aug</v>
      </c>
      <c r="AD1" t="str">
        <f t="shared" si="0"/>
        <v>Nov</v>
      </c>
      <c r="AE1" t="s">
        <v>229</v>
      </c>
      <c r="AF1" t="s">
        <v>169</v>
      </c>
    </row>
    <row r="2" spans="1:32" x14ac:dyDescent="0.2">
      <c r="A2" s="99">
        <f>'Combined Monthly Data'!A2</f>
        <v>39814</v>
      </c>
      <c r="B2">
        <f>'Combined Monthly Data'!B2</f>
        <v>2009</v>
      </c>
      <c r="C2" s="8">
        <f>'Combined Monthly Data'!C2</f>
        <v>55427768</v>
      </c>
      <c r="D2">
        <f>'Combined Monthly Data'!AB2</f>
        <v>829.40000000000009</v>
      </c>
      <c r="E2">
        <f>'Combined Monthly Data'!AC2</f>
        <v>0</v>
      </c>
      <c r="F2">
        <f>'Combined Monthly Data'!AF2</f>
        <v>6506.5</v>
      </c>
      <c r="G2">
        <f>'Combined Monthly Data'!AI2</f>
        <v>1</v>
      </c>
      <c r="H2">
        <f>'Combined Monthly Data'!AY2</f>
        <v>21</v>
      </c>
      <c r="I2">
        <f>'Combined Monthly Data'!BA2</f>
        <v>0</v>
      </c>
      <c r="J2">
        <f>'Combined Monthly Data'!BB2</f>
        <v>0</v>
      </c>
      <c r="K2">
        <f>'Combined Monthly Data'!AM2</f>
        <v>1</v>
      </c>
      <c r="L2">
        <f>'Combined Monthly Data'!AO2</f>
        <v>0</v>
      </c>
      <c r="M2">
        <f>'Combined Monthly Data'!AS2</f>
        <v>0</v>
      </c>
      <c r="N2">
        <f>'Combined Monthly Data'!AT2</f>
        <v>0</v>
      </c>
      <c r="O2">
        <f>'Combined Monthly Data'!AW2</f>
        <v>0</v>
      </c>
      <c r="Q2" s="8">
        <f>'Wholesale OLS model'!$B$5</f>
        <v>-50878161.758948997</v>
      </c>
      <c r="R2" s="8">
        <f>-'Combined Monthly Data'!G2</f>
        <v>-13202.422294172367</v>
      </c>
      <c r="S2" s="8">
        <f>'Wholesale OLS model'!$B$6*D2</f>
        <v>13152406.909914257</v>
      </c>
      <c r="T2" s="8">
        <f>'Wholesale OLS model'!$B$7*E2</f>
        <v>0</v>
      </c>
      <c r="U2" s="8">
        <f>'Wholesale OLS model'!$B$8*F2</f>
        <v>80946899.008273005</v>
      </c>
      <c r="V2" s="8">
        <f>'Wholesale OLS model'!$B$9*G2</f>
        <v>-56303.459166964698</v>
      </c>
      <c r="W2" s="8">
        <f>'Wholesale OLS model'!$B$10*H2</f>
        <v>9736578.4049444813</v>
      </c>
      <c r="X2" s="8">
        <f>'Wholesale OLS model'!$B$11*I2</f>
        <v>0</v>
      </c>
      <c r="Y2" s="8">
        <f>'Wholesale OLS model'!$B$12*J2</f>
        <v>0</v>
      </c>
      <c r="Z2" s="8">
        <f>'Wholesale OLS model'!$B$13*K2</f>
        <v>2647304.3437043098</v>
      </c>
      <c r="AA2" s="8">
        <f>'Wholesale OLS model'!$B$14*L2</f>
        <v>0</v>
      </c>
      <c r="AB2" s="8">
        <f>'Wholesale OLS model'!$B$15*M2</f>
        <v>0</v>
      </c>
      <c r="AC2" s="8">
        <f>'Wholesale OLS model'!$B$16*N2</f>
        <v>0</v>
      </c>
      <c r="AD2" s="8">
        <f>'Wholesale OLS model'!$B$17*O2</f>
        <v>0</v>
      </c>
      <c r="AE2" s="8">
        <f>SUM(Q2:AD2)</f>
        <v>55535521.02642592</v>
      </c>
      <c r="AF2" s="101">
        <f>ABS((AE2-C2)/C2)</f>
        <v>1.9440260777940838E-3</v>
      </c>
    </row>
    <row r="3" spans="1:32" x14ac:dyDescent="0.2">
      <c r="A3" s="99">
        <f>'Combined Monthly Data'!A3</f>
        <v>39845</v>
      </c>
      <c r="B3">
        <f>'Combined Monthly Data'!B3</f>
        <v>2009</v>
      </c>
      <c r="C3" s="8">
        <f>'Combined Monthly Data'!C3</f>
        <v>47267492.5</v>
      </c>
      <c r="D3">
        <f>'Combined Monthly Data'!AB3</f>
        <v>605.50000000000011</v>
      </c>
      <c r="E3">
        <f>'Combined Monthly Data'!AC3</f>
        <v>0</v>
      </c>
      <c r="F3">
        <f>'Combined Monthly Data'!AF3</f>
        <v>6436.2</v>
      </c>
      <c r="G3">
        <f>'Combined Monthly Data'!AI3</f>
        <v>2</v>
      </c>
      <c r="H3">
        <f>'Combined Monthly Data'!AY3</f>
        <v>19</v>
      </c>
      <c r="I3">
        <f>'Combined Monthly Data'!BA3</f>
        <v>0</v>
      </c>
      <c r="J3">
        <f>'Combined Monthly Data'!BB3</f>
        <v>0</v>
      </c>
      <c r="K3">
        <f>'Combined Monthly Data'!AM3</f>
        <v>0</v>
      </c>
      <c r="L3">
        <f>'Combined Monthly Data'!AO3</f>
        <v>0</v>
      </c>
      <c r="M3">
        <f>'Combined Monthly Data'!AS3</f>
        <v>0</v>
      </c>
      <c r="N3">
        <f>'Combined Monthly Data'!AT3</f>
        <v>0</v>
      </c>
      <c r="O3">
        <f>'Combined Monthly Data'!AW3</f>
        <v>0</v>
      </c>
      <c r="Q3" s="8">
        <f>'Wholesale OLS model'!$B$5</f>
        <v>-50878161.758948997</v>
      </c>
      <c r="R3" s="8">
        <f>-'Combined Monthly Data'!G3</f>
        <v>-26404.844588344735</v>
      </c>
      <c r="S3" s="8">
        <f>'Wholesale OLS model'!$B$6*D3</f>
        <v>9601859.6382361744</v>
      </c>
      <c r="T3" s="8">
        <f>'Wholesale OLS model'!$B$7*E3</f>
        <v>0</v>
      </c>
      <c r="U3" s="8">
        <f>'Wholesale OLS model'!$B$8*F3</f>
        <v>80072301.759324774</v>
      </c>
      <c r="V3" s="8">
        <f>'Wholesale OLS model'!$B$9*G3</f>
        <v>-112606.9183339294</v>
      </c>
      <c r="W3" s="8">
        <f>'Wholesale OLS model'!$B$10*H3</f>
        <v>8809285.2235211972</v>
      </c>
      <c r="X3" s="8">
        <f>'Wholesale OLS model'!$B$11*I3</f>
        <v>0</v>
      </c>
      <c r="Y3" s="8">
        <f>'Wholesale OLS model'!$B$12*J3</f>
        <v>0</v>
      </c>
      <c r="Z3" s="8">
        <f>'Wholesale OLS model'!$B$13*K3</f>
        <v>0</v>
      </c>
      <c r="AA3" s="8">
        <f>'Wholesale OLS model'!$B$14*L3</f>
        <v>0</v>
      </c>
      <c r="AB3" s="8">
        <f>'Wholesale OLS model'!$B$15*M3</f>
        <v>0</v>
      </c>
      <c r="AC3" s="8">
        <f>'Wholesale OLS model'!$B$16*N3</f>
        <v>0</v>
      </c>
      <c r="AD3" s="8">
        <f>'Wholesale OLS model'!$B$17*O3</f>
        <v>0</v>
      </c>
      <c r="AE3" s="8">
        <f t="shared" ref="AE3:AE66" si="1">SUM(Q3:AD3)</f>
        <v>47466273.099210866</v>
      </c>
      <c r="AF3" s="101">
        <f t="shared" ref="AF3:AF66" si="2">ABS((AE3-C3)/C3)</f>
        <v>4.2054399058902014E-3</v>
      </c>
    </row>
    <row r="4" spans="1:32" x14ac:dyDescent="0.2">
      <c r="A4" s="99">
        <f>'Combined Monthly Data'!A4</f>
        <v>39873</v>
      </c>
      <c r="B4">
        <f>'Combined Monthly Data'!B4</f>
        <v>2009</v>
      </c>
      <c r="C4" s="8">
        <f>'Combined Monthly Data'!C4</f>
        <v>47464794.200000003</v>
      </c>
      <c r="D4">
        <f>'Combined Monthly Data'!AB4</f>
        <v>528.69999999999993</v>
      </c>
      <c r="E4">
        <f>'Combined Monthly Data'!AC4</f>
        <v>0</v>
      </c>
      <c r="F4">
        <f>'Combined Monthly Data'!AF4</f>
        <v>6363.8</v>
      </c>
      <c r="G4">
        <f>'Combined Monthly Data'!AI4</f>
        <v>3</v>
      </c>
      <c r="H4">
        <f>'Combined Monthly Data'!AY4</f>
        <v>22</v>
      </c>
      <c r="I4">
        <f>'Combined Monthly Data'!BA4</f>
        <v>0</v>
      </c>
      <c r="J4">
        <f>'Combined Monthly Data'!BB4</f>
        <v>0</v>
      </c>
      <c r="K4">
        <f>'Combined Monthly Data'!AM4</f>
        <v>0</v>
      </c>
      <c r="L4">
        <f>'Combined Monthly Data'!AO4</f>
        <v>1</v>
      </c>
      <c r="M4">
        <f>'Combined Monthly Data'!AS4</f>
        <v>0</v>
      </c>
      <c r="N4">
        <f>'Combined Monthly Data'!AT4</f>
        <v>0</v>
      </c>
      <c r="O4">
        <f>'Combined Monthly Data'!AW4</f>
        <v>0</v>
      </c>
      <c r="Q4" s="8">
        <f>'Wholesale OLS model'!$B$5</f>
        <v>-50878161.758948997</v>
      </c>
      <c r="R4" s="8">
        <f>-'Combined Monthly Data'!G4</f>
        <v>-39607.266882517099</v>
      </c>
      <c r="S4" s="8">
        <f>'Wholesale OLS model'!$B$6*D4</f>
        <v>8383985.4512559269</v>
      </c>
      <c r="T4" s="8">
        <f>'Wholesale OLS model'!$B$7*E4</f>
        <v>0</v>
      </c>
      <c r="U4" s="8">
        <f>'Wholesale OLS model'!$B$8*F4</f>
        <v>79171578.56126146</v>
      </c>
      <c r="V4" s="8">
        <f>'Wholesale OLS model'!$B$9*G4</f>
        <v>-168910.3775008941</v>
      </c>
      <c r="W4" s="8">
        <f>'Wholesale OLS model'!$B$10*H4</f>
        <v>10200224.995656123</v>
      </c>
      <c r="X4" s="8">
        <f>'Wholesale OLS model'!$B$11*I4</f>
        <v>0</v>
      </c>
      <c r="Y4" s="8">
        <f>'Wholesale OLS model'!$B$12*J4</f>
        <v>0</v>
      </c>
      <c r="Z4" s="8">
        <f>'Wholesale OLS model'!$B$13*K4</f>
        <v>0</v>
      </c>
      <c r="AA4" s="8">
        <f>'Wholesale OLS model'!$B$14*L4</f>
        <v>1640135.6856942801</v>
      </c>
      <c r="AB4" s="8">
        <f>'Wholesale OLS model'!$B$15*M4</f>
        <v>0</v>
      </c>
      <c r="AC4" s="8">
        <f>'Wholesale OLS model'!$B$16*N4</f>
        <v>0</v>
      </c>
      <c r="AD4" s="8">
        <f>'Wholesale OLS model'!$B$17*O4</f>
        <v>0</v>
      </c>
      <c r="AE4" s="8">
        <f t="shared" si="1"/>
        <v>48309245.290535383</v>
      </c>
      <c r="AF4" s="101">
        <f t="shared" si="2"/>
        <v>1.779110401231614E-2</v>
      </c>
    </row>
    <row r="5" spans="1:32" x14ac:dyDescent="0.2">
      <c r="A5" s="99">
        <f>'Combined Monthly Data'!A5</f>
        <v>39904</v>
      </c>
      <c r="B5">
        <f>'Combined Monthly Data'!B5</f>
        <v>2009</v>
      </c>
      <c r="C5" s="8">
        <f>'Combined Monthly Data'!C5</f>
        <v>42184392.299999997</v>
      </c>
      <c r="D5">
        <f>'Combined Monthly Data'!AB5</f>
        <v>316.50000000000006</v>
      </c>
      <c r="E5">
        <f>'Combined Monthly Data'!AC5</f>
        <v>2</v>
      </c>
      <c r="F5">
        <f>'Combined Monthly Data'!AF5</f>
        <v>6359.6</v>
      </c>
      <c r="G5">
        <f>'Combined Monthly Data'!AI5</f>
        <v>4</v>
      </c>
      <c r="H5">
        <f>'Combined Monthly Data'!AY5</f>
        <v>20</v>
      </c>
      <c r="I5">
        <f>'Combined Monthly Data'!BA5</f>
        <v>0</v>
      </c>
      <c r="J5">
        <f>'Combined Monthly Data'!BB5</f>
        <v>0</v>
      </c>
      <c r="K5">
        <f>'Combined Monthly Data'!AM5</f>
        <v>0</v>
      </c>
      <c r="L5">
        <f>'Combined Monthly Data'!AO5</f>
        <v>0</v>
      </c>
      <c r="M5">
        <f>'Combined Monthly Data'!AS5</f>
        <v>0</v>
      </c>
      <c r="N5">
        <f>'Combined Monthly Data'!AT5</f>
        <v>0</v>
      </c>
      <c r="O5">
        <f>'Combined Monthly Data'!AW5</f>
        <v>0</v>
      </c>
      <c r="Q5" s="8">
        <f>'Wholesale OLS model'!$B$5</f>
        <v>-50878161.758948997</v>
      </c>
      <c r="R5" s="8">
        <f>-'Combined Monthly Data'!G5</f>
        <v>-52809.68917668947</v>
      </c>
      <c r="S5" s="8">
        <f>'Wholesale OLS model'!$B$6*D5</f>
        <v>5018973.7002506182</v>
      </c>
      <c r="T5" s="8">
        <f>'Wholesale OLS model'!$B$7*E5</f>
        <v>188666.4801725304</v>
      </c>
      <c r="U5" s="8">
        <f>'Wholesale OLS model'!$B$8*F5</f>
        <v>79119326.66303128</v>
      </c>
      <c r="V5" s="8">
        <f>'Wholesale OLS model'!$B$9*G5</f>
        <v>-225213.83666785879</v>
      </c>
      <c r="W5" s="8">
        <f>'Wholesale OLS model'!$B$10*H5</f>
        <v>9272931.8142328393</v>
      </c>
      <c r="X5" s="8">
        <f>'Wholesale OLS model'!$B$11*I5</f>
        <v>0</v>
      </c>
      <c r="Y5" s="8">
        <f>'Wholesale OLS model'!$B$12*J5</f>
        <v>0</v>
      </c>
      <c r="Z5" s="8">
        <f>'Wholesale OLS model'!$B$13*K5</f>
        <v>0</v>
      </c>
      <c r="AA5" s="8">
        <f>'Wholesale OLS model'!$B$14*L5</f>
        <v>0</v>
      </c>
      <c r="AB5" s="8">
        <f>'Wholesale OLS model'!$B$15*M5</f>
        <v>0</v>
      </c>
      <c r="AC5" s="8">
        <f>'Wholesale OLS model'!$B$16*N5</f>
        <v>0</v>
      </c>
      <c r="AD5" s="8">
        <f>'Wholesale OLS model'!$B$17*O5</f>
        <v>0</v>
      </c>
      <c r="AE5" s="8">
        <f t="shared" si="1"/>
        <v>42443713.372893728</v>
      </c>
      <c r="AF5" s="101">
        <f t="shared" si="2"/>
        <v>6.147322712379842E-3</v>
      </c>
    </row>
    <row r="6" spans="1:32" x14ac:dyDescent="0.2">
      <c r="A6" s="99">
        <f>'Combined Monthly Data'!A6</f>
        <v>39934</v>
      </c>
      <c r="B6">
        <f>'Combined Monthly Data'!B6</f>
        <v>2009</v>
      </c>
      <c r="C6" s="8">
        <f>'Combined Monthly Data'!C6</f>
        <v>40052922.200000003</v>
      </c>
      <c r="D6">
        <f>'Combined Monthly Data'!AB6</f>
        <v>161.39999999999998</v>
      </c>
      <c r="E6">
        <f>'Combined Monthly Data'!AC6</f>
        <v>1.8</v>
      </c>
      <c r="F6">
        <f>'Combined Monthly Data'!AF6</f>
        <v>6382.1</v>
      </c>
      <c r="G6">
        <f>'Combined Monthly Data'!AI6</f>
        <v>5</v>
      </c>
      <c r="H6">
        <f>'Combined Monthly Data'!AY6</f>
        <v>20</v>
      </c>
      <c r="I6">
        <f>'Combined Monthly Data'!BA6</f>
        <v>0</v>
      </c>
      <c r="J6">
        <f>'Combined Monthly Data'!BB6</f>
        <v>0</v>
      </c>
      <c r="K6">
        <f>'Combined Monthly Data'!AM6</f>
        <v>0</v>
      </c>
      <c r="L6">
        <f>'Combined Monthly Data'!AO6</f>
        <v>0</v>
      </c>
      <c r="M6">
        <f>'Combined Monthly Data'!AS6</f>
        <v>0</v>
      </c>
      <c r="N6">
        <f>'Combined Monthly Data'!AT6</f>
        <v>0</v>
      </c>
      <c r="O6">
        <f>'Combined Monthly Data'!AW6</f>
        <v>0</v>
      </c>
      <c r="Q6" s="8">
        <f>'Wholesale OLS model'!$B$5</f>
        <v>-50878161.758948997</v>
      </c>
      <c r="R6" s="8">
        <f>-'Combined Monthly Data'!G6</f>
        <v>-66012.111470861841</v>
      </c>
      <c r="S6" s="8">
        <f>'Wholesale OLS model'!$B$6*D6</f>
        <v>2559438.7210756699</v>
      </c>
      <c r="T6" s="8">
        <f>'Wholesale OLS model'!$B$7*E6</f>
        <v>169799.83215527737</v>
      </c>
      <c r="U6" s="8">
        <f>'Wholesale OLS model'!$B$8*F6</f>
        <v>79399247.546407312</v>
      </c>
      <c r="V6" s="8">
        <f>'Wholesale OLS model'!$B$9*G6</f>
        <v>-281517.29583482351</v>
      </c>
      <c r="W6" s="8">
        <f>'Wholesale OLS model'!$B$10*H6</f>
        <v>9272931.8142328393</v>
      </c>
      <c r="X6" s="8">
        <f>'Wholesale OLS model'!$B$11*I6</f>
        <v>0</v>
      </c>
      <c r="Y6" s="8">
        <f>'Wholesale OLS model'!$B$12*J6</f>
        <v>0</v>
      </c>
      <c r="Z6" s="8">
        <f>'Wholesale OLS model'!$B$13*K6</f>
        <v>0</v>
      </c>
      <c r="AA6" s="8">
        <f>'Wholesale OLS model'!$B$14*L6</f>
        <v>0</v>
      </c>
      <c r="AB6" s="8">
        <f>'Wholesale OLS model'!$B$15*M6</f>
        <v>0</v>
      </c>
      <c r="AC6" s="8">
        <f>'Wholesale OLS model'!$B$16*N6</f>
        <v>0</v>
      </c>
      <c r="AD6" s="8">
        <f>'Wholesale OLS model'!$B$17*O6</f>
        <v>0</v>
      </c>
      <c r="AE6" s="8">
        <f t="shared" si="1"/>
        <v>40175726.747616418</v>
      </c>
      <c r="AF6" s="101">
        <f t="shared" si="2"/>
        <v>3.0660571281966218E-3</v>
      </c>
    </row>
    <row r="7" spans="1:32" x14ac:dyDescent="0.2">
      <c r="A7" s="99">
        <f>'Combined Monthly Data'!A7</f>
        <v>39965</v>
      </c>
      <c r="B7">
        <f>'Combined Monthly Data'!B7</f>
        <v>2009</v>
      </c>
      <c r="C7" s="8">
        <f>'Combined Monthly Data'!C7</f>
        <v>41781955.399999999</v>
      </c>
      <c r="D7">
        <f>'Combined Monthly Data'!AB7</f>
        <v>44.4</v>
      </c>
      <c r="E7">
        <f>'Combined Monthly Data'!AC7</f>
        <v>29.999999999999996</v>
      </c>
      <c r="F7">
        <f>'Combined Monthly Data'!AF7</f>
        <v>6429.4</v>
      </c>
      <c r="G7">
        <f>'Combined Monthly Data'!AI7</f>
        <v>6</v>
      </c>
      <c r="H7">
        <f>'Combined Monthly Data'!AY7</f>
        <v>22</v>
      </c>
      <c r="I7">
        <f>'Combined Monthly Data'!BA7</f>
        <v>0</v>
      </c>
      <c r="J7">
        <f>'Combined Monthly Data'!BB7</f>
        <v>0</v>
      </c>
      <c r="K7">
        <f>'Combined Monthly Data'!AM7</f>
        <v>0</v>
      </c>
      <c r="L7">
        <f>'Combined Monthly Data'!AO7</f>
        <v>0</v>
      </c>
      <c r="M7">
        <f>'Combined Monthly Data'!AS7</f>
        <v>0</v>
      </c>
      <c r="N7">
        <f>'Combined Monthly Data'!AT7</f>
        <v>0</v>
      </c>
      <c r="O7">
        <f>'Combined Monthly Data'!AW7</f>
        <v>0</v>
      </c>
      <c r="Q7" s="8">
        <f>'Wholesale OLS model'!$B$5</f>
        <v>-50878161.758948997</v>
      </c>
      <c r="R7" s="8">
        <f>-'Combined Monthly Data'!G7</f>
        <v>-79214.533765034197</v>
      </c>
      <c r="S7" s="8">
        <f>'Wholesale OLS model'!$B$6*D7</f>
        <v>704083.51434795384</v>
      </c>
      <c r="T7" s="8">
        <f>'Wholesale OLS model'!$B$7*E7</f>
        <v>2829997.2025879556</v>
      </c>
      <c r="U7" s="8">
        <f>'Wholesale OLS model'!$B$8*F7</f>
        <v>79987703.447904468</v>
      </c>
      <c r="V7" s="8">
        <f>'Wholesale OLS model'!$B$9*G7</f>
        <v>-337820.7550017882</v>
      </c>
      <c r="W7" s="8">
        <f>'Wholesale OLS model'!$B$10*H7</f>
        <v>10200224.995656123</v>
      </c>
      <c r="X7" s="8">
        <f>'Wholesale OLS model'!$B$11*I7</f>
        <v>0</v>
      </c>
      <c r="Y7" s="8">
        <f>'Wholesale OLS model'!$B$12*J7</f>
        <v>0</v>
      </c>
      <c r="Z7" s="8">
        <f>'Wholesale OLS model'!$B$13*K7</f>
        <v>0</v>
      </c>
      <c r="AA7" s="8">
        <f>'Wholesale OLS model'!$B$14*L7</f>
        <v>0</v>
      </c>
      <c r="AB7" s="8">
        <f>'Wholesale OLS model'!$B$15*M7</f>
        <v>0</v>
      </c>
      <c r="AC7" s="8">
        <f>'Wholesale OLS model'!$B$16*N7</f>
        <v>0</v>
      </c>
      <c r="AD7" s="8">
        <f>'Wholesale OLS model'!$B$17*O7</f>
        <v>0</v>
      </c>
      <c r="AE7" s="8">
        <f t="shared" si="1"/>
        <v>42426812.112780683</v>
      </c>
      <c r="AF7" s="101">
        <f t="shared" si="2"/>
        <v>1.5433856711758499E-2</v>
      </c>
    </row>
    <row r="8" spans="1:32" x14ac:dyDescent="0.2">
      <c r="A8" s="99">
        <f>'Combined Monthly Data'!A8</f>
        <v>39995</v>
      </c>
      <c r="B8">
        <f>'Combined Monthly Data'!B8</f>
        <v>2009</v>
      </c>
      <c r="C8" s="8">
        <f>'Combined Monthly Data'!C8</f>
        <v>45791702.700000003</v>
      </c>
      <c r="D8">
        <f>'Combined Monthly Data'!AB8</f>
        <v>19.600000000000001</v>
      </c>
      <c r="E8">
        <f>'Combined Monthly Data'!AC8</f>
        <v>33.1</v>
      </c>
      <c r="F8">
        <f>'Combined Monthly Data'!AF8</f>
        <v>6467</v>
      </c>
      <c r="G8">
        <f>'Combined Monthly Data'!AI8</f>
        <v>7</v>
      </c>
      <c r="H8">
        <f>'Combined Monthly Data'!AY8</f>
        <v>22</v>
      </c>
      <c r="I8">
        <f>'Combined Monthly Data'!BA8</f>
        <v>0</v>
      </c>
      <c r="J8">
        <f>'Combined Monthly Data'!BB8</f>
        <v>0</v>
      </c>
      <c r="K8">
        <f>'Combined Monthly Data'!AM8</f>
        <v>0</v>
      </c>
      <c r="L8">
        <f>'Combined Monthly Data'!AO8</f>
        <v>0</v>
      </c>
      <c r="M8">
        <f>'Combined Monthly Data'!AS8</f>
        <v>1</v>
      </c>
      <c r="N8">
        <f>'Combined Monthly Data'!AT8</f>
        <v>0</v>
      </c>
      <c r="O8">
        <f>'Combined Monthly Data'!AW8</f>
        <v>0</v>
      </c>
      <c r="Q8" s="8">
        <f>'Wholesale OLS model'!$B$5</f>
        <v>-50878161.758948997</v>
      </c>
      <c r="R8" s="8">
        <f>-'Combined Monthly Data'!G8</f>
        <v>-92416.956059206568</v>
      </c>
      <c r="S8" s="8">
        <f>'Wholesale OLS model'!$B$6*D8</f>
        <v>310811.64146891655</v>
      </c>
      <c r="T8" s="8">
        <f>'Wholesale OLS model'!$B$7*E8</f>
        <v>3122430.2468553782</v>
      </c>
      <c r="U8" s="8">
        <f>'Wholesale OLS model'!$B$8*F8</f>
        <v>80455482.346346185</v>
      </c>
      <c r="V8" s="8">
        <f>'Wholesale OLS model'!$B$9*G8</f>
        <v>-394124.21416875289</v>
      </c>
      <c r="W8" s="8">
        <f>'Wholesale OLS model'!$B$10*H8</f>
        <v>10200224.995656123</v>
      </c>
      <c r="X8" s="8">
        <f>'Wholesale OLS model'!$B$11*I8</f>
        <v>0</v>
      </c>
      <c r="Y8" s="8">
        <f>'Wholesale OLS model'!$B$12*J8</f>
        <v>0</v>
      </c>
      <c r="Z8" s="8">
        <f>'Wholesale OLS model'!$B$13*K8</f>
        <v>0</v>
      </c>
      <c r="AA8" s="8">
        <f>'Wholesale OLS model'!$B$14*L8</f>
        <v>0</v>
      </c>
      <c r="AB8" s="8">
        <f>'Wholesale OLS model'!$B$15*M8</f>
        <v>2370057.8473386201</v>
      </c>
      <c r="AC8" s="8">
        <f>'Wholesale OLS model'!$B$16*N8</f>
        <v>0</v>
      </c>
      <c r="AD8" s="8">
        <f>'Wholesale OLS model'!$B$17*O8</f>
        <v>0</v>
      </c>
      <c r="AE8" s="8">
        <f t="shared" si="1"/>
        <v>45094304.148488261</v>
      </c>
      <c r="AF8" s="101">
        <f t="shared" si="2"/>
        <v>1.5229801697497091E-2</v>
      </c>
    </row>
    <row r="9" spans="1:32" x14ac:dyDescent="0.2">
      <c r="A9" s="99">
        <f>'Combined Monthly Data'!A9</f>
        <v>40026</v>
      </c>
      <c r="B9">
        <f>'Combined Monthly Data'!B9</f>
        <v>2009</v>
      </c>
      <c r="C9" s="8">
        <f>'Combined Monthly Data'!C9</f>
        <v>50621404.299999997</v>
      </c>
      <c r="D9">
        <f>'Combined Monthly Data'!AB9</f>
        <v>14.200000000000001</v>
      </c>
      <c r="E9">
        <f>'Combined Monthly Data'!AC9</f>
        <v>74.199999999999974</v>
      </c>
      <c r="F9">
        <f>'Combined Monthly Data'!AF9</f>
        <v>6487.6</v>
      </c>
      <c r="G9">
        <f>'Combined Monthly Data'!AI9</f>
        <v>8</v>
      </c>
      <c r="H9">
        <f>'Combined Monthly Data'!AY9</f>
        <v>20</v>
      </c>
      <c r="I9">
        <f>'Combined Monthly Data'!BA9</f>
        <v>0</v>
      </c>
      <c r="J9">
        <f>'Combined Monthly Data'!BB9</f>
        <v>0</v>
      </c>
      <c r="K9">
        <f>'Combined Monthly Data'!AM9</f>
        <v>0</v>
      </c>
      <c r="L9">
        <f>'Combined Monthly Data'!AO9</f>
        <v>0</v>
      </c>
      <c r="M9">
        <f>'Combined Monthly Data'!AS9</f>
        <v>0</v>
      </c>
      <c r="N9">
        <f>'Combined Monthly Data'!AT9</f>
        <v>1</v>
      </c>
      <c r="O9">
        <f>'Combined Monthly Data'!AW9</f>
        <v>0</v>
      </c>
      <c r="Q9" s="8">
        <f>'Wholesale OLS model'!$B$5</f>
        <v>-50878161.758948997</v>
      </c>
      <c r="R9" s="8">
        <f>-'Combined Monthly Data'!G9</f>
        <v>-105619.37835337894</v>
      </c>
      <c r="S9" s="8">
        <f>'Wholesale OLS model'!$B$6*D9</f>
        <v>225179.86269686813</v>
      </c>
      <c r="T9" s="8">
        <f>'Wholesale OLS model'!$B$7*E9</f>
        <v>6999526.4144008756</v>
      </c>
      <c r="U9" s="8">
        <f>'Wholesale OLS model'!$B$8*F9</f>
        <v>80711765.466237143</v>
      </c>
      <c r="V9" s="8">
        <f>'Wholesale OLS model'!$B$9*G9</f>
        <v>-450427.67333571758</v>
      </c>
      <c r="W9" s="8">
        <f>'Wholesale OLS model'!$B$10*H9</f>
        <v>9272931.8142328393</v>
      </c>
      <c r="X9" s="8">
        <f>'Wholesale OLS model'!$B$11*I9</f>
        <v>0</v>
      </c>
      <c r="Y9" s="8">
        <f>'Wholesale OLS model'!$B$12*J9</f>
        <v>0</v>
      </c>
      <c r="Z9" s="8">
        <f>'Wholesale OLS model'!$B$13*K9</f>
        <v>0</v>
      </c>
      <c r="AA9" s="8">
        <f>'Wholesale OLS model'!$B$14*L9</f>
        <v>0</v>
      </c>
      <c r="AB9" s="8">
        <f>'Wholesale OLS model'!$B$15*M9</f>
        <v>0</v>
      </c>
      <c r="AC9" s="8">
        <f>'Wholesale OLS model'!$B$16*N9</f>
        <v>3743904.46078429</v>
      </c>
      <c r="AD9" s="8">
        <f>'Wholesale OLS model'!$B$17*O9</f>
        <v>0</v>
      </c>
      <c r="AE9" s="8">
        <f t="shared" si="1"/>
        <v>49519099.207713932</v>
      </c>
      <c r="AF9" s="101">
        <f t="shared" si="2"/>
        <v>2.1775474377467345E-2</v>
      </c>
    </row>
    <row r="10" spans="1:32" x14ac:dyDescent="0.2">
      <c r="A10" s="99">
        <f>'Combined Monthly Data'!A10</f>
        <v>40057</v>
      </c>
      <c r="B10">
        <f>'Combined Monthly Data'!B10</f>
        <v>2009</v>
      </c>
      <c r="C10" s="8">
        <f>'Combined Monthly Data'!C10</f>
        <v>42351764.200000003</v>
      </c>
      <c r="D10">
        <f>'Combined Monthly Data'!AB10</f>
        <v>70.8</v>
      </c>
      <c r="E10">
        <f>'Combined Monthly Data'!AC10</f>
        <v>12</v>
      </c>
      <c r="F10">
        <f>'Combined Monthly Data'!AF10</f>
        <v>6470.2</v>
      </c>
      <c r="G10">
        <f>'Combined Monthly Data'!AI10</f>
        <v>9</v>
      </c>
      <c r="H10">
        <f>'Combined Monthly Data'!AY10</f>
        <v>21</v>
      </c>
      <c r="I10">
        <f>'Combined Monthly Data'!BA10</f>
        <v>0</v>
      </c>
      <c r="J10">
        <f>'Combined Monthly Data'!BB10</f>
        <v>0</v>
      </c>
      <c r="K10">
        <f>'Combined Monthly Data'!AM10</f>
        <v>0</v>
      </c>
      <c r="L10">
        <f>'Combined Monthly Data'!AO10</f>
        <v>0</v>
      </c>
      <c r="M10">
        <f>'Combined Monthly Data'!AS10</f>
        <v>0</v>
      </c>
      <c r="N10">
        <f>'Combined Monthly Data'!AT10</f>
        <v>0</v>
      </c>
      <c r="O10">
        <f>'Combined Monthly Data'!AW10</f>
        <v>0</v>
      </c>
      <c r="Q10" s="8">
        <f>'Wholesale OLS model'!$B$5</f>
        <v>-50878161.758948997</v>
      </c>
      <c r="R10" s="8">
        <f>-'Combined Monthly Data'!G10</f>
        <v>-118821.8006475513</v>
      </c>
      <c r="S10" s="8">
        <f>'Wholesale OLS model'!$B$6*D10</f>
        <v>1122727.7661224129</v>
      </c>
      <c r="T10" s="8">
        <f>'Wholesale OLS model'!$B$7*E10</f>
        <v>1131998.8810351824</v>
      </c>
      <c r="U10" s="8">
        <f>'Wholesale OLS model'!$B$8*F10</f>
        <v>80495293.316426337</v>
      </c>
      <c r="V10" s="8">
        <f>'Wholesale OLS model'!$B$9*G10</f>
        <v>-506731.13250268227</v>
      </c>
      <c r="W10" s="8">
        <f>'Wholesale OLS model'!$B$10*H10</f>
        <v>9736578.4049444813</v>
      </c>
      <c r="X10" s="8">
        <f>'Wholesale OLS model'!$B$11*I10</f>
        <v>0</v>
      </c>
      <c r="Y10" s="8">
        <f>'Wholesale OLS model'!$B$12*J10</f>
        <v>0</v>
      </c>
      <c r="Z10" s="8">
        <f>'Wholesale OLS model'!$B$13*K10</f>
        <v>0</v>
      </c>
      <c r="AA10" s="8">
        <f>'Wholesale OLS model'!$B$14*L10</f>
        <v>0</v>
      </c>
      <c r="AB10" s="8">
        <f>'Wholesale OLS model'!$B$15*M10</f>
        <v>0</v>
      </c>
      <c r="AC10" s="8">
        <f>'Wholesale OLS model'!$B$16*N10</f>
        <v>0</v>
      </c>
      <c r="AD10" s="8">
        <f>'Wholesale OLS model'!$B$17*O10</f>
        <v>0</v>
      </c>
      <c r="AE10" s="8">
        <f t="shared" si="1"/>
        <v>40982883.676429182</v>
      </c>
      <c r="AF10" s="101">
        <f t="shared" si="2"/>
        <v>3.2321688350607614E-2</v>
      </c>
    </row>
    <row r="11" spans="1:32" x14ac:dyDescent="0.2">
      <c r="A11" s="99">
        <f>'Combined Monthly Data'!A11</f>
        <v>40087</v>
      </c>
      <c r="B11">
        <f>'Combined Monthly Data'!B11</f>
        <v>2009</v>
      </c>
      <c r="C11" s="8">
        <f>'Combined Monthly Data'!C11</f>
        <v>42902013.399999999</v>
      </c>
      <c r="D11">
        <f>'Combined Monthly Data'!AB11</f>
        <v>290</v>
      </c>
      <c r="E11">
        <f>'Combined Monthly Data'!AC11</f>
        <v>0</v>
      </c>
      <c r="F11">
        <f>'Combined Monthly Data'!AF11</f>
        <v>6472.1</v>
      </c>
      <c r="G11">
        <f>'Combined Monthly Data'!AI11</f>
        <v>10</v>
      </c>
      <c r="H11">
        <f>'Combined Monthly Data'!AY11</f>
        <v>21</v>
      </c>
      <c r="I11">
        <f>'Combined Monthly Data'!BA11</f>
        <v>0</v>
      </c>
      <c r="J11">
        <f>'Combined Monthly Data'!BB11</f>
        <v>0</v>
      </c>
      <c r="K11">
        <f>'Combined Monthly Data'!AM11</f>
        <v>0</v>
      </c>
      <c r="L11">
        <f>'Combined Monthly Data'!AO11</f>
        <v>0</v>
      </c>
      <c r="M11">
        <f>'Combined Monthly Data'!AS11</f>
        <v>0</v>
      </c>
      <c r="N11">
        <f>'Combined Monthly Data'!AT11</f>
        <v>0</v>
      </c>
      <c r="O11">
        <f>'Combined Monthly Data'!AW11</f>
        <v>0</v>
      </c>
      <c r="Q11" s="8">
        <f>'Wholesale OLS model'!$B$5</f>
        <v>-50878161.758948997</v>
      </c>
      <c r="R11" s="8">
        <f>-'Combined Monthly Data'!G11</f>
        <v>-132024.22294172368</v>
      </c>
      <c r="S11" s="8">
        <f>'Wholesale OLS model'!$B$6*D11</f>
        <v>4598743.6747951936</v>
      </c>
      <c r="T11" s="8">
        <f>'Wholesale OLS model'!$B$7*E11</f>
        <v>0</v>
      </c>
      <c r="U11" s="8">
        <f>'Wholesale OLS model'!$B$8*F11</f>
        <v>80518931.079911426</v>
      </c>
      <c r="V11" s="8">
        <f>'Wholesale OLS model'!$B$9*G11</f>
        <v>-563034.59166964702</v>
      </c>
      <c r="W11" s="8">
        <f>'Wholesale OLS model'!$B$10*H11</f>
        <v>9736578.4049444813</v>
      </c>
      <c r="X11" s="8">
        <f>'Wholesale OLS model'!$B$11*I11</f>
        <v>0</v>
      </c>
      <c r="Y11" s="8">
        <f>'Wholesale OLS model'!$B$12*J11</f>
        <v>0</v>
      </c>
      <c r="Z11" s="8">
        <f>'Wholesale OLS model'!$B$13*K11</f>
        <v>0</v>
      </c>
      <c r="AA11" s="8">
        <f>'Wholesale OLS model'!$B$14*L11</f>
        <v>0</v>
      </c>
      <c r="AB11" s="8">
        <f>'Wholesale OLS model'!$B$15*M11</f>
        <v>0</v>
      </c>
      <c r="AC11" s="8">
        <f>'Wholesale OLS model'!$B$16*N11</f>
        <v>0</v>
      </c>
      <c r="AD11" s="8">
        <f>'Wholesale OLS model'!$B$17*O11</f>
        <v>0</v>
      </c>
      <c r="AE11" s="8">
        <f t="shared" si="1"/>
        <v>43281032.586090729</v>
      </c>
      <c r="AF11" s="101">
        <f t="shared" si="2"/>
        <v>8.8345314369495335E-3</v>
      </c>
    </row>
    <row r="12" spans="1:32" x14ac:dyDescent="0.2">
      <c r="A12" s="99">
        <f>'Combined Monthly Data'!A12</f>
        <v>40118</v>
      </c>
      <c r="B12">
        <f>'Combined Monthly Data'!B12</f>
        <v>2009</v>
      </c>
      <c r="C12" s="8">
        <f>'Combined Monthly Data'!C12</f>
        <v>42262625.200000003</v>
      </c>
      <c r="D12">
        <f>'Combined Monthly Data'!AB12</f>
        <v>359.59999999999997</v>
      </c>
      <c r="E12">
        <f>'Combined Monthly Data'!AC12</f>
        <v>0</v>
      </c>
      <c r="F12">
        <f>'Combined Monthly Data'!AF12</f>
        <v>6465.6</v>
      </c>
      <c r="G12">
        <f>'Combined Monthly Data'!AI12</f>
        <v>11</v>
      </c>
      <c r="H12">
        <f>'Combined Monthly Data'!AY12</f>
        <v>21</v>
      </c>
      <c r="I12">
        <f>'Combined Monthly Data'!BA12</f>
        <v>0</v>
      </c>
      <c r="J12">
        <f>'Combined Monthly Data'!BB12</f>
        <v>0</v>
      </c>
      <c r="K12">
        <f>'Combined Monthly Data'!AM12</f>
        <v>0</v>
      </c>
      <c r="L12">
        <f>'Combined Monthly Data'!AO12</f>
        <v>0</v>
      </c>
      <c r="M12">
        <f>'Combined Monthly Data'!AS12</f>
        <v>0</v>
      </c>
      <c r="N12">
        <f>'Combined Monthly Data'!AT12</f>
        <v>0</v>
      </c>
      <c r="O12">
        <f>'Combined Monthly Data'!AW12</f>
        <v>1</v>
      </c>
      <c r="Q12" s="8">
        <f>'Wholesale OLS model'!$B$5</f>
        <v>-50878161.758948997</v>
      </c>
      <c r="R12" s="8">
        <f>-'Combined Monthly Data'!G12</f>
        <v>-145226.64523589602</v>
      </c>
      <c r="S12" s="8">
        <f>'Wholesale OLS model'!$B$6*D12</f>
        <v>5702442.1567460401</v>
      </c>
      <c r="T12" s="8">
        <f>'Wholesale OLS model'!$B$7*E12</f>
        <v>0</v>
      </c>
      <c r="U12" s="8">
        <f>'Wholesale OLS model'!$B$8*F12</f>
        <v>80438065.046936125</v>
      </c>
      <c r="V12" s="8">
        <f>'Wholesale OLS model'!$B$9*G12</f>
        <v>-619338.05083661166</v>
      </c>
      <c r="W12" s="8">
        <f>'Wholesale OLS model'!$B$10*H12</f>
        <v>9736578.4049444813</v>
      </c>
      <c r="X12" s="8">
        <f>'Wholesale OLS model'!$B$11*I12</f>
        <v>0</v>
      </c>
      <c r="Y12" s="8">
        <f>'Wholesale OLS model'!$B$12*J12</f>
        <v>0</v>
      </c>
      <c r="Z12" s="8">
        <f>'Wholesale OLS model'!$B$13*K12</f>
        <v>0</v>
      </c>
      <c r="AA12" s="8">
        <f>'Wholesale OLS model'!$B$14*L12</f>
        <v>0</v>
      </c>
      <c r="AB12" s="8">
        <f>'Wholesale OLS model'!$B$15*M12</f>
        <v>0</v>
      </c>
      <c r="AC12" s="8">
        <f>'Wholesale OLS model'!$B$16*N12</f>
        <v>0</v>
      </c>
      <c r="AD12" s="8">
        <f>'Wholesale OLS model'!$B$17*O12</f>
        <v>-1766353.8816768799</v>
      </c>
      <c r="AE12" s="8">
        <f t="shared" si="1"/>
        <v>42468005.271928251</v>
      </c>
      <c r="AF12" s="101">
        <f t="shared" si="2"/>
        <v>4.8596146348298258E-3</v>
      </c>
    </row>
    <row r="13" spans="1:32" x14ac:dyDescent="0.2">
      <c r="A13" s="99">
        <f>'Combined Monthly Data'!A13</f>
        <v>40148</v>
      </c>
      <c r="B13">
        <f>'Combined Monthly Data'!B13</f>
        <v>2009</v>
      </c>
      <c r="C13" s="8">
        <f>'Combined Monthly Data'!C13</f>
        <v>49546329.600000001</v>
      </c>
      <c r="D13">
        <f>'Combined Monthly Data'!AB13</f>
        <v>612.29999999999984</v>
      </c>
      <c r="E13">
        <f>'Combined Monthly Data'!AC13</f>
        <v>0</v>
      </c>
      <c r="F13">
        <f>'Combined Monthly Data'!AF13</f>
        <v>6467.5</v>
      </c>
      <c r="G13">
        <f>'Combined Monthly Data'!AI13</f>
        <v>12</v>
      </c>
      <c r="H13">
        <f>'Combined Monthly Data'!AY13</f>
        <v>21</v>
      </c>
      <c r="I13">
        <f>'Combined Monthly Data'!BA13</f>
        <v>0</v>
      </c>
      <c r="J13">
        <f>'Combined Monthly Data'!BB13</f>
        <v>0</v>
      </c>
      <c r="K13">
        <f>'Combined Monthly Data'!AM13</f>
        <v>0</v>
      </c>
      <c r="L13">
        <f>'Combined Monthly Data'!AO13</f>
        <v>0</v>
      </c>
      <c r="M13">
        <f>'Combined Monthly Data'!AS13</f>
        <v>0</v>
      </c>
      <c r="N13">
        <f>'Combined Monthly Data'!AT13</f>
        <v>0</v>
      </c>
      <c r="O13">
        <f>'Combined Monthly Data'!AW13</f>
        <v>0</v>
      </c>
      <c r="Q13" s="8">
        <f>'Wholesale OLS model'!$B$5</f>
        <v>-50878161.758948997</v>
      </c>
      <c r="R13" s="8">
        <f>-'Combined Monthly Data'!G13</f>
        <v>-158429.06753006839</v>
      </c>
      <c r="S13" s="8">
        <f>'Wholesale OLS model'!$B$6*D13</f>
        <v>9709692.2485417128</v>
      </c>
      <c r="T13" s="8">
        <f>'Wholesale OLS model'!$B$7*E13</f>
        <v>0</v>
      </c>
      <c r="U13" s="8">
        <f>'Wholesale OLS model'!$B$8*F13</f>
        <v>80461702.810421214</v>
      </c>
      <c r="V13" s="8">
        <f>'Wholesale OLS model'!$B$9*G13</f>
        <v>-675641.5100035764</v>
      </c>
      <c r="W13" s="8">
        <f>'Wholesale OLS model'!$B$10*H13</f>
        <v>9736578.4049444813</v>
      </c>
      <c r="X13" s="8">
        <f>'Wholesale OLS model'!$B$11*I13</f>
        <v>0</v>
      </c>
      <c r="Y13" s="8">
        <f>'Wholesale OLS model'!$B$12*J13</f>
        <v>0</v>
      </c>
      <c r="Z13" s="8">
        <f>'Wholesale OLS model'!$B$13*K13</f>
        <v>0</v>
      </c>
      <c r="AA13" s="8">
        <f>'Wholesale OLS model'!$B$14*L13</f>
        <v>0</v>
      </c>
      <c r="AB13" s="8">
        <f>'Wholesale OLS model'!$B$15*M13</f>
        <v>0</v>
      </c>
      <c r="AC13" s="8">
        <f>'Wholesale OLS model'!$B$16*N13</f>
        <v>0</v>
      </c>
      <c r="AD13" s="8">
        <f>'Wholesale OLS model'!$B$17*O13</f>
        <v>0</v>
      </c>
      <c r="AE13" s="8">
        <f t="shared" si="1"/>
        <v>48195741.127424769</v>
      </c>
      <c r="AF13" s="101">
        <f t="shared" si="2"/>
        <v>2.7259102409378722E-2</v>
      </c>
    </row>
    <row r="14" spans="1:32" x14ac:dyDescent="0.2">
      <c r="A14" s="99">
        <f>'Combined Monthly Data'!A14</f>
        <v>40179</v>
      </c>
      <c r="B14">
        <f>'Combined Monthly Data'!B14</f>
        <v>2010</v>
      </c>
      <c r="C14" s="8">
        <f>'Combined Monthly Data'!C14</f>
        <v>51090364.299999997</v>
      </c>
      <c r="D14">
        <f>'Combined Monthly Data'!AB14</f>
        <v>711.09999999999991</v>
      </c>
      <c r="E14">
        <f>'Combined Monthly Data'!AC14</f>
        <v>0</v>
      </c>
      <c r="F14">
        <f>'Combined Monthly Data'!AF14</f>
        <v>6434.5</v>
      </c>
      <c r="G14">
        <f>'Combined Monthly Data'!AI14</f>
        <v>13</v>
      </c>
      <c r="H14">
        <f>'Combined Monthly Data'!AY14</f>
        <v>20</v>
      </c>
      <c r="I14">
        <f>'Combined Monthly Data'!BA14</f>
        <v>0</v>
      </c>
      <c r="J14">
        <f>'Combined Monthly Data'!BB14</f>
        <v>0</v>
      </c>
      <c r="K14">
        <f>'Combined Monthly Data'!AM14</f>
        <v>1</v>
      </c>
      <c r="L14">
        <f>'Combined Monthly Data'!AO14</f>
        <v>0</v>
      </c>
      <c r="M14">
        <f>'Combined Monthly Data'!AS14</f>
        <v>0</v>
      </c>
      <c r="N14">
        <f>'Combined Monthly Data'!AT14</f>
        <v>0</v>
      </c>
      <c r="O14">
        <f>'Combined Monthly Data'!AW14</f>
        <v>0</v>
      </c>
      <c r="Q14" s="8">
        <f>'Wholesale OLS model'!$B$5</f>
        <v>-50878161.758948997</v>
      </c>
      <c r="R14" s="8">
        <f>-'Combined Monthly Data'!G14</f>
        <v>-156506.7332529815</v>
      </c>
      <c r="S14" s="8">
        <f>'Wholesale OLS model'!$B$6*D14</f>
        <v>11276436.645334007</v>
      </c>
      <c r="T14" s="8">
        <f>'Wholesale OLS model'!$B$7*E14</f>
        <v>0</v>
      </c>
      <c r="U14" s="8">
        <f>'Wholesale OLS model'!$B$8*F14</f>
        <v>80051152.181469694</v>
      </c>
      <c r="V14" s="8">
        <f>'Wholesale OLS model'!$B$9*G14</f>
        <v>-731944.96917054104</v>
      </c>
      <c r="W14" s="8">
        <f>'Wholesale OLS model'!$B$10*H14</f>
        <v>9272931.8142328393</v>
      </c>
      <c r="X14" s="8">
        <f>'Wholesale OLS model'!$B$11*I14</f>
        <v>0</v>
      </c>
      <c r="Y14" s="8">
        <f>'Wholesale OLS model'!$B$12*J14</f>
        <v>0</v>
      </c>
      <c r="Z14" s="8">
        <f>'Wholesale OLS model'!$B$13*K14</f>
        <v>2647304.3437043098</v>
      </c>
      <c r="AA14" s="8">
        <f>'Wholesale OLS model'!$B$14*L14</f>
        <v>0</v>
      </c>
      <c r="AB14" s="8">
        <f>'Wholesale OLS model'!$B$15*M14</f>
        <v>0</v>
      </c>
      <c r="AC14" s="8">
        <f>'Wholesale OLS model'!$B$16*N14</f>
        <v>0</v>
      </c>
      <c r="AD14" s="8">
        <f>'Wholesale OLS model'!$B$17*O14</f>
        <v>0</v>
      </c>
      <c r="AE14" s="8">
        <f t="shared" si="1"/>
        <v>51481211.523368336</v>
      </c>
      <c r="AF14" s="101">
        <f t="shared" si="2"/>
        <v>7.6501161955570413E-3</v>
      </c>
    </row>
    <row r="15" spans="1:32" x14ac:dyDescent="0.2">
      <c r="A15" s="99">
        <f>'Combined Monthly Data'!A15</f>
        <v>40210</v>
      </c>
      <c r="B15">
        <f>'Combined Monthly Data'!B15</f>
        <v>2010</v>
      </c>
      <c r="C15" s="8">
        <f>'Combined Monthly Data'!C15</f>
        <v>46540089.599999994</v>
      </c>
      <c r="D15">
        <f>'Combined Monthly Data'!AB15</f>
        <v>632.5</v>
      </c>
      <c r="E15">
        <f>'Combined Monthly Data'!AC15</f>
        <v>0</v>
      </c>
      <c r="F15">
        <f>'Combined Monthly Data'!AF15</f>
        <v>6404.1</v>
      </c>
      <c r="G15">
        <f>'Combined Monthly Data'!AI15</f>
        <v>14</v>
      </c>
      <c r="H15">
        <f>'Combined Monthly Data'!AY15</f>
        <v>19</v>
      </c>
      <c r="I15">
        <f>'Combined Monthly Data'!BA15</f>
        <v>0</v>
      </c>
      <c r="J15">
        <f>'Combined Monthly Data'!BB15</f>
        <v>0</v>
      </c>
      <c r="K15">
        <f>'Combined Monthly Data'!AM15</f>
        <v>0</v>
      </c>
      <c r="L15">
        <f>'Combined Monthly Data'!AO15</f>
        <v>0</v>
      </c>
      <c r="M15">
        <f>'Combined Monthly Data'!AS15</f>
        <v>0</v>
      </c>
      <c r="N15">
        <f>'Combined Monthly Data'!AT15</f>
        <v>0</v>
      </c>
      <c r="O15">
        <f>'Combined Monthly Data'!AW15</f>
        <v>0</v>
      </c>
      <c r="Q15" s="8">
        <f>'Wholesale OLS model'!$B$5</f>
        <v>-50878161.758948997</v>
      </c>
      <c r="R15" s="8">
        <f>-'Combined Monthly Data'!G15</f>
        <v>-172253.91931230421</v>
      </c>
      <c r="S15" s="8">
        <f>'Wholesale OLS model'!$B$6*D15</f>
        <v>10030018.532096414</v>
      </c>
      <c r="T15" s="8">
        <f>'Wholesale OLS model'!$B$7*E15</f>
        <v>0</v>
      </c>
      <c r="U15" s="8">
        <f>'Wholesale OLS model'!$B$8*F15</f>
        <v>79672947.965708315</v>
      </c>
      <c r="V15" s="8">
        <f>'Wholesale OLS model'!$B$9*G15</f>
        <v>-788248.42833750579</v>
      </c>
      <c r="W15" s="8">
        <f>'Wholesale OLS model'!$B$10*H15</f>
        <v>8809285.2235211972</v>
      </c>
      <c r="X15" s="8">
        <f>'Wholesale OLS model'!$B$11*I15</f>
        <v>0</v>
      </c>
      <c r="Y15" s="8">
        <f>'Wholesale OLS model'!$B$12*J15</f>
        <v>0</v>
      </c>
      <c r="Z15" s="8">
        <f>'Wholesale OLS model'!$B$13*K15</f>
        <v>0</v>
      </c>
      <c r="AA15" s="8">
        <f>'Wholesale OLS model'!$B$14*L15</f>
        <v>0</v>
      </c>
      <c r="AB15" s="8">
        <f>'Wholesale OLS model'!$B$15*M15</f>
        <v>0</v>
      </c>
      <c r="AC15" s="8">
        <f>'Wholesale OLS model'!$B$16*N15</f>
        <v>0</v>
      </c>
      <c r="AD15" s="8">
        <f>'Wholesale OLS model'!$B$17*O15</f>
        <v>0</v>
      </c>
      <c r="AE15" s="8">
        <f t="shared" si="1"/>
        <v>46673587.614727117</v>
      </c>
      <c r="AF15" s="101">
        <f t="shared" si="2"/>
        <v>2.8684520351057318E-3</v>
      </c>
    </row>
    <row r="16" spans="1:32" x14ac:dyDescent="0.2">
      <c r="A16" s="99">
        <f>'Combined Monthly Data'!A16</f>
        <v>40238</v>
      </c>
      <c r="B16">
        <f>'Combined Monthly Data'!B16</f>
        <v>2010</v>
      </c>
      <c r="C16" s="8">
        <f>'Combined Monthly Data'!C16</f>
        <v>46977747.5</v>
      </c>
      <c r="D16">
        <f>'Combined Monthly Data'!AB16</f>
        <v>468</v>
      </c>
      <c r="E16">
        <f>'Combined Monthly Data'!AC16</f>
        <v>0</v>
      </c>
      <c r="F16">
        <f>'Combined Monthly Data'!AF16</f>
        <v>6377.2</v>
      </c>
      <c r="G16">
        <f>'Combined Monthly Data'!AI16</f>
        <v>15</v>
      </c>
      <c r="H16">
        <f>'Combined Monthly Data'!AY16</f>
        <v>23</v>
      </c>
      <c r="I16">
        <f>'Combined Monthly Data'!BA16</f>
        <v>0</v>
      </c>
      <c r="J16">
        <f>'Combined Monthly Data'!BB16</f>
        <v>0</v>
      </c>
      <c r="K16">
        <f>'Combined Monthly Data'!AM16</f>
        <v>0</v>
      </c>
      <c r="L16">
        <f>'Combined Monthly Data'!AO16</f>
        <v>1</v>
      </c>
      <c r="M16">
        <f>'Combined Monthly Data'!AS16</f>
        <v>0</v>
      </c>
      <c r="N16">
        <f>'Combined Monthly Data'!AT16</f>
        <v>0</v>
      </c>
      <c r="O16">
        <f>'Combined Monthly Data'!AW16</f>
        <v>0</v>
      </c>
      <c r="Q16" s="8">
        <f>'Wholesale OLS model'!$B$5</f>
        <v>-50878161.758948997</v>
      </c>
      <c r="R16" s="8">
        <f>-'Combined Monthly Data'!G16</f>
        <v>-188001.10537162694</v>
      </c>
      <c r="S16" s="8">
        <f>'Wholesale OLS model'!$B$6*D16</f>
        <v>7421420.8269108646</v>
      </c>
      <c r="T16" s="8">
        <f>'Wholesale OLS model'!$B$7*E16</f>
        <v>0</v>
      </c>
      <c r="U16" s="8">
        <f>'Wholesale OLS model'!$B$8*F16</f>
        <v>79338286.99847208</v>
      </c>
      <c r="V16" s="8">
        <f>'Wholesale OLS model'!$B$9*G16</f>
        <v>-844551.88750447042</v>
      </c>
      <c r="W16" s="8">
        <f>'Wholesale OLS model'!$B$10*H16</f>
        <v>10663871.586367765</v>
      </c>
      <c r="X16" s="8">
        <f>'Wholesale OLS model'!$B$11*I16</f>
        <v>0</v>
      </c>
      <c r="Y16" s="8">
        <f>'Wholesale OLS model'!$B$12*J16</f>
        <v>0</v>
      </c>
      <c r="Z16" s="8">
        <f>'Wholesale OLS model'!$B$13*K16</f>
        <v>0</v>
      </c>
      <c r="AA16" s="8">
        <f>'Wholesale OLS model'!$B$14*L16</f>
        <v>1640135.6856942801</v>
      </c>
      <c r="AB16" s="8">
        <f>'Wholesale OLS model'!$B$15*M16</f>
        <v>0</v>
      </c>
      <c r="AC16" s="8">
        <f>'Wholesale OLS model'!$B$16*N16</f>
        <v>0</v>
      </c>
      <c r="AD16" s="8">
        <f>'Wholesale OLS model'!$B$17*O16</f>
        <v>0</v>
      </c>
      <c r="AE16" s="8">
        <f t="shared" si="1"/>
        <v>47153000.345619895</v>
      </c>
      <c r="AF16" s="101">
        <f t="shared" si="2"/>
        <v>3.7305502061352465E-3</v>
      </c>
    </row>
    <row r="17" spans="1:32" x14ac:dyDescent="0.2">
      <c r="A17" s="99">
        <f>'Combined Monthly Data'!A17</f>
        <v>40269</v>
      </c>
      <c r="B17">
        <f>'Combined Monthly Data'!B17</f>
        <v>2010</v>
      </c>
      <c r="C17" s="8">
        <f>'Combined Monthly Data'!C17</f>
        <v>39694110.600000001</v>
      </c>
      <c r="D17">
        <f>'Combined Monthly Data'!AB17</f>
        <v>251</v>
      </c>
      <c r="E17">
        <f>'Combined Monthly Data'!AC17</f>
        <v>0</v>
      </c>
      <c r="F17">
        <f>'Combined Monthly Data'!AF17</f>
        <v>6401.7</v>
      </c>
      <c r="G17">
        <f>'Combined Monthly Data'!AI17</f>
        <v>16</v>
      </c>
      <c r="H17">
        <f>'Combined Monthly Data'!AY17</f>
        <v>20</v>
      </c>
      <c r="I17">
        <f>'Combined Monthly Data'!BA17</f>
        <v>0</v>
      </c>
      <c r="J17">
        <f>'Combined Monthly Data'!BB17</f>
        <v>0</v>
      </c>
      <c r="K17">
        <f>'Combined Monthly Data'!AM17</f>
        <v>0</v>
      </c>
      <c r="L17">
        <f>'Combined Monthly Data'!AO17</f>
        <v>0</v>
      </c>
      <c r="M17">
        <f>'Combined Monthly Data'!AS17</f>
        <v>0</v>
      </c>
      <c r="N17">
        <f>'Combined Monthly Data'!AT17</f>
        <v>0</v>
      </c>
      <c r="O17">
        <f>'Combined Monthly Data'!AW17</f>
        <v>0</v>
      </c>
      <c r="Q17" s="8">
        <f>'Wholesale OLS model'!$B$5</f>
        <v>-50878161.758948997</v>
      </c>
      <c r="R17" s="8">
        <f>-'Combined Monthly Data'!G17</f>
        <v>-203748.29143094967</v>
      </c>
      <c r="S17" s="8">
        <f>'Wholesale OLS model'!$B$6*D17</f>
        <v>3980291.9392192885</v>
      </c>
      <c r="T17" s="8">
        <f>'Wholesale OLS model'!$B$7*E17</f>
        <v>0</v>
      </c>
      <c r="U17" s="8">
        <f>'Wholesale OLS model'!$B$8*F17</f>
        <v>79643089.738148198</v>
      </c>
      <c r="V17" s="8">
        <f>'Wholesale OLS model'!$B$9*G17</f>
        <v>-900855.34667143517</v>
      </c>
      <c r="W17" s="8">
        <f>'Wholesale OLS model'!$B$10*H17</f>
        <v>9272931.8142328393</v>
      </c>
      <c r="X17" s="8">
        <f>'Wholesale OLS model'!$B$11*I17</f>
        <v>0</v>
      </c>
      <c r="Y17" s="8">
        <f>'Wholesale OLS model'!$B$12*J17</f>
        <v>0</v>
      </c>
      <c r="Z17" s="8">
        <f>'Wholesale OLS model'!$B$13*K17</f>
        <v>0</v>
      </c>
      <c r="AA17" s="8">
        <f>'Wholesale OLS model'!$B$14*L17</f>
        <v>0</v>
      </c>
      <c r="AB17" s="8">
        <f>'Wholesale OLS model'!$B$15*M17</f>
        <v>0</v>
      </c>
      <c r="AC17" s="8">
        <f>'Wholesale OLS model'!$B$16*N17</f>
        <v>0</v>
      </c>
      <c r="AD17" s="8">
        <f>'Wholesale OLS model'!$B$17*O17</f>
        <v>0</v>
      </c>
      <c r="AE17" s="8">
        <f t="shared" si="1"/>
        <v>40913548.094548941</v>
      </c>
      <c r="AF17" s="101">
        <f t="shared" si="2"/>
        <v>3.0720867053485236E-2</v>
      </c>
    </row>
    <row r="18" spans="1:32" x14ac:dyDescent="0.2">
      <c r="A18" s="99">
        <f>'Combined Monthly Data'!A18</f>
        <v>40299</v>
      </c>
      <c r="B18">
        <f>'Combined Monthly Data'!B18</f>
        <v>2010</v>
      </c>
      <c r="C18" s="8">
        <f>'Combined Monthly Data'!C18</f>
        <v>42117970.700000003</v>
      </c>
      <c r="D18">
        <f>'Combined Monthly Data'!AB18</f>
        <v>125.40000000000003</v>
      </c>
      <c r="E18">
        <f>'Combined Monthly Data'!AC18</f>
        <v>27.5</v>
      </c>
      <c r="F18">
        <f>'Combined Monthly Data'!AF18</f>
        <v>6468.9</v>
      </c>
      <c r="G18">
        <f>'Combined Monthly Data'!AI18</f>
        <v>17</v>
      </c>
      <c r="H18">
        <f>'Combined Monthly Data'!AY18</f>
        <v>20</v>
      </c>
      <c r="I18">
        <f>'Combined Monthly Data'!BA18</f>
        <v>0</v>
      </c>
      <c r="J18">
        <f>'Combined Monthly Data'!BB18</f>
        <v>0</v>
      </c>
      <c r="K18">
        <f>'Combined Monthly Data'!AM18</f>
        <v>0</v>
      </c>
      <c r="L18">
        <f>'Combined Monthly Data'!AO18</f>
        <v>0</v>
      </c>
      <c r="M18">
        <f>'Combined Monthly Data'!AS18</f>
        <v>0</v>
      </c>
      <c r="N18">
        <f>'Combined Monthly Data'!AT18</f>
        <v>0</v>
      </c>
      <c r="O18">
        <f>'Combined Monthly Data'!AW18</f>
        <v>0</v>
      </c>
      <c r="Q18" s="8">
        <f>'Wholesale OLS model'!$B$5</f>
        <v>-50878161.758948997</v>
      </c>
      <c r="R18" s="8">
        <f>-'Combined Monthly Data'!G18</f>
        <v>-219495.47749027237</v>
      </c>
      <c r="S18" s="8">
        <f>'Wholesale OLS model'!$B$6*D18</f>
        <v>1988560.1959286809</v>
      </c>
      <c r="T18" s="8">
        <f>'Wholesale OLS model'!$B$7*E18</f>
        <v>2594164.1023722929</v>
      </c>
      <c r="U18" s="8">
        <f>'Wholesale OLS model'!$B$8*F18</f>
        <v>80479120.109831274</v>
      </c>
      <c r="V18" s="8">
        <f>'Wholesale OLS model'!$B$9*G18</f>
        <v>-957158.80583839992</v>
      </c>
      <c r="W18" s="8">
        <f>'Wholesale OLS model'!$B$10*H18</f>
        <v>9272931.8142328393</v>
      </c>
      <c r="X18" s="8">
        <f>'Wholesale OLS model'!$B$11*I18</f>
        <v>0</v>
      </c>
      <c r="Y18" s="8">
        <f>'Wholesale OLS model'!$B$12*J18</f>
        <v>0</v>
      </c>
      <c r="Z18" s="8">
        <f>'Wholesale OLS model'!$B$13*K18</f>
        <v>0</v>
      </c>
      <c r="AA18" s="8">
        <f>'Wholesale OLS model'!$B$14*L18</f>
        <v>0</v>
      </c>
      <c r="AB18" s="8">
        <f>'Wholesale OLS model'!$B$15*M18</f>
        <v>0</v>
      </c>
      <c r="AC18" s="8">
        <f>'Wholesale OLS model'!$B$16*N18</f>
        <v>0</v>
      </c>
      <c r="AD18" s="8">
        <f>'Wholesale OLS model'!$B$17*O18</f>
        <v>0</v>
      </c>
      <c r="AE18" s="8">
        <f t="shared" si="1"/>
        <v>42279960.180087417</v>
      </c>
      <c r="AF18" s="101">
        <f t="shared" si="2"/>
        <v>3.8460893864341469E-3</v>
      </c>
    </row>
    <row r="19" spans="1:32" x14ac:dyDescent="0.2">
      <c r="A19" s="99">
        <f>'Combined Monthly Data'!A19</f>
        <v>40330</v>
      </c>
      <c r="B19">
        <f>'Combined Monthly Data'!B19</f>
        <v>2010</v>
      </c>
      <c r="C19" s="8">
        <f>'Combined Monthly Data'!C19</f>
        <v>45921610.299999997</v>
      </c>
      <c r="D19">
        <f>'Combined Monthly Data'!AB19</f>
        <v>23.599999999999994</v>
      </c>
      <c r="E19">
        <f>'Combined Monthly Data'!AC19</f>
        <v>55.100000000000009</v>
      </c>
      <c r="F19">
        <f>'Combined Monthly Data'!AF19</f>
        <v>6578.9</v>
      </c>
      <c r="G19">
        <f>'Combined Monthly Data'!AI19</f>
        <v>18</v>
      </c>
      <c r="H19">
        <f>'Combined Monthly Data'!AY19</f>
        <v>22</v>
      </c>
      <c r="I19">
        <f>'Combined Monthly Data'!BA19</f>
        <v>0</v>
      </c>
      <c r="J19">
        <f>'Combined Monthly Data'!BB19</f>
        <v>0</v>
      </c>
      <c r="K19">
        <f>'Combined Monthly Data'!AM19</f>
        <v>0</v>
      </c>
      <c r="L19">
        <f>'Combined Monthly Data'!AO19</f>
        <v>0</v>
      </c>
      <c r="M19">
        <f>'Combined Monthly Data'!AS19</f>
        <v>0</v>
      </c>
      <c r="N19">
        <f>'Combined Monthly Data'!AT19</f>
        <v>0</v>
      </c>
      <c r="O19">
        <f>'Combined Monthly Data'!AW19</f>
        <v>0</v>
      </c>
      <c r="Q19" s="8">
        <f>'Wholesale OLS model'!$B$5</f>
        <v>-50878161.758948997</v>
      </c>
      <c r="R19" s="8">
        <f>-'Combined Monthly Data'!G19</f>
        <v>-235242.66354959513</v>
      </c>
      <c r="S19" s="8">
        <f>'Wholesale OLS model'!$B$6*D19</f>
        <v>374242.58870747086</v>
      </c>
      <c r="T19" s="8">
        <f>'Wholesale OLS model'!$B$7*E19</f>
        <v>5197761.5287532136</v>
      </c>
      <c r="U19" s="8">
        <f>'Wholesale OLS model'!$B$8*F19</f>
        <v>81847622.206336305</v>
      </c>
      <c r="V19" s="8">
        <f>'Wholesale OLS model'!$B$9*G19</f>
        <v>-1013462.2650053645</v>
      </c>
      <c r="W19" s="8">
        <f>'Wholesale OLS model'!$B$10*H19</f>
        <v>10200224.995656123</v>
      </c>
      <c r="X19" s="8">
        <f>'Wholesale OLS model'!$B$11*I19</f>
        <v>0</v>
      </c>
      <c r="Y19" s="8">
        <f>'Wholesale OLS model'!$B$12*J19</f>
        <v>0</v>
      </c>
      <c r="Z19" s="8">
        <f>'Wholesale OLS model'!$B$13*K19</f>
        <v>0</v>
      </c>
      <c r="AA19" s="8">
        <f>'Wholesale OLS model'!$B$14*L19</f>
        <v>0</v>
      </c>
      <c r="AB19" s="8">
        <f>'Wholesale OLS model'!$B$15*M19</f>
        <v>0</v>
      </c>
      <c r="AC19" s="8">
        <f>'Wholesale OLS model'!$B$16*N19</f>
        <v>0</v>
      </c>
      <c r="AD19" s="8">
        <f>'Wholesale OLS model'!$B$17*O19</f>
        <v>0</v>
      </c>
      <c r="AE19" s="8">
        <f t="shared" si="1"/>
        <v>45492984.631949157</v>
      </c>
      <c r="AF19" s="101">
        <f t="shared" si="2"/>
        <v>9.3338553515585343E-3</v>
      </c>
    </row>
    <row r="20" spans="1:32" x14ac:dyDescent="0.2">
      <c r="A20" s="99">
        <f>'Combined Monthly Data'!A20</f>
        <v>40360</v>
      </c>
      <c r="B20">
        <f>'Combined Monthly Data'!B20</f>
        <v>2010</v>
      </c>
      <c r="C20" s="8">
        <f>'Combined Monthly Data'!C20</f>
        <v>55531120.200000003</v>
      </c>
      <c r="D20">
        <f>'Combined Monthly Data'!AB20</f>
        <v>4.5999999999999996</v>
      </c>
      <c r="E20">
        <f>'Combined Monthly Data'!AC20</f>
        <v>123.99999999999999</v>
      </c>
      <c r="F20">
        <f>'Combined Monthly Data'!AF20</f>
        <v>6640.9</v>
      </c>
      <c r="G20">
        <f>'Combined Monthly Data'!AI20</f>
        <v>19</v>
      </c>
      <c r="H20">
        <f>'Combined Monthly Data'!AY20</f>
        <v>21</v>
      </c>
      <c r="I20">
        <f>'Combined Monthly Data'!BA20</f>
        <v>0</v>
      </c>
      <c r="J20">
        <f>'Combined Monthly Data'!BB20</f>
        <v>0</v>
      </c>
      <c r="K20">
        <f>'Combined Monthly Data'!AM20</f>
        <v>0</v>
      </c>
      <c r="L20">
        <f>'Combined Monthly Data'!AO20</f>
        <v>0</v>
      </c>
      <c r="M20">
        <f>'Combined Monthly Data'!AS20</f>
        <v>1</v>
      </c>
      <c r="N20">
        <f>'Combined Monthly Data'!AT20</f>
        <v>0</v>
      </c>
      <c r="O20">
        <f>'Combined Monthly Data'!AW20</f>
        <v>0</v>
      </c>
      <c r="Q20" s="8">
        <f>'Wholesale OLS model'!$B$5</f>
        <v>-50878161.758948997</v>
      </c>
      <c r="R20" s="8">
        <f>-'Combined Monthly Data'!G20</f>
        <v>-250989.84960891784</v>
      </c>
      <c r="S20" s="8">
        <f>'Wholesale OLS model'!$B$6*D20</f>
        <v>72945.589324337547</v>
      </c>
      <c r="T20" s="8">
        <f>'Wholesale OLS model'!$B$7*E20</f>
        <v>11697321.770696884</v>
      </c>
      <c r="U20" s="8">
        <f>'Wholesale OLS model'!$B$8*F20</f>
        <v>82618959.751639143</v>
      </c>
      <c r="V20" s="8">
        <f>'Wholesale OLS model'!$B$9*G20</f>
        <v>-1069765.7241723293</v>
      </c>
      <c r="W20" s="8">
        <f>'Wholesale OLS model'!$B$10*H20</f>
        <v>9736578.4049444813</v>
      </c>
      <c r="X20" s="8">
        <f>'Wholesale OLS model'!$B$11*I20</f>
        <v>0</v>
      </c>
      <c r="Y20" s="8">
        <f>'Wholesale OLS model'!$B$12*J20</f>
        <v>0</v>
      </c>
      <c r="Z20" s="8">
        <f>'Wholesale OLS model'!$B$13*K20</f>
        <v>0</v>
      </c>
      <c r="AA20" s="8">
        <f>'Wholesale OLS model'!$B$14*L20</f>
        <v>0</v>
      </c>
      <c r="AB20" s="8">
        <f>'Wholesale OLS model'!$B$15*M20</f>
        <v>2370057.8473386201</v>
      </c>
      <c r="AC20" s="8">
        <f>'Wholesale OLS model'!$B$16*N20</f>
        <v>0</v>
      </c>
      <c r="AD20" s="8">
        <f>'Wholesale OLS model'!$B$17*O20</f>
        <v>0</v>
      </c>
      <c r="AE20" s="8">
        <f t="shared" si="1"/>
        <v>54296946.031213216</v>
      </c>
      <c r="AF20" s="101">
        <f t="shared" si="2"/>
        <v>2.2224910362726419E-2</v>
      </c>
    </row>
    <row r="21" spans="1:32" x14ac:dyDescent="0.2">
      <c r="A21" s="99">
        <f>'Combined Monthly Data'!A21</f>
        <v>40391</v>
      </c>
      <c r="B21">
        <f>'Combined Monthly Data'!B21</f>
        <v>2010</v>
      </c>
      <c r="C21" s="8">
        <f>'Combined Monthly Data'!C21</f>
        <v>54409471.399999999</v>
      </c>
      <c r="D21">
        <f>'Combined Monthly Data'!AB21</f>
        <v>7.6999999999999993</v>
      </c>
      <c r="E21">
        <f>'Combined Monthly Data'!AC21</f>
        <v>103.40000000000003</v>
      </c>
      <c r="F21">
        <f>'Combined Monthly Data'!AF21</f>
        <v>6662.6</v>
      </c>
      <c r="G21">
        <f>'Combined Monthly Data'!AI21</f>
        <v>20</v>
      </c>
      <c r="H21">
        <f>'Combined Monthly Data'!AY21</f>
        <v>21</v>
      </c>
      <c r="I21">
        <f>'Combined Monthly Data'!BA21</f>
        <v>0</v>
      </c>
      <c r="J21">
        <f>'Combined Monthly Data'!BB21</f>
        <v>0</v>
      </c>
      <c r="K21">
        <f>'Combined Monthly Data'!AM21</f>
        <v>0</v>
      </c>
      <c r="L21">
        <f>'Combined Monthly Data'!AO21</f>
        <v>0</v>
      </c>
      <c r="M21">
        <f>'Combined Monthly Data'!AS21</f>
        <v>0</v>
      </c>
      <c r="N21">
        <f>'Combined Monthly Data'!AT21</f>
        <v>1</v>
      </c>
      <c r="O21">
        <f>'Combined Monthly Data'!AW21</f>
        <v>0</v>
      </c>
      <c r="Q21" s="8">
        <f>'Wholesale OLS model'!$B$5</f>
        <v>-50878161.758948997</v>
      </c>
      <c r="R21" s="8">
        <f>-'Combined Monthly Data'!G21</f>
        <v>-266737.03566824057</v>
      </c>
      <c r="S21" s="8">
        <f>'Wholesale OLS model'!$B$6*D21</f>
        <v>122104.57343421721</v>
      </c>
      <c r="T21" s="8">
        <f>'Wholesale OLS model'!$B$7*E21</f>
        <v>9754057.0249198247</v>
      </c>
      <c r="U21" s="8">
        <f>'Wholesale OLS model'!$B$8*F21</f>
        <v>82888927.892495155</v>
      </c>
      <c r="V21" s="8">
        <f>'Wholesale OLS model'!$B$9*G21</f>
        <v>-1126069.183339294</v>
      </c>
      <c r="W21" s="8">
        <f>'Wholesale OLS model'!$B$10*H21</f>
        <v>9736578.4049444813</v>
      </c>
      <c r="X21" s="8">
        <f>'Wholesale OLS model'!$B$11*I21</f>
        <v>0</v>
      </c>
      <c r="Y21" s="8">
        <f>'Wholesale OLS model'!$B$12*J21</f>
        <v>0</v>
      </c>
      <c r="Z21" s="8">
        <f>'Wholesale OLS model'!$B$13*K21</f>
        <v>0</v>
      </c>
      <c r="AA21" s="8">
        <f>'Wholesale OLS model'!$B$14*L21</f>
        <v>0</v>
      </c>
      <c r="AB21" s="8">
        <f>'Wholesale OLS model'!$B$15*M21</f>
        <v>0</v>
      </c>
      <c r="AC21" s="8">
        <f>'Wholesale OLS model'!$B$16*N21</f>
        <v>3743904.46078429</v>
      </c>
      <c r="AD21" s="8">
        <f>'Wholesale OLS model'!$B$17*O21</f>
        <v>0</v>
      </c>
      <c r="AE21" s="8">
        <f t="shared" si="1"/>
        <v>53974604.378621429</v>
      </c>
      <c r="AF21" s="101">
        <f t="shared" si="2"/>
        <v>7.992487524489519E-3</v>
      </c>
    </row>
    <row r="22" spans="1:32" x14ac:dyDescent="0.2">
      <c r="A22" s="99">
        <f>'Combined Monthly Data'!A22</f>
        <v>40422</v>
      </c>
      <c r="B22">
        <f>'Combined Monthly Data'!B22</f>
        <v>2010</v>
      </c>
      <c r="C22" s="8">
        <f>'Combined Monthly Data'!C22</f>
        <v>43721214.200000003</v>
      </c>
      <c r="D22">
        <f>'Combined Monthly Data'!AB22</f>
        <v>79</v>
      </c>
      <c r="E22">
        <f>'Combined Monthly Data'!AC22</f>
        <v>32.300000000000004</v>
      </c>
      <c r="F22">
        <f>'Combined Monthly Data'!AF22</f>
        <v>6611.2</v>
      </c>
      <c r="G22">
        <f>'Combined Monthly Data'!AI22</f>
        <v>21</v>
      </c>
      <c r="H22">
        <f>'Combined Monthly Data'!AY22</f>
        <v>21</v>
      </c>
      <c r="I22">
        <f>'Combined Monthly Data'!BA22</f>
        <v>0</v>
      </c>
      <c r="J22">
        <f>'Combined Monthly Data'!BB22</f>
        <v>0</v>
      </c>
      <c r="K22">
        <f>'Combined Monthly Data'!AM22</f>
        <v>0</v>
      </c>
      <c r="L22">
        <f>'Combined Monthly Data'!AO22</f>
        <v>0</v>
      </c>
      <c r="M22">
        <f>'Combined Monthly Data'!AS22</f>
        <v>0</v>
      </c>
      <c r="N22">
        <f>'Combined Monthly Data'!AT22</f>
        <v>0</v>
      </c>
      <c r="O22">
        <f>'Combined Monthly Data'!AW22</f>
        <v>0</v>
      </c>
      <c r="Q22" s="8">
        <f>'Wholesale OLS model'!$B$5</f>
        <v>-50878161.758948997</v>
      </c>
      <c r="R22" s="8">
        <f>-'Combined Monthly Data'!G22</f>
        <v>-282484.2217275633</v>
      </c>
      <c r="S22" s="8">
        <f>'Wholesale OLS model'!$B$6*D22</f>
        <v>1252761.2079614494</v>
      </c>
      <c r="T22" s="8">
        <f>'Wholesale OLS model'!$B$7*E22</f>
        <v>3046963.6547863665</v>
      </c>
      <c r="U22" s="8">
        <f>'Wholesale OLS model'!$B$8*F22</f>
        <v>82249464.185582787</v>
      </c>
      <c r="V22" s="8">
        <f>'Wholesale OLS model'!$B$9*G22</f>
        <v>-1182372.6425062586</v>
      </c>
      <c r="W22" s="8">
        <f>'Wholesale OLS model'!$B$10*H22</f>
        <v>9736578.4049444813</v>
      </c>
      <c r="X22" s="8">
        <f>'Wholesale OLS model'!$B$11*I22</f>
        <v>0</v>
      </c>
      <c r="Y22" s="8">
        <f>'Wholesale OLS model'!$B$12*J22</f>
        <v>0</v>
      </c>
      <c r="Z22" s="8">
        <f>'Wholesale OLS model'!$B$13*K22</f>
        <v>0</v>
      </c>
      <c r="AA22" s="8">
        <f>'Wholesale OLS model'!$B$14*L22</f>
        <v>0</v>
      </c>
      <c r="AB22" s="8">
        <f>'Wholesale OLS model'!$B$15*M22</f>
        <v>0</v>
      </c>
      <c r="AC22" s="8">
        <f>'Wholesale OLS model'!$B$16*N22</f>
        <v>0</v>
      </c>
      <c r="AD22" s="8">
        <f>'Wholesale OLS model'!$B$17*O22</f>
        <v>0</v>
      </c>
      <c r="AE22" s="8">
        <f t="shared" si="1"/>
        <v>43942748.830092259</v>
      </c>
      <c r="AF22" s="101">
        <f t="shared" si="2"/>
        <v>5.066982565462598E-3</v>
      </c>
    </row>
    <row r="23" spans="1:32" x14ac:dyDescent="0.2">
      <c r="A23" s="99">
        <f>'Combined Monthly Data'!A23</f>
        <v>40452</v>
      </c>
      <c r="B23">
        <f>'Combined Monthly Data'!B23</f>
        <v>2010</v>
      </c>
      <c r="C23" s="8">
        <f>'Combined Monthly Data'!C23</f>
        <v>42849260.199999996</v>
      </c>
      <c r="D23">
        <f>'Combined Monthly Data'!AB23</f>
        <v>250.99999999999997</v>
      </c>
      <c r="E23">
        <f>'Combined Monthly Data'!AC23</f>
        <v>0.1</v>
      </c>
      <c r="F23">
        <f>'Combined Monthly Data'!AF23</f>
        <v>6587.1</v>
      </c>
      <c r="G23">
        <f>'Combined Monthly Data'!AI23</f>
        <v>22</v>
      </c>
      <c r="H23">
        <f>'Combined Monthly Data'!AY23</f>
        <v>20</v>
      </c>
      <c r="I23">
        <f>'Combined Monthly Data'!BA23</f>
        <v>0</v>
      </c>
      <c r="J23">
        <f>'Combined Monthly Data'!BB23</f>
        <v>0</v>
      </c>
      <c r="K23">
        <f>'Combined Monthly Data'!AM23</f>
        <v>0</v>
      </c>
      <c r="L23">
        <f>'Combined Monthly Data'!AO23</f>
        <v>0</v>
      </c>
      <c r="M23">
        <f>'Combined Monthly Data'!AS23</f>
        <v>0</v>
      </c>
      <c r="N23">
        <f>'Combined Monthly Data'!AT23</f>
        <v>0</v>
      </c>
      <c r="O23">
        <f>'Combined Monthly Data'!AW23</f>
        <v>0</v>
      </c>
      <c r="Q23" s="8">
        <f>'Wholesale OLS model'!$B$5</f>
        <v>-50878161.758948997</v>
      </c>
      <c r="R23" s="8">
        <f>-'Combined Monthly Data'!G23</f>
        <v>-298231.40778688603</v>
      </c>
      <c r="S23" s="8">
        <f>'Wholesale OLS model'!$B$6*D23</f>
        <v>3980291.9392192881</v>
      </c>
      <c r="T23" s="8">
        <f>'Wholesale OLS model'!$B$7*E23</f>
        <v>9433.3240086265196</v>
      </c>
      <c r="U23" s="8">
        <f>'Wholesale OLS model'!$B$8*F23</f>
        <v>81949637.817166701</v>
      </c>
      <c r="V23" s="8">
        <f>'Wholesale OLS model'!$B$9*G23</f>
        <v>-1238676.1016732233</v>
      </c>
      <c r="W23" s="8">
        <f>'Wholesale OLS model'!$B$10*H23</f>
        <v>9272931.8142328393</v>
      </c>
      <c r="X23" s="8">
        <f>'Wholesale OLS model'!$B$11*I23</f>
        <v>0</v>
      </c>
      <c r="Y23" s="8">
        <f>'Wholesale OLS model'!$B$12*J23</f>
        <v>0</v>
      </c>
      <c r="Z23" s="8">
        <f>'Wholesale OLS model'!$B$13*K23</f>
        <v>0</v>
      </c>
      <c r="AA23" s="8">
        <f>'Wholesale OLS model'!$B$14*L23</f>
        <v>0</v>
      </c>
      <c r="AB23" s="8">
        <f>'Wholesale OLS model'!$B$15*M23</f>
        <v>0</v>
      </c>
      <c r="AC23" s="8">
        <f>'Wholesale OLS model'!$B$16*N23</f>
        <v>0</v>
      </c>
      <c r="AD23" s="8">
        <f>'Wholesale OLS model'!$B$17*O23</f>
        <v>0</v>
      </c>
      <c r="AE23" s="8">
        <f t="shared" si="1"/>
        <v>42797225.626218356</v>
      </c>
      <c r="AF23" s="101">
        <f t="shared" si="2"/>
        <v>1.2143634111479791E-3</v>
      </c>
    </row>
    <row r="24" spans="1:32" x14ac:dyDescent="0.2">
      <c r="A24" s="99">
        <f>'Combined Monthly Data'!A24</f>
        <v>40483</v>
      </c>
      <c r="B24">
        <f>'Combined Monthly Data'!B24</f>
        <v>2010</v>
      </c>
      <c r="C24" s="8">
        <f>'Combined Monthly Data'!C24</f>
        <v>43470906.5</v>
      </c>
      <c r="D24">
        <f>'Combined Monthly Data'!AB24</f>
        <v>387.19999999999993</v>
      </c>
      <c r="E24">
        <f>'Combined Monthly Data'!AC24</f>
        <v>0</v>
      </c>
      <c r="F24">
        <f>'Combined Monthly Data'!AF24</f>
        <v>6566.6</v>
      </c>
      <c r="G24">
        <f>'Combined Monthly Data'!AI24</f>
        <v>23</v>
      </c>
      <c r="H24">
        <f>'Combined Monthly Data'!AY24</f>
        <v>22</v>
      </c>
      <c r="I24">
        <f>'Combined Monthly Data'!BA24</f>
        <v>0</v>
      </c>
      <c r="J24">
        <f>'Combined Monthly Data'!BB24</f>
        <v>0</v>
      </c>
      <c r="K24">
        <f>'Combined Monthly Data'!AM24</f>
        <v>0</v>
      </c>
      <c r="L24">
        <f>'Combined Monthly Data'!AO24</f>
        <v>0</v>
      </c>
      <c r="M24">
        <f>'Combined Monthly Data'!AS24</f>
        <v>0</v>
      </c>
      <c r="N24">
        <f>'Combined Monthly Data'!AT24</f>
        <v>0</v>
      </c>
      <c r="O24">
        <f>'Combined Monthly Data'!AW24</f>
        <v>1</v>
      </c>
      <c r="Q24" s="8">
        <f>'Wholesale OLS model'!$B$5</f>
        <v>-50878161.758948997</v>
      </c>
      <c r="R24" s="8">
        <f>-'Combined Monthly Data'!G24</f>
        <v>-313978.59384620877</v>
      </c>
      <c r="S24" s="8">
        <f>'Wholesale OLS model'!$B$6*D24</f>
        <v>6140115.6926920647</v>
      </c>
      <c r="T24" s="8">
        <f>'Wholesale OLS model'!$B$7*E24</f>
        <v>0</v>
      </c>
      <c r="U24" s="8">
        <f>'Wholesale OLS model'!$B$8*F24</f>
        <v>81694598.790090755</v>
      </c>
      <c r="V24" s="8">
        <f>'Wholesale OLS model'!$B$9*G24</f>
        <v>-1294979.5608401881</v>
      </c>
      <c r="W24" s="8">
        <f>'Wholesale OLS model'!$B$10*H24</f>
        <v>10200224.995656123</v>
      </c>
      <c r="X24" s="8">
        <f>'Wholesale OLS model'!$B$11*I24</f>
        <v>0</v>
      </c>
      <c r="Y24" s="8">
        <f>'Wholesale OLS model'!$B$12*J24</f>
        <v>0</v>
      </c>
      <c r="Z24" s="8">
        <f>'Wholesale OLS model'!$B$13*K24</f>
        <v>0</v>
      </c>
      <c r="AA24" s="8">
        <f>'Wholesale OLS model'!$B$14*L24</f>
        <v>0</v>
      </c>
      <c r="AB24" s="8">
        <f>'Wholesale OLS model'!$B$15*M24</f>
        <v>0</v>
      </c>
      <c r="AC24" s="8">
        <f>'Wholesale OLS model'!$B$16*N24</f>
        <v>0</v>
      </c>
      <c r="AD24" s="8">
        <f>'Wholesale OLS model'!$B$17*O24</f>
        <v>-1766353.8816768799</v>
      </c>
      <c r="AE24" s="8">
        <f t="shared" si="1"/>
        <v>43781465.683126666</v>
      </c>
      <c r="AF24" s="101">
        <f t="shared" si="2"/>
        <v>7.1440696348640817E-3</v>
      </c>
    </row>
    <row r="25" spans="1:32" x14ac:dyDescent="0.2">
      <c r="A25" s="99">
        <f>'Combined Monthly Data'!A25</f>
        <v>40513</v>
      </c>
      <c r="B25">
        <f>'Combined Monthly Data'!B25</f>
        <v>2010</v>
      </c>
      <c r="C25" s="8">
        <f>'Combined Monthly Data'!C25</f>
        <v>49680403.900000006</v>
      </c>
      <c r="D25">
        <f>'Combined Monthly Data'!AB25</f>
        <v>671.3</v>
      </c>
      <c r="E25">
        <f>'Combined Monthly Data'!AC25</f>
        <v>0</v>
      </c>
      <c r="F25">
        <f>'Combined Monthly Data'!AF25</f>
        <v>6584.1</v>
      </c>
      <c r="G25">
        <f>'Combined Monthly Data'!AI25</f>
        <v>24</v>
      </c>
      <c r="H25">
        <f>'Combined Monthly Data'!AY25</f>
        <v>21</v>
      </c>
      <c r="I25">
        <f>'Combined Monthly Data'!BA25</f>
        <v>0</v>
      </c>
      <c r="J25">
        <f>'Combined Monthly Data'!BB25</f>
        <v>0</v>
      </c>
      <c r="K25">
        <f>'Combined Monthly Data'!AM25</f>
        <v>0</v>
      </c>
      <c r="L25">
        <f>'Combined Monthly Data'!AO25</f>
        <v>0</v>
      </c>
      <c r="M25">
        <f>'Combined Monthly Data'!AS25</f>
        <v>0</v>
      </c>
      <c r="N25">
        <f>'Combined Monthly Data'!AT25</f>
        <v>0</v>
      </c>
      <c r="O25">
        <f>'Combined Monthly Data'!AW25</f>
        <v>0</v>
      </c>
      <c r="Q25" s="8">
        <f>'Wholesale OLS model'!$B$5</f>
        <v>-50878161.758948997</v>
      </c>
      <c r="R25" s="8">
        <f>-'Combined Monthly Data'!G25</f>
        <v>-329725.77990553144</v>
      </c>
      <c r="S25" s="8">
        <f>'Wholesale OLS model'!$B$6*D25</f>
        <v>10645298.720310392</v>
      </c>
      <c r="T25" s="8">
        <f>'Wholesale OLS model'!$B$7*E25</f>
        <v>0</v>
      </c>
      <c r="U25" s="8">
        <f>'Wholesale OLS model'!$B$8*F25</f>
        <v>81912315.032716557</v>
      </c>
      <c r="V25" s="8">
        <f>'Wholesale OLS model'!$B$9*G25</f>
        <v>-1351283.0200071528</v>
      </c>
      <c r="W25" s="8">
        <f>'Wholesale OLS model'!$B$10*H25</f>
        <v>9736578.4049444813</v>
      </c>
      <c r="X25" s="8">
        <f>'Wholesale OLS model'!$B$11*I25</f>
        <v>0</v>
      </c>
      <c r="Y25" s="8">
        <f>'Wholesale OLS model'!$B$12*J25</f>
        <v>0</v>
      </c>
      <c r="Z25" s="8">
        <f>'Wholesale OLS model'!$B$13*K25</f>
        <v>0</v>
      </c>
      <c r="AA25" s="8">
        <f>'Wholesale OLS model'!$B$14*L25</f>
        <v>0</v>
      </c>
      <c r="AB25" s="8">
        <f>'Wholesale OLS model'!$B$15*M25</f>
        <v>0</v>
      </c>
      <c r="AC25" s="8">
        <f>'Wholesale OLS model'!$B$16*N25</f>
        <v>0</v>
      </c>
      <c r="AD25" s="8">
        <f>'Wholesale OLS model'!$B$17*O25</f>
        <v>0</v>
      </c>
      <c r="AE25" s="8">
        <f t="shared" si="1"/>
        <v>49735021.599109747</v>
      </c>
      <c r="AF25" s="101">
        <f t="shared" si="2"/>
        <v>1.0993811406944005E-3</v>
      </c>
    </row>
    <row r="26" spans="1:32" x14ac:dyDescent="0.2">
      <c r="A26" s="99">
        <f>'Combined Monthly Data'!A26</f>
        <v>40544</v>
      </c>
      <c r="B26">
        <f>'Combined Monthly Data'!B26</f>
        <v>2011</v>
      </c>
      <c r="C26" s="8">
        <f>'Combined Monthly Data'!C26</f>
        <v>52303781.079999998</v>
      </c>
      <c r="D26">
        <f>'Combined Monthly Data'!AB26</f>
        <v>794.6</v>
      </c>
      <c r="E26">
        <f>'Combined Monthly Data'!AC26</f>
        <v>0</v>
      </c>
      <c r="F26">
        <f>'Combined Monthly Data'!AF26</f>
        <v>6571.2</v>
      </c>
      <c r="G26">
        <f>'Combined Monthly Data'!AI26</f>
        <v>25</v>
      </c>
      <c r="H26">
        <f>'Combined Monthly Data'!AY26</f>
        <v>20</v>
      </c>
      <c r="I26">
        <f>'Combined Monthly Data'!BA26</f>
        <v>0</v>
      </c>
      <c r="J26">
        <f>'Combined Monthly Data'!BB26</f>
        <v>0</v>
      </c>
      <c r="K26">
        <f>'Combined Monthly Data'!AM26</f>
        <v>1</v>
      </c>
      <c r="L26">
        <f>'Combined Monthly Data'!AO26</f>
        <v>0</v>
      </c>
      <c r="M26">
        <f>'Combined Monthly Data'!AS26</f>
        <v>0</v>
      </c>
      <c r="N26">
        <f>'Combined Monthly Data'!AT26</f>
        <v>0</v>
      </c>
      <c r="O26">
        <f>'Combined Monthly Data'!AW26</f>
        <v>0</v>
      </c>
      <c r="Q26" s="8">
        <f>'Wholesale OLS model'!$B$5</f>
        <v>-50878161.758948997</v>
      </c>
      <c r="R26" s="8">
        <f>-'Combined Monthly Data'!G26</f>
        <v>-314388.04606639408</v>
      </c>
      <c r="S26" s="8">
        <f>'Wholesale OLS model'!$B$6*D26</f>
        <v>12600557.668938832</v>
      </c>
      <c r="T26" s="8">
        <f>'Wholesale OLS model'!$B$7*E26</f>
        <v>0</v>
      </c>
      <c r="U26" s="8">
        <f>'Wholesale OLS model'!$B$8*F26</f>
        <v>81751827.059580952</v>
      </c>
      <c r="V26" s="8">
        <f>'Wholesale OLS model'!$B$9*G26</f>
        <v>-1407586.4791741176</v>
      </c>
      <c r="W26" s="8">
        <f>'Wholesale OLS model'!$B$10*H26</f>
        <v>9272931.8142328393</v>
      </c>
      <c r="X26" s="8">
        <f>'Wholesale OLS model'!$B$11*I26</f>
        <v>0</v>
      </c>
      <c r="Y26" s="8">
        <f>'Wholesale OLS model'!$B$12*J26</f>
        <v>0</v>
      </c>
      <c r="Z26" s="8">
        <f>'Wholesale OLS model'!$B$13*K26</f>
        <v>2647304.3437043098</v>
      </c>
      <c r="AA26" s="8">
        <f>'Wholesale OLS model'!$B$14*L26</f>
        <v>0</v>
      </c>
      <c r="AB26" s="8">
        <f>'Wholesale OLS model'!$B$15*M26</f>
        <v>0</v>
      </c>
      <c r="AC26" s="8">
        <f>'Wholesale OLS model'!$B$16*N26</f>
        <v>0</v>
      </c>
      <c r="AD26" s="8">
        <f>'Wholesale OLS model'!$B$17*O26</f>
        <v>0</v>
      </c>
      <c r="AE26" s="8">
        <f t="shared" si="1"/>
        <v>53672484.602267429</v>
      </c>
      <c r="AF26" s="101">
        <f t="shared" si="2"/>
        <v>2.6168347565044357E-2</v>
      </c>
    </row>
    <row r="27" spans="1:32" x14ac:dyDescent="0.2">
      <c r="A27" s="99">
        <f>'Combined Monthly Data'!A27</f>
        <v>40575</v>
      </c>
      <c r="B27">
        <f>'Combined Monthly Data'!B27</f>
        <v>2011</v>
      </c>
      <c r="C27" s="8">
        <f>'Combined Monthly Data'!C27</f>
        <v>47592238.090000004</v>
      </c>
      <c r="D27">
        <f>'Combined Monthly Data'!AB27</f>
        <v>645.30000000000007</v>
      </c>
      <c r="E27">
        <f>'Combined Monthly Data'!AC27</f>
        <v>0</v>
      </c>
      <c r="F27">
        <f>'Combined Monthly Data'!AF27</f>
        <v>6548.1</v>
      </c>
      <c r="G27">
        <f>'Combined Monthly Data'!AI27</f>
        <v>26</v>
      </c>
      <c r="H27">
        <f>'Combined Monthly Data'!AY27</f>
        <v>19</v>
      </c>
      <c r="I27">
        <f>'Combined Monthly Data'!BA27</f>
        <v>0</v>
      </c>
      <c r="J27">
        <f>'Combined Monthly Data'!BB27</f>
        <v>0</v>
      </c>
      <c r="K27">
        <f>'Combined Monthly Data'!AM27</f>
        <v>0</v>
      </c>
      <c r="L27">
        <f>'Combined Monthly Data'!AO27</f>
        <v>0</v>
      </c>
      <c r="M27">
        <f>'Combined Monthly Data'!AS27</f>
        <v>0</v>
      </c>
      <c r="N27">
        <f>'Combined Monthly Data'!AT27</f>
        <v>0</v>
      </c>
      <c r="O27">
        <f>'Combined Monthly Data'!AW27</f>
        <v>0</v>
      </c>
      <c r="Q27" s="8">
        <f>'Wholesale OLS model'!$B$5</f>
        <v>-50878161.758948997</v>
      </c>
      <c r="R27" s="8">
        <f>-'Combined Monthly Data'!G27</f>
        <v>-329956.08506654529</v>
      </c>
      <c r="S27" s="8">
        <f>'Wholesale OLS model'!$B$6*D27</f>
        <v>10232997.56325979</v>
      </c>
      <c r="T27" s="8">
        <f>'Wholesale OLS model'!$B$7*E27</f>
        <v>0</v>
      </c>
      <c r="U27" s="8">
        <f>'Wholesale OLS model'!$B$8*F27</f>
        <v>81464441.619314909</v>
      </c>
      <c r="V27" s="8">
        <f>'Wholesale OLS model'!$B$9*G27</f>
        <v>-1463889.9383410821</v>
      </c>
      <c r="W27" s="8">
        <f>'Wholesale OLS model'!$B$10*H27</f>
        <v>8809285.2235211972</v>
      </c>
      <c r="X27" s="8">
        <f>'Wholesale OLS model'!$B$11*I27</f>
        <v>0</v>
      </c>
      <c r="Y27" s="8">
        <f>'Wholesale OLS model'!$B$12*J27</f>
        <v>0</v>
      </c>
      <c r="Z27" s="8">
        <f>'Wholesale OLS model'!$B$13*K27</f>
        <v>0</v>
      </c>
      <c r="AA27" s="8">
        <f>'Wholesale OLS model'!$B$14*L27</f>
        <v>0</v>
      </c>
      <c r="AB27" s="8">
        <f>'Wholesale OLS model'!$B$15*M27</f>
        <v>0</v>
      </c>
      <c r="AC27" s="8">
        <f>'Wholesale OLS model'!$B$16*N27</f>
        <v>0</v>
      </c>
      <c r="AD27" s="8">
        <f>'Wholesale OLS model'!$B$17*O27</f>
        <v>0</v>
      </c>
      <c r="AE27" s="8">
        <f t="shared" si="1"/>
        <v>47834716.623739272</v>
      </c>
      <c r="AF27" s="101">
        <f t="shared" si="2"/>
        <v>5.0949176477207521E-3</v>
      </c>
    </row>
    <row r="28" spans="1:32" x14ac:dyDescent="0.2">
      <c r="A28" s="99">
        <f>'Combined Monthly Data'!A28</f>
        <v>40603</v>
      </c>
      <c r="B28">
        <f>'Combined Monthly Data'!B28</f>
        <v>2011</v>
      </c>
      <c r="C28" s="8">
        <f>'Combined Monthly Data'!C28</f>
        <v>49786411.509999998</v>
      </c>
      <c r="D28">
        <f>'Combined Monthly Data'!AB28</f>
        <v>567.1</v>
      </c>
      <c r="E28">
        <f>'Combined Monthly Data'!AC28</f>
        <v>0</v>
      </c>
      <c r="F28">
        <f>'Combined Monthly Data'!AF28</f>
        <v>6523.7</v>
      </c>
      <c r="G28">
        <f>'Combined Monthly Data'!AI28</f>
        <v>27</v>
      </c>
      <c r="H28">
        <f>'Combined Monthly Data'!AY28</f>
        <v>23</v>
      </c>
      <c r="I28">
        <f>'Combined Monthly Data'!BA28</f>
        <v>0</v>
      </c>
      <c r="J28">
        <f>'Combined Monthly Data'!BB28</f>
        <v>0</v>
      </c>
      <c r="K28">
        <f>'Combined Monthly Data'!AM28</f>
        <v>0</v>
      </c>
      <c r="L28">
        <f>'Combined Monthly Data'!AO28</f>
        <v>1</v>
      </c>
      <c r="M28">
        <f>'Combined Monthly Data'!AS28</f>
        <v>0</v>
      </c>
      <c r="N28">
        <f>'Combined Monthly Data'!AT28</f>
        <v>0</v>
      </c>
      <c r="O28">
        <f>'Combined Monthly Data'!AW28</f>
        <v>0</v>
      </c>
      <c r="Q28" s="8">
        <f>'Wholesale OLS model'!$B$5</f>
        <v>-50878161.758948997</v>
      </c>
      <c r="R28" s="8">
        <f>-'Combined Monthly Data'!G28</f>
        <v>-345524.12406669656</v>
      </c>
      <c r="S28" s="8">
        <f>'Wholesale OLS model'!$B$6*D28</f>
        <v>8992922.5447460506</v>
      </c>
      <c r="T28" s="8">
        <f>'Wholesale OLS model'!$B$7*E28</f>
        <v>0</v>
      </c>
      <c r="U28" s="8">
        <f>'Wholesale OLS model'!$B$8*F28</f>
        <v>81160882.972453788</v>
      </c>
      <c r="V28" s="8">
        <f>'Wholesale OLS model'!$B$9*G28</f>
        <v>-1520193.3975080468</v>
      </c>
      <c r="W28" s="8">
        <f>'Wholesale OLS model'!$B$10*H28</f>
        <v>10663871.586367765</v>
      </c>
      <c r="X28" s="8">
        <f>'Wholesale OLS model'!$B$11*I28</f>
        <v>0</v>
      </c>
      <c r="Y28" s="8">
        <f>'Wholesale OLS model'!$B$12*J28</f>
        <v>0</v>
      </c>
      <c r="Z28" s="8">
        <f>'Wholesale OLS model'!$B$13*K28</f>
        <v>0</v>
      </c>
      <c r="AA28" s="8">
        <f>'Wholesale OLS model'!$B$14*L28</f>
        <v>1640135.6856942801</v>
      </c>
      <c r="AB28" s="8">
        <f>'Wholesale OLS model'!$B$15*M28</f>
        <v>0</v>
      </c>
      <c r="AC28" s="8">
        <f>'Wholesale OLS model'!$B$16*N28</f>
        <v>0</v>
      </c>
      <c r="AD28" s="8">
        <f>'Wholesale OLS model'!$B$17*O28</f>
        <v>0</v>
      </c>
      <c r="AE28" s="8">
        <f t="shared" si="1"/>
        <v>49713933.508738138</v>
      </c>
      <c r="AF28" s="101">
        <f t="shared" si="2"/>
        <v>1.4557787770524966E-3</v>
      </c>
    </row>
    <row r="29" spans="1:32" x14ac:dyDescent="0.2">
      <c r="A29" s="99">
        <f>'Combined Monthly Data'!A29</f>
        <v>40634</v>
      </c>
      <c r="B29">
        <f>'Combined Monthly Data'!B29</f>
        <v>2011</v>
      </c>
      <c r="C29" s="8">
        <f>'Combined Monthly Data'!C29</f>
        <v>43724823.849999994</v>
      </c>
      <c r="D29">
        <f>'Combined Monthly Data'!AB29</f>
        <v>324.89999999999998</v>
      </c>
      <c r="E29">
        <f>'Combined Monthly Data'!AC29</f>
        <v>0.4</v>
      </c>
      <c r="F29">
        <f>'Combined Monthly Data'!AF29</f>
        <v>6550</v>
      </c>
      <c r="G29">
        <f>'Combined Monthly Data'!AI29</f>
        <v>28</v>
      </c>
      <c r="H29">
        <f>'Combined Monthly Data'!AY29</f>
        <v>19</v>
      </c>
      <c r="I29">
        <f>'Combined Monthly Data'!BA29</f>
        <v>0</v>
      </c>
      <c r="J29">
        <f>'Combined Monthly Data'!BB29</f>
        <v>0</v>
      </c>
      <c r="K29">
        <f>'Combined Monthly Data'!AM29</f>
        <v>0</v>
      </c>
      <c r="L29">
        <f>'Combined Monthly Data'!AO29</f>
        <v>0</v>
      </c>
      <c r="M29">
        <f>'Combined Monthly Data'!AS29</f>
        <v>0</v>
      </c>
      <c r="N29">
        <f>'Combined Monthly Data'!AT29</f>
        <v>0</v>
      </c>
      <c r="O29">
        <f>'Combined Monthly Data'!AW29</f>
        <v>0</v>
      </c>
      <c r="Q29" s="8">
        <f>'Wholesale OLS model'!$B$5</f>
        <v>-50878161.758948997</v>
      </c>
      <c r="R29" s="8">
        <f>-'Combined Monthly Data'!G29</f>
        <v>-361092.16306684777</v>
      </c>
      <c r="S29" s="8">
        <f>'Wholesale OLS model'!$B$6*D29</f>
        <v>5152178.6894515809</v>
      </c>
      <c r="T29" s="8">
        <f>'Wholesale OLS model'!$B$7*E29</f>
        <v>37733.296034506078</v>
      </c>
      <c r="U29" s="8">
        <f>'Wholesale OLS model'!$B$8*F29</f>
        <v>81488079.382799983</v>
      </c>
      <c r="V29" s="8">
        <f>'Wholesale OLS model'!$B$9*G29</f>
        <v>-1576496.8566750116</v>
      </c>
      <c r="W29" s="8">
        <f>'Wholesale OLS model'!$B$10*H29</f>
        <v>8809285.2235211972</v>
      </c>
      <c r="X29" s="8">
        <f>'Wholesale OLS model'!$B$11*I29</f>
        <v>0</v>
      </c>
      <c r="Y29" s="8">
        <f>'Wholesale OLS model'!$B$12*J29</f>
        <v>0</v>
      </c>
      <c r="Z29" s="8">
        <f>'Wholesale OLS model'!$B$13*K29</f>
        <v>0</v>
      </c>
      <c r="AA29" s="8">
        <f>'Wholesale OLS model'!$B$14*L29</f>
        <v>0</v>
      </c>
      <c r="AB29" s="8">
        <f>'Wholesale OLS model'!$B$15*M29</f>
        <v>0</v>
      </c>
      <c r="AC29" s="8">
        <f>'Wholesale OLS model'!$B$16*N29</f>
        <v>0</v>
      </c>
      <c r="AD29" s="8">
        <f>'Wholesale OLS model'!$B$17*O29</f>
        <v>0</v>
      </c>
      <c r="AE29" s="8">
        <f t="shared" si="1"/>
        <v>42671525.813116409</v>
      </c>
      <c r="AF29" s="101">
        <f t="shared" si="2"/>
        <v>2.4089245973796764E-2</v>
      </c>
    </row>
    <row r="30" spans="1:32" x14ac:dyDescent="0.2">
      <c r="A30" s="99">
        <f>'Combined Monthly Data'!A30</f>
        <v>40664</v>
      </c>
      <c r="B30">
        <f>'Combined Monthly Data'!B30</f>
        <v>2011</v>
      </c>
      <c r="C30" s="8">
        <f>'Combined Monthly Data'!C30</f>
        <v>42930546.329999998</v>
      </c>
      <c r="D30">
        <f>'Combined Monthly Data'!AB30</f>
        <v>136.00000000000003</v>
      </c>
      <c r="E30">
        <f>'Combined Monthly Data'!AC30</f>
        <v>12.5</v>
      </c>
      <c r="F30">
        <f>'Combined Monthly Data'!AF30</f>
        <v>6612</v>
      </c>
      <c r="G30">
        <f>'Combined Monthly Data'!AI30</f>
        <v>29</v>
      </c>
      <c r="H30">
        <f>'Combined Monthly Data'!AY30</f>
        <v>21</v>
      </c>
      <c r="I30">
        <f>'Combined Monthly Data'!BA30</f>
        <v>0</v>
      </c>
      <c r="J30">
        <f>'Combined Monthly Data'!BB30</f>
        <v>0</v>
      </c>
      <c r="K30">
        <f>'Combined Monthly Data'!AM30</f>
        <v>0</v>
      </c>
      <c r="L30">
        <f>'Combined Monthly Data'!AO30</f>
        <v>0</v>
      </c>
      <c r="M30">
        <f>'Combined Monthly Data'!AS30</f>
        <v>0</v>
      </c>
      <c r="N30">
        <f>'Combined Monthly Data'!AT30</f>
        <v>0</v>
      </c>
      <c r="O30">
        <f>'Combined Monthly Data'!AW30</f>
        <v>0</v>
      </c>
      <c r="Q30" s="8">
        <f>'Wholesale OLS model'!$B$5</f>
        <v>-50878161.758948997</v>
      </c>
      <c r="R30" s="8">
        <f>-'Combined Monthly Data'!G30</f>
        <v>-376660.20206699899</v>
      </c>
      <c r="S30" s="8">
        <f>'Wholesale OLS model'!$B$6*D30</f>
        <v>2156652.20611085</v>
      </c>
      <c r="T30" s="8">
        <f>'Wholesale OLS model'!$B$7*E30</f>
        <v>1179165.5010783151</v>
      </c>
      <c r="U30" s="8">
        <f>'Wholesale OLS model'!$B$8*F30</f>
        <v>82259416.928102836</v>
      </c>
      <c r="V30" s="8">
        <f>'Wholesale OLS model'!$B$9*G30</f>
        <v>-1632800.3158419763</v>
      </c>
      <c r="W30" s="8">
        <f>'Wholesale OLS model'!$B$10*H30</f>
        <v>9736578.4049444813</v>
      </c>
      <c r="X30" s="8">
        <f>'Wholesale OLS model'!$B$11*I30</f>
        <v>0</v>
      </c>
      <c r="Y30" s="8">
        <f>'Wholesale OLS model'!$B$12*J30</f>
        <v>0</v>
      </c>
      <c r="Z30" s="8">
        <f>'Wholesale OLS model'!$B$13*K30</f>
        <v>0</v>
      </c>
      <c r="AA30" s="8">
        <f>'Wholesale OLS model'!$B$14*L30</f>
        <v>0</v>
      </c>
      <c r="AB30" s="8">
        <f>'Wholesale OLS model'!$B$15*M30</f>
        <v>0</v>
      </c>
      <c r="AC30" s="8">
        <f>'Wholesale OLS model'!$B$16*N30</f>
        <v>0</v>
      </c>
      <c r="AD30" s="8">
        <f>'Wholesale OLS model'!$B$17*O30</f>
        <v>0</v>
      </c>
      <c r="AE30" s="8">
        <f t="shared" si="1"/>
        <v>42444190.763378508</v>
      </c>
      <c r="AF30" s="101">
        <f t="shared" si="2"/>
        <v>1.1328893019039523E-2</v>
      </c>
    </row>
    <row r="31" spans="1:32" x14ac:dyDescent="0.2">
      <c r="A31" s="99">
        <f>'Combined Monthly Data'!A31</f>
        <v>40695</v>
      </c>
      <c r="B31">
        <f>'Combined Monthly Data'!B31</f>
        <v>2011</v>
      </c>
      <c r="C31" s="8">
        <f>'Combined Monthly Data'!C31</f>
        <v>45240261.659999996</v>
      </c>
      <c r="D31">
        <f>'Combined Monthly Data'!AB31</f>
        <v>22.700000000000003</v>
      </c>
      <c r="E31">
        <f>'Combined Monthly Data'!AC31</f>
        <v>40.200000000000003</v>
      </c>
      <c r="F31">
        <f>'Combined Monthly Data'!AF31</f>
        <v>6706.8</v>
      </c>
      <c r="G31">
        <f>'Combined Monthly Data'!AI31</f>
        <v>30</v>
      </c>
      <c r="H31">
        <f>'Combined Monthly Data'!AY31</f>
        <v>22</v>
      </c>
      <c r="I31">
        <f>'Combined Monthly Data'!BA31</f>
        <v>0</v>
      </c>
      <c r="J31">
        <f>'Combined Monthly Data'!BB31</f>
        <v>0</v>
      </c>
      <c r="K31">
        <f>'Combined Monthly Data'!AM31</f>
        <v>0</v>
      </c>
      <c r="L31">
        <f>'Combined Monthly Data'!AO31</f>
        <v>0</v>
      </c>
      <c r="M31">
        <f>'Combined Monthly Data'!AS31</f>
        <v>0</v>
      </c>
      <c r="N31">
        <f>'Combined Monthly Data'!AT31</f>
        <v>0</v>
      </c>
      <c r="O31">
        <f>'Combined Monthly Data'!AW31</f>
        <v>0</v>
      </c>
      <c r="Q31" s="8">
        <f>'Wholesale OLS model'!$B$5</f>
        <v>-50878161.758948997</v>
      </c>
      <c r="R31" s="8">
        <f>-'Combined Monthly Data'!G31</f>
        <v>-392228.24106715026</v>
      </c>
      <c r="S31" s="8">
        <f>'Wholesale OLS model'!$B$6*D31</f>
        <v>359970.62557879626</v>
      </c>
      <c r="T31" s="8">
        <f>'Wholesale OLS model'!$B$7*E31</f>
        <v>3792196.2514678612</v>
      </c>
      <c r="U31" s="8">
        <f>'Wholesale OLS model'!$B$8*F31</f>
        <v>83438816.91672717</v>
      </c>
      <c r="V31" s="8">
        <f>'Wholesale OLS model'!$B$9*G31</f>
        <v>-1689103.7750089408</v>
      </c>
      <c r="W31" s="8">
        <f>'Wholesale OLS model'!$B$10*H31</f>
        <v>10200224.995656123</v>
      </c>
      <c r="X31" s="8">
        <f>'Wholesale OLS model'!$B$11*I31</f>
        <v>0</v>
      </c>
      <c r="Y31" s="8">
        <f>'Wholesale OLS model'!$B$12*J31</f>
        <v>0</v>
      </c>
      <c r="Z31" s="8">
        <f>'Wholesale OLS model'!$B$13*K31</f>
        <v>0</v>
      </c>
      <c r="AA31" s="8">
        <f>'Wholesale OLS model'!$B$14*L31</f>
        <v>0</v>
      </c>
      <c r="AB31" s="8">
        <f>'Wholesale OLS model'!$B$15*M31</f>
        <v>0</v>
      </c>
      <c r="AC31" s="8">
        <f>'Wholesale OLS model'!$B$16*N31</f>
        <v>0</v>
      </c>
      <c r="AD31" s="8">
        <f>'Wholesale OLS model'!$B$17*O31</f>
        <v>0</v>
      </c>
      <c r="AE31" s="8">
        <f t="shared" si="1"/>
        <v>44831715.014404871</v>
      </c>
      <c r="AF31" s="101">
        <f t="shared" si="2"/>
        <v>9.0305986438701316E-3</v>
      </c>
    </row>
    <row r="32" spans="1:32" x14ac:dyDescent="0.2">
      <c r="A32" s="99">
        <f>'Combined Monthly Data'!A32</f>
        <v>40725</v>
      </c>
      <c r="B32">
        <f>'Combined Monthly Data'!B32</f>
        <v>2011</v>
      </c>
      <c r="C32" s="8">
        <f>'Combined Monthly Data'!C32</f>
        <v>56133024.959999993</v>
      </c>
      <c r="D32">
        <f>'Combined Monthly Data'!AB32</f>
        <v>0.2</v>
      </c>
      <c r="E32">
        <f>'Combined Monthly Data'!AC32</f>
        <v>158.6</v>
      </c>
      <c r="F32">
        <f>'Combined Monthly Data'!AF32</f>
        <v>6755.3</v>
      </c>
      <c r="G32">
        <f>'Combined Monthly Data'!AI32</f>
        <v>31</v>
      </c>
      <c r="H32">
        <f>'Combined Monthly Data'!AY32</f>
        <v>20</v>
      </c>
      <c r="I32">
        <f>'Combined Monthly Data'!BA32</f>
        <v>0</v>
      </c>
      <c r="J32">
        <f>'Combined Monthly Data'!BB32</f>
        <v>0</v>
      </c>
      <c r="K32">
        <f>'Combined Monthly Data'!AM32</f>
        <v>0</v>
      </c>
      <c r="L32">
        <f>'Combined Monthly Data'!AO32</f>
        <v>0</v>
      </c>
      <c r="M32">
        <f>'Combined Monthly Data'!AS32</f>
        <v>1</v>
      </c>
      <c r="N32">
        <f>'Combined Monthly Data'!AT32</f>
        <v>0</v>
      </c>
      <c r="O32">
        <f>'Combined Monthly Data'!AW32</f>
        <v>0</v>
      </c>
      <c r="Q32" s="8">
        <f>'Wholesale OLS model'!$B$5</f>
        <v>-50878161.758948997</v>
      </c>
      <c r="R32" s="8">
        <f>-'Combined Monthly Data'!G32</f>
        <v>-407796.28006730147</v>
      </c>
      <c r="S32" s="8">
        <f>'Wholesale OLS model'!$B$6*D32</f>
        <v>3171.54736192772</v>
      </c>
      <c r="T32" s="8">
        <f>'Wholesale OLS model'!$B$7*E32</f>
        <v>14961251.87768166</v>
      </c>
      <c r="U32" s="8">
        <f>'Wholesale OLS model'!$B$8*F32</f>
        <v>84042201.932004392</v>
      </c>
      <c r="V32" s="8">
        <f>'Wholesale OLS model'!$B$9*G32</f>
        <v>-1745407.2341759056</v>
      </c>
      <c r="W32" s="8">
        <f>'Wholesale OLS model'!$B$10*H32</f>
        <v>9272931.8142328393</v>
      </c>
      <c r="X32" s="8">
        <f>'Wholesale OLS model'!$B$11*I32</f>
        <v>0</v>
      </c>
      <c r="Y32" s="8">
        <f>'Wholesale OLS model'!$B$12*J32</f>
        <v>0</v>
      </c>
      <c r="Z32" s="8">
        <f>'Wholesale OLS model'!$B$13*K32</f>
        <v>0</v>
      </c>
      <c r="AA32" s="8">
        <f>'Wholesale OLS model'!$B$14*L32</f>
        <v>0</v>
      </c>
      <c r="AB32" s="8">
        <f>'Wholesale OLS model'!$B$15*M32</f>
        <v>2370057.8473386201</v>
      </c>
      <c r="AC32" s="8">
        <f>'Wholesale OLS model'!$B$16*N32</f>
        <v>0</v>
      </c>
      <c r="AD32" s="8">
        <f>'Wholesale OLS model'!$B$17*O32</f>
        <v>0</v>
      </c>
      <c r="AE32" s="8">
        <f t="shared" si="1"/>
        <v>57618249.745427229</v>
      </c>
      <c r="AF32" s="101">
        <f t="shared" si="2"/>
        <v>2.6459019204569788E-2</v>
      </c>
    </row>
    <row r="33" spans="1:32" x14ac:dyDescent="0.2">
      <c r="A33" s="99">
        <f>'Combined Monthly Data'!A33</f>
        <v>40756</v>
      </c>
      <c r="B33">
        <f>'Combined Monthly Data'!B33</f>
        <v>2011</v>
      </c>
      <c r="C33" s="8">
        <f>'Combined Monthly Data'!C33</f>
        <v>52792264.950000003</v>
      </c>
      <c r="D33">
        <f>'Combined Monthly Data'!AB33</f>
        <v>4.0999999999999996</v>
      </c>
      <c r="E33">
        <f>'Combined Monthly Data'!AC33</f>
        <v>88.8</v>
      </c>
      <c r="F33">
        <f>'Combined Monthly Data'!AF33</f>
        <v>6778</v>
      </c>
      <c r="G33">
        <f>'Combined Monthly Data'!AI33</f>
        <v>32</v>
      </c>
      <c r="H33">
        <f>'Combined Monthly Data'!AY33</f>
        <v>22</v>
      </c>
      <c r="I33">
        <f>'Combined Monthly Data'!BA33</f>
        <v>0</v>
      </c>
      <c r="J33">
        <f>'Combined Monthly Data'!BB33</f>
        <v>0</v>
      </c>
      <c r="K33">
        <f>'Combined Monthly Data'!AM33</f>
        <v>0</v>
      </c>
      <c r="L33">
        <f>'Combined Monthly Data'!AO33</f>
        <v>0</v>
      </c>
      <c r="M33">
        <f>'Combined Monthly Data'!AS33</f>
        <v>0</v>
      </c>
      <c r="N33">
        <f>'Combined Monthly Data'!AT33</f>
        <v>1</v>
      </c>
      <c r="O33">
        <f>'Combined Monthly Data'!AW33</f>
        <v>0</v>
      </c>
      <c r="Q33" s="8">
        <f>'Wholesale OLS model'!$B$5</f>
        <v>-50878161.758948997</v>
      </c>
      <c r="R33" s="8">
        <f>-'Combined Monthly Data'!G33</f>
        <v>-423364.31906745268</v>
      </c>
      <c r="S33" s="8">
        <f>'Wholesale OLS model'!$B$6*D33</f>
        <v>65016.720919518251</v>
      </c>
      <c r="T33" s="8">
        <f>'Wholesale OLS model'!$B$7*E33</f>
        <v>8376791.7196603492</v>
      </c>
      <c r="U33" s="8">
        <f>'Wholesale OLS model'!$B$8*F33</f>
        <v>84324611.001010433</v>
      </c>
      <c r="V33" s="8">
        <f>'Wholesale OLS model'!$B$9*G33</f>
        <v>-1801710.6933428703</v>
      </c>
      <c r="W33" s="8">
        <f>'Wholesale OLS model'!$B$10*H33</f>
        <v>10200224.995656123</v>
      </c>
      <c r="X33" s="8">
        <f>'Wholesale OLS model'!$B$11*I33</f>
        <v>0</v>
      </c>
      <c r="Y33" s="8">
        <f>'Wholesale OLS model'!$B$12*J33</f>
        <v>0</v>
      </c>
      <c r="Z33" s="8">
        <f>'Wholesale OLS model'!$B$13*K33</f>
        <v>0</v>
      </c>
      <c r="AA33" s="8">
        <f>'Wholesale OLS model'!$B$14*L33</f>
        <v>0</v>
      </c>
      <c r="AB33" s="8">
        <f>'Wholesale OLS model'!$B$15*M33</f>
        <v>0</v>
      </c>
      <c r="AC33" s="8">
        <f>'Wholesale OLS model'!$B$16*N33</f>
        <v>3743904.46078429</v>
      </c>
      <c r="AD33" s="8">
        <f>'Wholesale OLS model'!$B$17*O33</f>
        <v>0</v>
      </c>
      <c r="AE33" s="8">
        <f t="shared" si="1"/>
        <v>53607312.126671389</v>
      </c>
      <c r="AF33" s="101">
        <f t="shared" si="2"/>
        <v>1.5438761292839468E-2</v>
      </c>
    </row>
    <row r="34" spans="1:32" x14ac:dyDescent="0.2">
      <c r="A34" s="99">
        <f>'Combined Monthly Data'!A34</f>
        <v>40787</v>
      </c>
      <c r="B34">
        <f>'Combined Monthly Data'!B34</f>
        <v>2011</v>
      </c>
      <c r="C34" s="8">
        <f>'Combined Monthly Data'!C34</f>
        <v>45672904.43</v>
      </c>
      <c r="D34">
        <f>'Combined Monthly Data'!AB34</f>
        <v>55</v>
      </c>
      <c r="E34">
        <f>'Combined Monthly Data'!AC34</f>
        <v>35.199999999999996</v>
      </c>
      <c r="F34">
        <f>'Combined Monthly Data'!AF34</f>
        <v>6734.6</v>
      </c>
      <c r="G34">
        <f>'Combined Monthly Data'!AI34</f>
        <v>33</v>
      </c>
      <c r="H34">
        <f>'Combined Monthly Data'!AY34</f>
        <v>21</v>
      </c>
      <c r="I34">
        <f>'Combined Monthly Data'!BA34</f>
        <v>0</v>
      </c>
      <c r="J34">
        <f>'Combined Monthly Data'!BB34</f>
        <v>0</v>
      </c>
      <c r="K34">
        <f>'Combined Monthly Data'!AM34</f>
        <v>0</v>
      </c>
      <c r="L34">
        <f>'Combined Monthly Data'!AO34</f>
        <v>0</v>
      </c>
      <c r="M34">
        <f>'Combined Monthly Data'!AS34</f>
        <v>0</v>
      </c>
      <c r="N34">
        <f>'Combined Monthly Data'!AT34</f>
        <v>0</v>
      </c>
      <c r="O34">
        <f>'Combined Monthly Data'!AW34</f>
        <v>0</v>
      </c>
      <c r="Q34" s="8">
        <f>'Wholesale OLS model'!$B$5</f>
        <v>-50878161.758948997</v>
      </c>
      <c r="R34" s="8">
        <f>-'Combined Monthly Data'!G34</f>
        <v>-438932.3580676039</v>
      </c>
      <c r="S34" s="8">
        <f>'Wholesale OLS model'!$B$6*D34</f>
        <v>872175.52453012299</v>
      </c>
      <c r="T34" s="8">
        <f>'Wholesale OLS model'!$B$7*E34</f>
        <v>3320530.0510365348</v>
      </c>
      <c r="U34" s="8">
        <f>'Wholesale OLS model'!$B$8*F34</f>
        <v>83784674.719298452</v>
      </c>
      <c r="V34" s="8">
        <f>'Wholesale OLS model'!$B$9*G34</f>
        <v>-1858014.1525098351</v>
      </c>
      <c r="W34" s="8">
        <f>'Wholesale OLS model'!$B$10*H34</f>
        <v>9736578.4049444813</v>
      </c>
      <c r="X34" s="8">
        <f>'Wholesale OLS model'!$B$11*I34</f>
        <v>0</v>
      </c>
      <c r="Y34" s="8">
        <f>'Wholesale OLS model'!$B$12*J34</f>
        <v>0</v>
      </c>
      <c r="Z34" s="8">
        <f>'Wholesale OLS model'!$B$13*K34</f>
        <v>0</v>
      </c>
      <c r="AA34" s="8">
        <f>'Wholesale OLS model'!$B$14*L34</f>
        <v>0</v>
      </c>
      <c r="AB34" s="8">
        <f>'Wholesale OLS model'!$B$15*M34</f>
        <v>0</v>
      </c>
      <c r="AC34" s="8">
        <f>'Wholesale OLS model'!$B$16*N34</f>
        <v>0</v>
      </c>
      <c r="AD34" s="8">
        <f>'Wholesale OLS model'!$B$17*O34</f>
        <v>0</v>
      </c>
      <c r="AE34" s="8">
        <f t="shared" si="1"/>
        <v>44538850.430283152</v>
      </c>
      <c r="AF34" s="101">
        <f t="shared" si="2"/>
        <v>2.482990766341435E-2</v>
      </c>
    </row>
    <row r="35" spans="1:32" x14ac:dyDescent="0.2">
      <c r="A35" s="99">
        <f>'Combined Monthly Data'!A35</f>
        <v>40817</v>
      </c>
      <c r="B35">
        <f>'Combined Monthly Data'!B35</f>
        <v>2011</v>
      </c>
      <c r="C35" s="8">
        <f>'Combined Monthly Data'!C35</f>
        <v>43177328.170000002</v>
      </c>
      <c r="D35">
        <f>'Combined Monthly Data'!AB35</f>
        <v>234.5</v>
      </c>
      <c r="E35">
        <f>'Combined Monthly Data'!AC35</f>
        <v>0</v>
      </c>
      <c r="F35">
        <f>'Combined Monthly Data'!AF35</f>
        <v>6702.2</v>
      </c>
      <c r="G35">
        <f>'Combined Monthly Data'!AI35</f>
        <v>34</v>
      </c>
      <c r="H35">
        <f>'Combined Monthly Data'!AY35</f>
        <v>20</v>
      </c>
      <c r="I35">
        <f>'Combined Monthly Data'!BA35</f>
        <v>0</v>
      </c>
      <c r="J35">
        <f>'Combined Monthly Data'!BB35</f>
        <v>0</v>
      </c>
      <c r="K35">
        <f>'Combined Monthly Data'!AM35</f>
        <v>0</v>
      </c>
      <c r="L35">
        <f>'Combined Monthly Data'!AO35</f>
        <v>0</v>
      </c>
      <c r="M35">
        <f>'Combined Monthly Data'!AS35</f>
        <v>0</v>
      </c>
      <c r="N35">
        <f>'Combined Monthly Data'!AT35</f>
        <v>0</v>
      </c>
      <c r="O35">
        <f>'Combined Monthly Data'!AW35</f>
        <v>0</v>
      </c>
      <c r="Q35" s="8">
        <f>'Wholesale OLS model'!$B$5</f>
        <v>-50878161.758948997</v>
      </c>
      <c r="R35" s="8">
        <f>-'Combined Monthly Data'!G35</f>
        <v>-454500.39706775517</v>
      </c>
      <c r="S35" s="8">
        <f>'Wholesale OLS model'!$B$6*D35</f>
        <v>3718639.2818602514</v>
      </c>
      <c r="T35" s="8">
        <f>'Wholesale OLS model'!$B$7*E35</f>
        <v>0</v>
      </c>
      <c r="U35" s="8">
        <f>'Wholesale OLS model'!$B$8*F35</f>
        <v>83381588.647236958</v>
      </c>
      <c r="V35" s="8">
        <f>'Wholesale OLS model'!$B$9*G35</f>
        <v>-1914317.6116767998</v>
      </c>
      <c r="W35" s="8">
        <f>'Wholesale OLS model'!$B$10*H35</f>
        <v>9272931.8142328393</v>
      </c>
      <c r="X35" s="8">
        <f>'Wholesale OLS model'!$B$11*I35</f>
        <v>0</v>
      </c>
      <c r="Y35" s="8">
        <f>'Wholesale OLS model'!$B$12*J35</f>
        <v>0</v>
      </c>
      <c r="Z35" s="8">
        <f>'Wholesale OLS model'!$B$13*K35</f>
        <v>0</v>
      </c>
      <c r="AA35" s="8">
        <f>'Wholesale OLS model'!$B$14*L35</f>
        <v>0</v>
      </c>
      <c r="AB35" s="8">
        <f>'Wholesale OLS model'!$B$15*M35</f>
        <v>0</v>
      </c>
      <c r="AC35" s="8">
        <f>'Wholesale OLS model'!$B$16*N35</f>
        <v>0</v>
      </c>
      <c r="AD35" s="8">
        <f>'Wholesale OLS model'!$B$17*O35</f>
        <v>0</v>
      </c>
      <c r="AE35" s="8">
        <f t="shared" si="1"/>
        <v>43126179.975636505</v>
      </c>
      <c r="AF35" s="101">
        <f t="shared" si="2"/>
        <v>1.184607675632774E-3</v>
      </c>
    </row>
    <row r="36" spans="1:32" x14ac:dyDescent="0.2">
      <c r="A36" s="99">
        <f>'Combined Monthly Data'!A36</f>
        <v>40848</v>
      </c>
      <c r="B36">
        <f>'Combined Monthly Data'!B36</f>
        <v>2011</v>
      </c>
      <c r="C36" s="8">
        <f>'Combined Monthly Data'!C36</f>
        <v>42120131.339999996</v>
      </c>
      <c r="D36">
        <f>'Combined Monthly Data'!AB36</f>
        <v>320.00000000000006</v>
      </c>
      <c r="E36">
        <f>'Combined Monthly Data'!AC36</f>
        <v>0</v>
      </c>
      <c r="F36">
        <f>'Combined Monthly Data'!AF36</f>
        <v>6669.4</v>
      </c>
      <c r="G36">
        <f>'Combined Monthly Data'!AI36</f>
        <v>35</v>
      </c>
      <c r="H36">
        <f>'Combined Monthly Data'!AY36</f>
        <v>22</v>
      </c>
      <c r="I36">
        <f>'Combined Monthly Data'!BA36</f>
        <v>0</v>
      </c>
      <c r="J36">
        <f>'Combined Monthly Data'!BB36</f>
        <v>0</v>
      </c>
      <c r="K36">
        <f>'Combined Monthly Data'!AM36</f>
        <v>0</v>
      </c>
      <c r="L36">
        <f>'Combined Monthly Data'!AO36</f>
        <v>0</v>
      </c>
      <c r="M36">
        <f>'Combined Monthly Data'!AS36</f>
        <v>0</v>
      </c>
      <c r="N36">
        <f>'Combined Monthly Data'!AT36</f>
        <v>0</v>
      </c>
      <c r="O36">
        <f>'Combined Monthly Data'!AW36</f>
        <v>1</v>
      </c>
      <c r="Q36" s="8">
        <f>'Wholesale OLS model'!$B$5</f>
        <v>-50878161.758948997</v>
      </c>
      <c r="R36" s="8">
        <f>-'Combined Monthly Data'!G36</f>
        <v>-470068.43606790644</v>
      </c>
      <c r="S36" s="8">
        <f>'Wholesale OLS model'!$B$6*D36</f>
        <v>5074475.7790843528</v>
      </c>
      <c r="T36" s="8">
        <f>'Wholesale OLS model'!$B$7*E36</f>
        <v>0</v>
      </c>
      <c r="U36" s="8">
        <f>'Wholesale OLS model'!$B$8*F36</f>
        <v>82973526.203915447</v>
      </c>
      <c r="V36" s="8">
        <f>'Wholesale OLS model'!$B$9*G36</f>
        <v>-1970621.0708437643</v>
      </c>
      <c r="W36" s="8">
        <f>'Wholesale OLS model'!$B$10*H36</f>
        <v>10200224.995656123</v>
      </c>
      <c r="X36" s="8">
        <f>'Wholesale OLS model'!$B$11*I36</f>
        <v>0</v>
      </c>
      <c r="Y36" s="8">
        <f>'Wholesale OLS model'!$B$12*J36</f>
        <v>0</v>
      </c>
      <c r="Z36" s="8">
        <f>'Wholesale OLS model'!$B$13*K36</f>
        <v>0</v>
      </c>
      <c r="AA36" s="8">
        <f>'Wholesale OLS model'!$B$14*L36</f>
        <v>0</v>
      </c>
      <c r="AB36" s="8">
        <f>'Wholesale OLS model'!$B$15*M36</f>
        <v>0</v>
      </c>
      <c r="AC36" s="8">
        <f>'Wholesale OLS model'!$B$16*N36</f>
        <v>0</v>
      </c>
      <c r="AD36" s="8">
        <f>'Wholesale OLS model'!$B$17*O36</f>
        <v>-1766353.8816768799</v>
      </c>
      <c r="AE36" s="8">
        <f t="shared" si="1"/>
        <v>43163021.831118375</v>
      </c>
      <c r="AF36" s="101">
        <f t="shared" si="2"/>
        <v>2.4759905962780861E-2</v>
      </c>
    </row>
    <row r="37" spans="1:32" x14ac:dyDescent="0.2">
      <c r="A37" s="99">
        <f>'Combined Monthly Data'!A37</f>
        <v>40878</v>
      </c>
      <c r="B37">
        <f>'Combined Monthly Data'!B37</f>
        <v>2011</v>
      </c>
      <c r="C37" s="8">
        <f>'Combined Monthly Data'!C37</f>
        <v>45929710.689999998</v>
      </c>
      <c r="D37">
        <f>'Combined Monthly Data'!AB37</f>
        <v>512</v>
      </c>
      <c r="E37">
        <f>'Combined Monthly Data'!AC37</f>
        <v>0</v>
      </c>
      <c r="F37">
        <f>'Combined Monthly Data'!AF37</f>
        <v>6668.3</v>
      </c>
      <c r="G37">
        <f>'Combined Monthly Data'!AI37</f>
        <v>36</v>
      </c>
      <c r="H37">
        <f>'Combined Monthly Data'!AY37</f>
        <v>20</v>
      </c>
      <c r="I37">
        <f>'Combined Monthly Data'!BA37</f>
        <v>0</v>
      </c>
      <c r="J37">
        <f>'Combined Monthly Data'!BB37</f>
        <v>0</v>
      </c>
      <c r="K37">
        <f>'Combined Monthly Data'!AM37</f>
        <v>0</v>
      </c>
      <c r="L37">
        <f>'Combined Monthly Data'!AO37</f>
        <v>0</v>
      </c>
      <c r="M37">
        <f>'Combined Monthly Data'!AS37</f>
        <v>0</v>
      </c>
      <c r="N37">
        <f>'Combined Monthly Data'!AT37</f>
        <v>0</v>
      </c>
      <c r="O37">
        <f>'Combined Monthly Data'!AW37</f>
        <v>0</v>
      </c>
      <c r="Q37" s="8">
        <f>'Wholesale OLS model'!$B$5</f>
        <v>-50878161.758948997</v>
      </c>
      <c r="R37" s="8">
        <f>-'Combined Monthly Data'!G37</f>
        <v>-485636.4750680576</v>
      </c>
      <c r="S37" s="8">
        <f>'Wholesale OLS model'!$B$6*D37</f>
        <v>8119161.2465349631</v>
      </c>
      <c r="T37" s="8">
        <f>'Wholesale OLS model'!$B$7*E37</f>
        <v>0</v>
      </c>
      <c r="U37" s="8">
        <f>'Wholesale OLS model'!$B$8*F37</f>
        <v>82959841.182950407</v>
      </c>
      <c r="V37" s="8">
        <f>'Wholesale OLS model'!$B$9*G37</f>
        <v>-2026924.5300107291</v>
      </c>
      <c r="W37" s="8">
        <f>'Wholesale OLS model'!$B$10*H37</f>
        <v>9272931.8142328393</v>
      </c>
      <c r="X37" s="8">
        <f>'Wholesale OLS model'!$B$11*I37</f>
        <v>0</v>
      </c>
      <c r="Y37" s="8">
        <f>'Wholesale OLS model'!$B$12*J37</f>
        <v>0</v>
      </c>
      <c r="Z37" s="8">
        <f>'Wholesale OLS model'!$B$13*K37</f>
        <v>0</v>
      </c>
      <c r="AA37" s="8">
        <f>'Wholesale OLS model'!$B$14*L37</f>
        <v>0</v>
      </c>
      <c r="AB37" s="8">
        <f>'Wholesale OLS model'!$B$15*M37</f>
        <v>0</v>
      </c>
      <c r="AC37" s="8">
        <f>'Wholesale OLS model'!$B$16*N37</f>
        <v>0</v>
      </c>
      <c r="AD37" s="8">
        <f>'Wholesale OLS model'!$B$17*O37</f>
        <v>0</v>
      </c>
      <c r="AE37" s="8">
        <f t="shared" si="1"/>
        <v>46961211.479690433</v>
      </c>
      <c r="AF37" s="101">
        <f t="shared" si="2"/>
        <v>2.245824705172849E-2</v>
      </c>
    </row>
    <row r="38" spans="1:32" x14ac:dyDescent="0.2">
      <c r="A38" s="99">
        <f>'Combined Monthly Data'!A38</f>
        <v>40909</v>
      </c>
      <c r="B38">
        <f>'Combined Monthly Data'!B38</f>
        <v>2012</v>
      </c>
      <c r="C38" s="8">
        <f>'Combined Monthly Data'!C38</f>
        <v>49800957.219999999</v>
      </c>
      <c r="D38">
        <f>'Combined Monthly Data'!AB38</f>
        <v>600.80000000000007</v>
      </c>
      <c r="E38">
        <f>'Combined Monthly Data'!AC38</f>
        <v>0</v>
      </c>
      <c r="F38">
        <f>'Combined Monthly Data'!AF38</f>
        <v>6635.9</v>
      </c>
      <c r="G38">
        <f>'Combined Monthly Data'!AI38</f>
        <v>37</v>
      </c>
      <c r="H38" s="16">
        <f>'Combined Monthly Data'!AY38</f>
        <v>21</v>
      </c>
      <c r="I38">
        <f>'Combined Monthly Data'!BA38</f>
        <v>0</v>
      </c>
      <c r="J38">
        <f>'Combined Monthly Data'!BB38</f>
        <v>0</v>
      </c>
      <c r="K38">
        <f>'Combined Monthly Data'!AM38</f>
        <v>1</v>
      </c>
      <c r="L38">
        <f>'Combined Monthly Data'!AO38</f>
        <v>0</v>
      </c>
      <c r="M38">
        <f>'Combined Monthly Data'!AS38</f>
        <v>0</v>
      </c>
      <c r="N38">
        <f>'Combined Monthly Data'!AT38</f>
        <v>0</v>
      </c>
      <c r="O38">
        <f>'Combined Monthly Data'!AW38</f>
        <v>0</v>
      </c>
      <c r="Q38" s="8">
        <f>'Wholesale OLS model'!$B$5</f>
        <v>-50878161.758948997</v>
      </c>
      <c r="R38" s="8">
        <f>-'Combined Monthly Data'!G38</f>
        <v>-471387.31542698713</v>
      </c>
      <c r="S38" s="8">
        <f>'Wholesale OLS model'!$B$6*D38</f>
        <v>9527328.2752308715</v>
      </c>
      <c r="T38" s="8">
        <f>'Wholesale OLS model'!$B$7*E38</f>
        <v>0</v>
      </c>
      <c r="U38" s="8">
        <f>'Wholesale OLS model'!$B$8*F38</f>
        <v>82556755.110888913</v>
      </c>
      <c r="V38" s="8">
        <f>'Wholesale OLS model'!$B$9*G38</f>
        <v>-2083227.9891776938</v>
      </c>
      <c r="W38" s="8">
        <f>'Wholesale OLS model'!$B$10*H38</f>
        <v>9736578.4049444813</v>
      </c>
      <c r="X38" s="8">
        <f>'Wholesale OLS model'!$B$11*I38</f>
        <v>0</v>
      </c>
      <c r="Y38" s="8">
        <f>'Wholesale OLS model'!$B$12*J38</f>
        <v>0</v>
      </c>
      <c r="Z38" s="8">
        <f>'Wholesale OLS model'!$B$13*K38</f>
        <v>2647304.3437043098</v>
      </c>
      <c r="AA38" s="8">
        <f>'Wholesale OLS model'!$B$14*L38</f>
        <v>0</v>
      </c>
      <c r="AB38" s="8">
        <f>'Wholesale OLS model'!$B$15*M38</f>
        <v>0</v>
      </c>
      <c r="AC38" s="8">
        <f>'Wholesale OLS model'!$B$16*N38</f>
        <v>0</v>
      </c>
      <c r="AD38" s="8">
        <f>'Wholesale OLS model'!$B$17*O38</f>
        <v>0</v>
      </c>
      <c r="AE38" s="8">
        <f t="shared" si="1"/>
        <v>51035189.071214892</v>
      </c>
      <c r="AF38" s="101">
        <f t="shared" si="2"/>
        <v>2.4783295745954604E-2</v>
      </c>
    </row>
    <row r="39" spans="1:32" x14ac:dyDescent="0.2">
      <c r="A39" s="99">
        <f>'Combined Monthly Data'!A39</f>
        <v>40940</v>
      </c>
      <c r="B39">
        <f>'Combined Monthly Data'!B39</f>
        <v>2012</v>
      </c>
      <c r="C39" s="8">
        <f>'Combined Monthly Data'!C39</f>
        <v>46640086</v>
      </c>
      <c r="D39">
        <f>'Combined Monthly Data'!AB39</f>
        <v>533.20000000000005</v>
      </c>
      <c r="E39">
        <f>'Combined Monthly Data'!AC39</f>
        <v>0</v>
      </c>
      <c r="F39">
        <f>'Combined Monthly Data'!AF39</f>
        <v>6598</v>
      </c>
      <c r="G39">
        <f>'Combined Monthly Data'!AI39</f>
        <v>38</v>
      </c>
      <c r="H39" s="16">
        <f>'Combined Monthly Data'!AY39</f>
        <v>20</v>
      </c>
      <c r="I39">
        <f>'Combined Monthly Data'!BA39</f>
        <v>0</v>
      </c>
      <c r="J39">
        <f>'Combined Monthly Data'!BB39</f>
        <v>0</v>
      </c>
      <c r="K39">
        <f>'Combined Monthly Data'!AM39</f>
        <v>0</v>
      </c>
      <c r="L39">
        <f>'Combined Monthly Data'!AO39</f>
        <v>0</v>
      </c>
      <c r="M39">
        <f>'Combined Monthly Data'!AS39</f>
        <v>0</v>
      </c>
      <c r="N39">
        <f>'Combined Monthly Data'!AT39</f>
        <v>0</v>
      </c>
      <c r="O39">
        <f>'Combined Monthly Data'!AW39</f>
        <v>0</v>
      </c>
      <c r="Q39" s="8">
        <f>'Wholesale OLS model'!$B$5</f>
        <v>-50878161.758948997</v>
      </c>
      <c r="R39" s="8">
        <f>-'Combined Monthly Data'!G39</f>
        <v>-485148.13972894981</v>
      </c>
      <c r="S39" s="8">
        <f>'Wholesale OLS model'!$B$6*D39</f>
        <v>8455345.2668993026</v>
      </c>
      <c r="T39" s="8">
        <f>'Wholesale OLS model'!$B$7*E39</f>
        <v>0</v>
      </c>
      <c r="U39" s="8">
        <f>'Wholesale OLS model'!$B$8*F39</f>
        <v>82085243.934002191</v>
      </c>
      <c r="V39" s="8">
        <f>'Wholesale OLS model'!$B$9*G39</f>
        <v>-2139531.4483446586</v>
      </c>
      <c r="W39" s="8">
        <f>'Wholesale OLS model'!$B$10*H39</f>
        <v>9272931.8142328393</v>
      </c>
      <c r="X39" s="8">
        <f>'Wholesale OLS model'!$B$11*I39</f>
        <v>0</v>
      </c>
      <c r="Y39" s="8">
        <f>'Wholesale OLS model'!$B$12*J39</f>
        <v>0</v>
      </c>
      <c r="Z39" s="8">
        <f>'Wholesale OLS model'!$B$13*K39</f>
        <v>0</v>
      </c>
      <c r="AA39" s="8">
        <f>'Wholesale OLS model'!$B$14*L39</f>
        <v>0</v>
      </c>
      <c r="AB39" s="8">
        <f>'Wholesale OLS model'!$B$15*M39</f>
        <v>0</v>
      </c>
      <c r="AC39" s="8">
        <f>'Wholesale OLS model'!$B$16*N39</f>
        <v>0</v>
      </c>
      <c r="AD39" s="8">
        <f>'Wholesale OLS model'!$B$17*O39</f>
        <v>0</v>
      </c>
      <c r="AE39" s="8">
        <f t="shared" si="1"/>
        <v>46310679.668111734</v>
      </c>
      <c r="AF39" s="101">
        <f t="shared" si="2"/>
        <v>7.0627299419702165E-3</v>
      </c>
    </row>
    <row r="40" spans="1:32" x14ac:dyDescent="0.2">
      <c r="A40" s="99">
        <f>'Combined Monthly Data'!A40</f>
        <v>40969</v>
      </c>
      <c r="B40">
        <f>'Combined Monthly Data'!B40</f>
        <v>2012</v>
      </c>
      <c r="C40" s="8">
        <f>'Combined Monthly Data'!C40</f>
        <v>45723583</v>
      </c>
      <c r="D40">
        <f>'Combined Monthly Data'!AB40</f>
        <v>333.80000000000007</v>
      </c>
      <c r="E40">
        <f>'Combined Monthly Data'!AC40</f>
        <v>0</v>
      </c>
      <c r="F40">
        <f>'Combined Monthly Data'!AF40</f>
        <v>6569.8</v>
      </c>
      <c r="G40">
        <f>'Combined Monthly Data'!AI40</f>
        <v>39</v>
      </c>
      <c r="H40" s="16">
        <f>'Combined Monthly Data'!AY40</f>
        <v>22</v>
      </c>
      <c r="I40">
        <f>'Combined Monthly Data'!BA40</f>
        <v>0</v>
      </c>
      <c r="J40">
        <f>'Combined Monthly Data'!BB40</f>
        <v>0</v>
      </c>
      <c r="K40">
        <f>'Combined Monthly Data'!AM40</f>
        <v>0</v>
      </c>
      <c r="L40">
        <f>'Combined Monthly Data'!AO40</f>
        <v>1</v>
      </c>
      <c r="M40">
        <f>'Combined Monthly Data'!AS40</f>
        <v>0</v>
      </c>
      <c r="N40">
        <f>'Combined Monthly Data'!AT40</f>
        <v>0</v>
      </c>
      <c r="O40">
        <f>'Combined Monthly Data'!AW40</f>
        <v>0</v>
      </c>
      <c r="Q40" s="8">
        <f>'Wholesale OLS model'!$B$5</f>
        <v>-50878161.758948997</v>
      </c>
      <c r="R40" s="8">
        <f>-'Combined Monthly Data'!G40</f>
        <v>-498908.96403091244</v>
      </c>
      <c r="S40" s="8">
        <f>'Wholesale OLS model'!$B$6*D40</f>
        <v>5293312.547057366</v>
      </c>
      <c r="T40" s="8">
        <f>'Wholesale OLS model'!$B$7*E40</f>
        <v>0</v>
      </c>
      <c r="U40" s="8">
        <f>'Wholesale OLS model'!$B$8*F40</f>
        <v>81734409.760170907</v>
      </c>
      <c r="V40" s="8">
        <f>'Wholesale OLS model'!$B$9*G40</f>
        <v>-2195834.9075116231</v>
      </c>
      <c r="W40" s="8">
        <f>'Wholesale OLS model'!$B$10*H40</f>
        <v>10200224.995656123</v>
      </c>
      <c r="X40" s="8">
        <f>'Wholesale OLS model'!$B$11*I40</f>
        <v>0</v>
      </c>
      <c r="Y40" s="8">
        <f>'Wholesale OLS model'!$B$12*J40</f>
        <v>0</v>
      </c>
      <c r="Z40" s="8">
        <f>'Wholesale OLS model'!$B$13*K40</f>
        <v>0</v>
      </c>
      <c r="AA40" s="8">
        <f>'Wholesale OLS model'!$B$14*L40</f>
        <v>1640135.6856942801</v>
      </c>
      <c r="AB40" s="8">
        <f>'Wholesale OLS model'!$B$15*M40</f>
        <v>0</v>
      </c>
      <c r="AC40" s="8">
        <f>'Wholesale OLS model'!$B$16*N40</f>
        <v>0</v>
      </c>
      <c r="AD40" s="8">
        <f>'Wholesale OLS model'!$B$17*O40</f>
        <v>0</v>
      </c>
      <c r="AE40" s="8">
        <f t="shared" si="1"/>
        <v>45295177.358087145</v>
      </c>
      <c r="AF40" s="101">
        <f t="shared" si="2"/>
        <v>9.3694678720356445E-3</v>
      </c>
    </row>
    <row r="41" spans="1:32" x14ac:dyDescent="0.2">
      <c r="A41" s="99">
        <f>'Combined Monthly Data'!A41</f>
        <v>41000</v>
      </c>
      <c r="B41">
        <f>'Combined Monthly Data'!B41</f>
        <v>2012</v>
      </c>
      <c r="C41" s="8">
        <f>'Combined Monthly Data'!C41</f>
        <v>42394150</v>
      </c>
      <c r="D41">
        <f>'Combined Monthly Data'!AB41</f>
        <v>341.4</v>
      </c>
      <c r="E41">
        <f>'Combined Monthly Data'!AC41</f>
        <v>0</v>
      </c>
      <c r="F41">
        <f>'Combined Monthly Data'!AF41</f>
        <v>6603.3</v>
      </c>
      <c r="G41">
        <f>'Combined Monthly Data'!AI41</f>
        <v>40</v>
      </c>
      <c r="H41" s="16">
        <f>'Combined Monthly Data'!AY41</f>
        <v>19</v>
      </c>
      <c r="I41">
        <f>'Combined Monthly Data'!BA41</f>
        <v>0</v>
      </c>
      <c r="J41">
        <f>'Combined Monthly Data'!BB41</f>
        <v>0</v>
      </c>
      <c r="K41">
        <f>'Combined Monthly Data'!AM41</f>
        <v>0</v>
      </c>
      <c r="L41">
        <f>'Combined Monthly Data'!AO41</f>
        <v>0</v>
      </c>
      <c r="M41">
        <f>'Combined Monthly Data'!AS41</f>
        <v>0</v>
      </c>
      <c r="N41">
        <f>'Combined Monthly Data'!AT41</f>
        <v>0</v>
      </c>
      <c r="O41">
        <f>'Combined Monthly Data'!AW41</f>
        <v>0</v>
      </c>
      <c r="Q41" s="8">
        <f>'Wholesale OLS model'!$B$5</f>
        <v>-50878161.758948997</v>
      </c>
      <c r="R41" s="8">
        <f>-'Combined Monthly Data'!G41</f>
        <v>-512669.788332875</v>
      </c>
      <c r="S41" s="8">
        <f>'Wholesale OLS model'!$B$6*D41</f>
        <v>5413831.3468106175</v>
      </c>
      <c r="T41" s="8">
        <f>'Wholesale OLS model'!$B$7*E41</f>
        <v>0</v>
      </c>
      <c r="U41" s="8">
        <f>'Wholesale OLS model'!$B$8*F41</f>
        <v>82151180.853197441</v>
      </c>
      <c r="V41" s="8">
        <f>'Wholesale OLS model'!$B$9*G41</f>
        <v>-2252138.3666785881</v>
      </c>
      <c r="W41" s="8">
        <f>'Wholesale OLS model'!$B$10*H41</f>
        <v>8809285.2235211972</v>
      </c>
      <c r="X41" s="8">
        <f>'Wholesale OLS model'!$B$11*I41</f>
        <v>0</v>
      </c>
      <c r="Y41" s="8">
        <f>'Wholesale OLS model'!$B$12*J41</f>
        <v>0</v>
      </c>
      <c r="Z41" s="8">
        <f>'Wholesale OLS model'!$B$13*K41</f>
        <v>0</v>
      </c>
      <c r="AA41" s="8">
        <f>'Wholesale OLS model'!$B$14*L41</f>
        <v>0</v>
      </c>
      <c r="AB41" s="8">
        <f>'Wholesale OLS model'!$B$15*M41</f>
        <v>0</v>
      </c>
      <c r="AC41" s="8">
        <f>'Wholesale OLS model'!$B$16*N41</f>
        <v>0</v>
      </c>
      <c r="AD41" s="8">
        <f>'Wholesale OLS model'!$B$17*O41</f>
        <v>0</v>
      </c>
      <c r="AE41" s="8">
        <f t="shared" si="1"/>
        <v>42731327.509568796</v>
      </c>
      <c r="AF41" s="101">
        <f t="shared" si="2"/>
        <v>7.9533970976843633E-3</v>
      </c>
    </row>
    <row r="42" spans="1:32" x14ac:dyDescent="0.2">
      <c r="A42" s="99">
        <f>'Combined Monthly Data'!A42</f>
        <v>41030</v>
      </c>
      <c r="B42">
        <f>'Combined Monthly Data'!B42</f>
        <v>2012</v>
      </c>
      <c r="C42" s="8">
        <f>'Combined Monthly Data'!C42</f>
        <v>44171430</v>
      </c>
      <c r="D42">
        <f>'Combined Monthly Data'!AB42</f>
        <v>82.300000000000011</v>
      </c>
      <c r="E42">
        <f>'Combined Monthly Data'!AC42</f>
        <v>28.9</v>
      </c>
      <c r="F42">
        <f>'Combined Monthly Data'!AF42</f>
        <v>6658.1</v>
      </c>
      <c r="G42">
        <f>'Combined Monthly Data'!AI42</f>
        <v>41</v>
      </c>
      <c r="H42" s="16">
        <f>'Combined Monthly Data'!AY42</f>
        <v>22</v>
      </c>
      <c r="I42">
        <f>'Combined Monthly Data'!BA42</f>
        <v>0</v>
      </c>
      <c r="J42">
        <f>'Combined Monthly Data'!BB42</f>
        <v>0</v>
      </c>
      <c r="K42">
        <f>'Combined Monthly Data'!AM42</f>
        <v>0</v>
      </c>
      <c r="L42">
        <f>'Combined Monthly Data'!AO42</f>
        <v>0</v>
      </c>
      <c r="M42">
        <f>'Combined Monthly Data'!AS42</f>
        <v>0</v>
      </c>
      <c r="N42">
        <f>'Combined Monthly Data'!AT42</f>
        <v>0</v>
      </c>
      <c r="O42">
        <f>'Combined Monthly Data'!AW42</f>
        <v>0</v>
      </c>
      <c r="Q42" s="8">
        <f>'Wholesale OLS model'!$B$5</f>
        <v>-50878161.758948997</v>
      </c>
      <c r="R42" s="8">
        <f>-'Combined Monthly Data'!G42</f>
        <v>-526430.61263483763</v>
      </c>
      <c r="S42" s="8">
        <f>'Wholesale OLS model'!$B$6*D42</f>
        <v>1305091.7394332569</v>
      </c>
      <c r="T42" s="8">
        <f>'Wholesale OLS model'!$B$7*E42</f>
        <v>2726230.6384930643</v>
      </c>
      <c r="U42" s="8">
        <f>'Wholesale OLS model'!$B$8*F42</f>
        <v>82832943.71581994</v>
      </c>
      <c r="V42" s="8">
        <f>'Wholesale OLS model'!$B$9*G42</f>
        <v>-2308441.8258455526</v>
      </c>
      <c r="W42" s="8">
        <f>'Wholesale OLS model'!$B$10*H42</f>
        <v>10200224.995656123</v>
      </c>
      <c r="X42" s="8">
        <f>'Wholesale OLS model'!$B$11*I42</f>
        <v>0</v>
      </c>
      <c r="Y42" s="8">
        <f>'Wholesale OLS model'!$B$12*J42</f>
        <v>0</v>
      </c>
      <c r="Z42" s="8">
        <f>'Wholesale OLS model'!$B$13*K42</f>
        <v>0</v>
      </c>
      <c r="AA42" s="8">
        <f>'Wholesale OLS model'!$B$14*L42</f>
        <v>0</v>
      </c>
      <c r="AB42" s="8">
        <f>'Wholesale OLS model'!$B$15*M42</f>
        <v>0</v>
      </c>
      <c r="AC42" s="8">
        <f>'Wholesale OLS model'!$B$16*N42</f>
        <v>0</v>
      </c>
      <c r="AD42" s="8">
        <f>'Wholesale OLS model'!$B$17*O42</f>
        <v>0</v>
      </c>
      <c r="AE42" s="8">
        <f t="shared" si="1"/>
        <v>43351456.891972996</v>
      </c>
      <c r="AF42" s="101">
        <f t="shared" si="2"/>
        <v>1.8563426812919656E-2</v>
      </c>
    </row>
    <row r="43" spans="1:32" x14ac:dyDescent="0.2">
      <c r="A43" s="99">
        <f>'Combined Monthly Data'!A43</f>
        <v>41061</v>
      </c>
      <c r="B43">
        <f>'Combined Monthly Data'!B43</f>
        <v>2012</v>
      </c>
      <c r="C43" s="8">
        <f>'Combined Monthly Data'!C43</f>
        <v>47092604</v>
      </c>
      <c r="D43">
        <f>'Combined Monthly Data'!AB43</f>
        <v>31.599999999999998</v>
      </c>
      <c r="E43">
        <f>'Combined Monthly Data'!AC43</f>
        <v>64.099999999999994</v>
      </c>
      <c r="F43">
        <f>'Combined Monthly Data'!AF43</f>
        <v>6737.2</v>
      </c>
      <c r="G43">
        <f>'Combined Monthly Data'!AI43</f>
        <v>42</v>
      </c>
      <c r="H43" s="16">
        <f>'Combined Monthly Data'!AY43</f>
        <v>21</v>
      </c>
      <c r="I43">
        <f>'Combined Monthly Data'!BA43</f>
        <v>0</v>
      </c>
      <c r="J43">
        <f>'Combined Monthly Data'!BB43</f>
        <v>0</v>
      </c>
      <c r="K43">
        <f>'Combined Monthly Data'!AM43</f>
        <v>0</v>
      </c>
      <c r="L43">
        <f>'Combined Monthly Data'!AO43</f>
        <v>0</v>
      </c>
      <c r="M43">
        <f>'Combined Monthly Data'!AS43</f>
        <v>0</v>
      </c>
      <c r="N43">
        <f>'Combined Monthly Data'!AT43</f>
        <v>0</v>
      </c>
      <c r="O43">
        <f>'Combined Monthly Data'!AW43</f>
        <v>0</v>
      </c>
      <c r="Q43" s="8">
        <f>'Wholesale OLS model'!$B$5</f>
        <v>-50878161.758948997</v>
      </c>
      <c r="R43" s="8">
        <f>-'Combined Monthly Data'!G43</f>
        <v>-540191.43693680025</v>
      </c>
      <c r="S43" s="8">
        <f>'Wholesale OLS model'!$B$6*D43</f>
        <v>501104.4831845797</v>
      </c>
      <c r="T43" s="8">
        <f>'Wholesale OLS model'!$B$7*E43</f>
        <v>6046760.6895295987</v>
      </c>
      <c r="U43" s="8">
        <f>'Wholesale OLS model'!$B$8*F43</f>
        <v>83817021.132488564</v>
      </c>
      <c r="V43" s="8">
        <f>'Wholesale OLS model'!$B$9*G43</f>
        <v>-2364745.2850125171</v>
      </c>
      <c r="W43" s="8">
        <f>'Wholesale OLS model'!$B$10*H43</f>
        <v>9736578.4049444813</v>
      </c>
      <c r="X43" s="8">
        <f>'Wholesale OLS model'!$B$11*I43</f>
        <v>0</v>
      </c>
      <c r="Y43" s="8">
        <f>'Wholesale OLS model'!$B$12*J43</f>
        <v>0</v>
      </c>
      <c r="Z43" s="8">
        <f>'Wholesale OLS model'!$B$13*K43</f>
        <v>0</v>
      </c>
      <c r="AA43" s="8">
        <f>'Wholesale OLS model'!$B$14*L43</f>
        <v>0</v>
      </c>
      <c r="AB43" s="8">
        <f>'Wholesale OLS model'!$B$15*M43</f>
        <v>0</v>
      </c>
      <c r="AC43" s="8">
        <f>'Wholesale OLS model'!$B$16*N43</f>
        <v>0</v>
      </c>
      <c r="AD43" s="8">
        <f>'Wholesale OLS model'!$B$17*O43</f>
        <v>0</v>
      </c>
      <c r="AE43" s="8">
        <f t="shared" si="1"/>
        <v>46318366.229248896</v>
      </c>
      <c r="AF43" s="101">
        <f t="shared" si="2"/>
        <v>1.6440750882051536E-2</v>
      </c>
    </row>
    <row r="44" spans="1:32" x14ac:dyDescent="0.2">
      <c r="A44" s="99">
        <f>'Combined Monthly Data'!A44</f>
        <v>41091</v>
      </c>
      <c r="B44">
        <f>'Combined Monthly Data'!B44</f>
        <v>2012</v>
      </c>
      <c r="C44" s="8">
        <f>'Combined Monthly Data'!C44</f>
        <v>56616415</v>
      </c>
      <c r="D44">
        <f>'Combined Monthly Data'!AB44</f>
        <v>0</v>
      </c>
      <c r="E44">
        <f>'Combined Monthly Data'!AC44</f>
        <v>152.5</v>
      </c>
      <c r="F44">
        <f>'Combined Monthly Data'!AF44</f>
        <v>6778.6</v>
      </c>
      <c r="G44">
        <f>'Combined Monthly Data'!AI44</f>
        <v>43</v>
      </c>
      <c r="H44" s="16">
        <f>'Combined Monthly Data'!AY44</f>
        <v>21</v>
      </c>
      <c r="I44">
        <f>'Combined Monthly Data'!BA44</f>
        <v>0</v>
      </c>
      <c r="J44">
        <f>'Combined Monthly Data'!BB44</f>
        <v>0</v>
      </c>
      <c r="K44">
        <f>'Combined Monthly Data'!AM44</f>
        <v>0</v>
      </c>
      <c r="L44">
        <f>'Combined Monthly Data'!AO44</f>
        <v>0</v>
      </c>
      <c r="M44">
        <f>'Combined Monthly Data'!AS44</f>
        <v>1</v>
      </c>
      <c r="N44">
        <f>'Combined Monthly Data'!AT44</f>
        <v>0</v>
      </c>
      <c r="O44">
        <f>'Combined Monthly Data'!AW44</f>
        <v>0</v>
      </c>
      <c r="Q44" s="8">
        <f>'Wholesale OLS model'!$B$5</f>
        <v>-50878161.758948997</v>
      </c>
      <c r="R44" s="8">
        <f>-'Combined Monthly Data'!G44</f>
        <v>-553952.26123876299</v>
      </c>
      <c r="S44" s="8">
        <f>'Wholesale OLS model'!$B$6*D44</f>
        <v>0</v>
      </c>
      <c r="T44" s="8">
        <f>'Wholesale OLS model'!$B$7*E44</f>
        <v>14385819.113155443</v>
      </c>
      <c r="U44" s="8">
        <f>'Wholesale OLS model'!$B$8*F44</f>
        <v>84332075.557900459</v>
      </c>
      <c r="V44" s="8">
        <f>'Wholesale OLS model'!$B$9*G44</f>
        <v>-2421048.7441794821</v>
      </c>
      <c r="W44" s="8">
        <f>'Wholesale OLS model'!$B$10*H44</f>
        <v>9736578.4049444813</v>
      </c>
      <c r="X44" s="8">
        <f>'Wholesale OLS model'!$B$11*I44</f>
        <v>0</v>
      </c>
      <c r="Y44" s="8">
        <f>'Wholesale OLS model'!$B$12*J44</f>
        <v>0</v>
      </c>
      <c r="Z44" s="8">
        <f>'Wholesale OLS model'!$B$13*K44</f>
        <v>0</v>
      </c>
      <c r="AA44" s="8">
        <f>'Wholesale OLS model'!$B$14*L44</f>
        <v>0</v>
      </c>
      <c r="AB44" s="8">
        <f>'Wholesale OLS model'!$B$15*M44</f>
        <v>2370057.8473386201</v>
      </c>
      <c r="AC44" s="8">
        <f>'Wholesale OLS model'!$B$16*N44</f>
        <v>0</v>
      </c>
      <c r="AD44" s="8">
        <f>'Wholesale OLS model'!$B$17*O44</f>
        <v>0</v>
      </c>
      <c r="AE44" s="8">
        <f t="shared" si="1"/>
        <v>56971368.158971764</v>
      </c>
      <c r="AF44" s="101">
        <f t="shared" si="2"/>
        <v>6.2694389775785724E-3</v>
      </c>
    </row>
    <row r="45" spans="1:32" x14ac:dyDescent="0.2">
      <c r="A45" s="99">
        <f>'Combined Monthly Data'!A45</f>
        <v>41122</v>
      </c>
      <c r="B45">
        <f>'Combined Monthly Data'!B45</f>
        <v>2012</v>
      </c>
      <c r="C45" s="8">
        <f>'Combined Monthly Data'!C45</f>
        <v>53263093</v>
      </c>
      <c r="D45">
        <f>'Combined Monthly Data'!AB45</f>
        <v>6</v>
      </c>
      <c r="E45">
        <f>'Combined Monthly Data'!AC45</f>
        <v>76.600000000000009</v>
      </c>
      <c r="F45">
        <f>'Combined Monthly Data'!AF45</f>
        <v>6797.9</v>
      </c>
      <c r="G45">
        <f>'Combined Monthly Data'!AI45</f>
        <v>44</v>
      </c>
      <c r="H45" s="16">
        <f>'Combined Monthly Data'!AY45</f>
        <v>22</v>
      </c>
      <c r="I45">
        <f>'Combined Monthly Data'!BA45</f>
        <v>0</v>
      </c>
      <c r="J45">
        <f>'Combined Monthly Data'!BB45</f>
        <v>0</v>
      </c>
      <c r="K45">
        <f>'Combined Monthly Data'!AM45</f>
        <v>0</v>
      </c>
      <c r="L45">
        <f>'Combined Monthly Data'!AO45</f>
        <v>0</v>
      </c>
      <c r="M45">
        <f>'Combined Monthly Data'!AS45</f>
        <v>0</v>
      </c>
      <c r="N45">
        <f>'Combined Monthly Data'!AT45</f>
        <v>1</v>
      </c>
      <c r="O45">
        <f>'Combined Monthly Data'!AW45</f>
        <v>0</v>
      </c>
      <c r="Q45" s="8">
        <f>'Wholesale OLS model'!$B$5</f>
        <v>-50878161.758948997</v>
      </c>
      <c r="R45" s="8">
        <f>-'Combined Monthly Data'!G45</f>
        <v>-567713.08554072562</v>
      </c>
      <c r="S45" s="8">
        <f>'Wholesale OLS model'!$B$6*D45</f>
        <v>95146.420857831603</v>
      </c>
      <c r="T45" s="8">
        <f>'Wholesale OLS model'!$B$7*E45</f>
        <v>7225926.1906079147</v>
      </c>
      <c r="U45" s="8">
        <f>'Wholesale OLS model'!$B$8*F45</f>
        <v>84572185.471196339</v>
      </c>
      <c r="V45" s="8">
        <f>'Wholesale OLS model'!$B$9*G45</f>
        <v>-2477352.2033464466</v>
      </c>
      <c r="W45" s="8">
        <f>'Wholesale OLS model'!$B$10*H45</f>
        <v>10200224.995656123</v>
      </c>
      <c r="X45" s="8">
        <f>'Wholesale OLS model'!$B$11*I45</f>
        <v>0</v>
      </c>
      <c r="Y45" s="8">
        <f>'Wholesale OLS model'!$B$12*J45</f>
        <v>0</v>
      </c>
      <c r="Z45" s="8">
        <f>'Wholesale OLS model'!$B$13*K45</f>
        <v>0</v>
      </c>
      <c r="AA45" s="8">
        <f>'Wholesale OLS model'!$B$14*L45</f>
        <v>0</v>
      </c>
      <c r="AB45" s="8">
        <f>'Wholesale OLS model'!$B$15*M45</f>
        <v>0</v>
      </c>
      <c r="AC45" s="8">
        <f>'Wholesale OLS model'!$B$16*N45</f>
        <v>3743904.46078429</v>
      </c>
      <c r="AD45" s="8">
        <f>'Wholesale OLS model'!$B$17*O45</f>
        <v>0</v>
      </c>
      <c r="AE45" s="8">
        <f t="shared" si="1"/>
        <v>51914160.491266325</v>
      </c>
      <c r="AF45" s="101">
        <f t="shared" si="2"/>
        <v>2.5325838826777764E-2</v>
      </c>
    </row>
    <row r="46" spans="1:32" x14ac:dyDescent="0.2">
      <c r="A46" s="99">
        <f>'Combined Monthly Data'!A46</f>
        <v>41153</v>
      </c>
      <c r="B46">
        <f>'Combined Monthly Data'!B46</f>
        <v>2012</v>
      </c>
      <c r="C46" s="8">
        <f>'Combined Monthly Data'!C46</f>
        <v>44675834</v>
      </c>
      <c r="D46">
        <f>'Combined Monthly Data'!AB46</f>
        <v>86.1</v>
      </c>
      <c r="E46">
        <f>'Combined Monthly Data'!AC46</f>
        <v>28.900000000000002</v>
      </c>
      <c r="F46">
        <f>'Combined Monthly Data'!AF46</f>
        <v>6763.1</v>
      </c>
      <c r="G46">
        <f>'Combined Monthly Data'!AI46</f>
        <v>45</v>
      </c>
      <c r="H46" s="16">
        <f>'Combined Monthly Data'!AY46</f>
        <v>19</v>
      </c>
      <c r="I46">
        <f>'Combined Monthly Data'!BA46</f>
        <v>0</v>
      </c>
      <c r="J46">
        <f>'Combined Monthly Data'!BB46</f>
        <v>0</v>
      </c>
      <c r="K46">
        <f>'Combined Monthly Data'!AM46</f>
        <v>0</v>
      </c>
      <c r="L46">
        <f>'Combined Monthly Data'!AO46</f>
        <v>0</v>
      </c>
      <c r="M46">
        <f>'Combined Monthly Data'!AS46</f>
        <v>0</v>
      </c>
      <c r="N46">
        <f>'Combined Monthly Data'!AT46</f>
        <v>0</v>
      </c>
      <c r="O46">
        <f>'Combined Monthly Data'!AW46</f>
        <v>0</v>
      </c>
      <c r="Q46" s="8">
        <f>'Wholesale OLS model'!$B$5</f>
        <v>-50878161.758948997</v>
      </c>
      <c r="R46" s="8">
        <f>-'Combined Monthly Data'!G46</f>
        <v>-581473.90984268812</v>
      </c>
      <c r="S46" s="8">
        <f>'Wholesale OLS model'!$B$6*D46</f>
        <v>1365351.1393098834</v>
      </c>
      <c r="T46" s="8">
        <f>'Wholesale OLS model'!$B$7*E46</f>
        <v>2726230.6384930643</v>
      </c>
      <c r="U46" s="8">
        <f>'Wholesale OLS model'!$B$8*F46</f>
        <v>84139241.171574757</v>
      </c>
      <c r="V46" s="8">
        <f>'Wholesale OLS model'!$B$9*G46</f>
        <v>-2533655.6625134116</v>
      </c>
      <c r="W46" s="8">
        <f>'Wholesale OLS model'!$B$10*H46</f>
        <v>8809285.2235211972</v>
      </c>
      <c r="X46" s="8">
        <f>'Wholesale OLS model'!$B$11*I46</f>
        <v>0</v>
      </c>
      <c r="Y46" s="8">
        <f>'Wholesale OLS model'!$B$12*J46</f>
        <v>0</v>
      </c>
      <c r="Z46" s="8">
        <f>'Wholesale OLS model'!$B$13*K46</f>
        <v>0</v>
      </c>
      <c r="AA46" s="8">
        <f>'Wholesale OLS model'!$B$14*L46</f>
        <v>0</v>
      </c>
      <c r="AB46" s="8">
        <f>'Wholesale OLS model'!$B$15*M46</f>
        <v>0</v>
      </c>
      <c r="AC46" s="8">
        <f>'Wholesale OLS model'!$B$16*N46</f>
        <v>0</v>
      </c>
      <c r="AD46" s="8">
        <f>'Wholesale OLS model'!$B$17*O46</f>
        <v>0</v>
      </c>
      <c r="AE46" s="8">
        <f t="shared" si="1"/>
        <v>43046816.841593802</v>
      </c>
      <c r="AF46" s="101">
        <f t="shared" si="2"/>
        <v>3.6463049764358019E-2</v>
      </c>
    </row>
    <row r="47" spans="1:32" x14ac:dyDescent="0.2">
      <c r="A47" s="99">
        <f>'Combined Monthly Data'!A47</f>
        <v>41183</v>
      </c>
      <c r="B47">
        <f>'Combined Monthly Data'!B47</f>
        <v>2012</v>
      </c>
      <c r="C47" s="8">
        <f>'Combined Monthly Data'!C47</f>
        <v>43204216</v>
      </c>
      <c r="D47">
        <f>'Combined Monthly Data'!AB47</f>
        <v>227.39999999999998</v>
      </c>
      <c r="E47">
        <f>'Combined Monthly Data'!AC47</f>
        <v>0.8</v>
      </c>
      <c r="F47">
        <f>'Combined Monthly Data'!AF47</f>
        <v>6740.9</v>
      </c>
      <c r="G47">
        <f>'Combined Monthly Data'!AI47</f>
        <v>46</v>
      </c>
      <c r="H47" s="16">
        <f>'Combined Monthly Data'!AY47</f>
        <v>22</v>
      </c>
      <c r="I47">
        <f>'Combined Monthly Data'!BA47</f>
        <v>0</v>
      </c>
      <c r="J47">
        <f>'Combined Monthly Data'!BB47</f>
        <v>0</v>
      </c>
      <c r="K47">
        <f>'Combined Monthly Data'!AM47</f>
        <v>0</v>
      </c>
      <c r="L47">
        <f>'Combined Monthly Data'!AO47</f>
        <v>0</v>
      </c>
      <c r="M47">
        <f>'Combined Monthly Data'!AS47</f>
        <v>0</v>
      </c>
      <c r="N47">
        <f>'Combined Monthly Data'!AT47</f>
        <v>0</v>
      </c>
      <c r="O47">
        <f>'Combined Monthly Data'!AW47</f>
        <v>0</v>
      </c>
      <c r="Q47" s="8">
        <f>'Wholesale OLS model'!$B$5</f>
        <v>-50878161.758948997</v>
      </c>
      <c r="R47" s="8">
        <f>-'Combined Monthly Data'!G47</f>
        <v>-595234.73414465087</v>
      </c>
      <c r="S47" s="8">
        <f>'Wholesale OLS model'!$B$6*D47</f>
        <v>3606049.3505118173</v>
      </c>
      <c r="T47" s="8">
        <f>'Wholesale OLS model'!$B$7*E47</f>
        <v>75466.592069012157</v>
      </c>
      <c r="U47" s="8">
        <f>'Wholesale OLS model'!$B$8*F47</f>
        <v>83863052.56664373</v>
      </c>
      <c r="V47" s="8">
        <f>'Wholesale OLS model'!$B$9*G47</f>
        <v>-2589959.1216803761</v>
      </c>
      <c r="W47" s="8">
        <f>'Wholesale OLS model'!$B$10*H47</f>
        <v>10200224.995656123</v>
      </c>
      <c r="X47" s="8">
        <f>'Wholesale OLS model'!$B$11*I47</f>
        <v>0</v>
      </c>
      <c r="Y47" s="8">
        <f>'Wholesale OLS model'!$B$12*J47</f>
        <v>0</v>
      </c>
      <c r="Z47" s="8">
        <f>'Wholesale OLS model'!$B$13*K47</f>
        <v>0</v>
      </c>
      <c r="AA47" s="8">
        <f>'Wholesale OLS model'!$B$14*L47</f>
        <v>0</v>
      </c>
      <c r="AB47" s="8">
        <f>'Wholesale OLS model'!$B$15*M47</f>
        <v>0</v>
      </c>
      <c r="AC47" s="8">
        <f>'Wholesale OLS model'!$B$16*N47</f>
        <v>0</v>
      </c>
      <c r="AD47" s="8">
        <f>'Wholesale OLS model'!$B$17*O47</f>
        <v>0</v>
      </c>
      <c r="AE47" s="8">
        <f t="shared" si="1"/>
        <v>43681437.890106663</v>
      </c>
      <c r="AF47" s="101">
        <f t="shared" si="2"/>
        <v>1.1045725030785493E-2</v>
      </c>
    </row>
    <row r="48" spans="1:32" x14ac:dyDescent="0.2">
      <c r="A48" s="99">
        <f>'Combined Monthly Data'!A48</f>
        <v>41214</v>
      </c>
      <c r="B48">
        <f>'Combined Monthly Data'!B48</f>
        <v>2012</v>
      </c>
      <c r="C48" s="8">
        <f>'Combined Monthly Data'!C48</f>
        <v>44348259</v>
      </c>
      <c r="D48">
        <f>'Combined Monthly Data'!AB48</f>
        <v>430.19999999999993</v>
      </c>
      <c r="E48">
        <f>'Combined Monthly Data'!AC48</f>
        <v>0</v>
      </c>
      <c r="F48">
        <f>'Combined Monthly Data'!AF48</f>
        <v>6727.4</v>
      </c>
      <c r="G48">
        <f>'Combined Monthly Data'!AI48</f>
        <v>47</v>
      </c>
      <c r="H48" s="16">
        <f>'Combined Monthly Data'!AY48</f>
        <v>22</v>
      </c>
      <c r="I48">
        <f>'Combined Monthly Data'!BA48</f>
        <v>0</v>
      </c>
      <c r="J48">
        <f>'Combined Monthly Data'!BB48</f>
        <v>0</v>
      </c>
      <c r="K48">
        <f>'Combined Monthly Data'!AM48</f>
        <v>0</v>
      </c>
      <c r="L48">
        <f>'Combined Monthly Data'!AO48</f>
        <v>0</v>
      </c>
      <c r="M48">
        <f>'Combined Monthly Data'!AS48</f>
        <v>0</v>
      </c>
      <c r="N48">
        <f>'Combined Monthly Data'!AT48</f>
        <v>0</v>
      </c>
      <c r="O48">
        <f>'Combined Monthly Data'!AW48</f>
        <v>1</v>
      </c>
      <c r="Q48" s="8">
        <f>'Wholesale OLS model'!$B$5</f>
        <v>-50878161.758948997</v>
      </c>
      <c r="R48" s="8">
        <f>-'Combined Monthly Data'!G48</f>
        <v>-608995.55844661349</v>
      </c>
      <c r="S48" s="8">
        <f>'Wholesale OLS model'!$B$6*D48</f>
        <v>6821998.3755065249</v>
      </c>
      <c r="T48" s="8">
        <f>'Wholesale OLS model'!$B$7*E48</f>
        <v>0</v>
      </c>
      <c r="U48" s="8">
        <f>'Wholesale OLS model'!$B$8*F48</f>
        <v>83695100.036618114</v>
      </c>
      <c r="V48" s="8">
        <f>'Wholesale OLS model'!$B$9*G48</f>
        <v>-2646262.5808473406</v>
      </c>
      <c r="W48" s="8">
        <f>'Wholesale OLS model'!$B$10*H48</f>
        <v>10200224.995656123</v>
      </c>
      <c r="X48" s="8">
        <f>'Wholesale OLS model'!$B$11*I48</f>
        <v>0</v>
      </c>
      <c r="Y48" s="8">
        <f>'Wholesale OLS model'!$B$12*J48</f>
        <v>0</v>
      </c>
      <c r="Z48" s="8">
        <f>'Wholesale OLS model'!$B$13*K48</f>
        <v>0</v>
      </c>
      <c r="AA48" s="8">
        <f>'Wholesale OLS model'!$B$14*L48</f>
        <v>0</v>
      </c>
      <c r="AB48" s="8">
        <f>'Wholesale OLS model'!$B$15*M48</f>
        <v>0</v>
      </c>
      <c r="AC48" s="8">
        <f>'Wholesale OLS model'!$B$16*N48</f>
        <v>0</v>
      </c>
      <c r="AD48" s="8">
        <f>'Wholesale OLS model'!$B$17*O48</f>
        <v>-1766353.8816768799</v>
      </c>
      <c r="AE48" s="8">
        <f t="shared" si="1"/>
        <v>44817549.627860934</v>
      </c>
      <c r="AF48" s="101">
        <f t="shared" si="2"/>
        <v>1.0581940271002149E-2</v>
      </c>
    </row>
    <row r="49" spans="1:32" x14ac:dyDescent="0.2">
      <c r="A49" s="99">
        <f>'Combined Monthly Data'!A49</f>
        <v>41244</v>
      </c>
      <c r="B49">
        <f>'Combined Monthly Data'!B49</f>
        <v>2012</v>
      </c>
      <c r="C49" s="8">
        <f>'Combined Monthly Data'!C49</f>
        <v>45553984</v>
      </c>
      <c r="D49">
        <f>'Combined Monthly Data'!AB49</f>
        <v>505.1</v>
      </c>
      <c r="E49">
        <f>'Combined Monthly Data'!AC49</f>
        <v>0</v>
      </c>
      <c r="F49">
        <f>'Combined Monthly Data'!AF49</f>
        <v>6740.2</v>
      </c>
      <c r="G49">
        <f>'Combined Monthly Data'!AI49</f>
        <v>48</v>
      </c>
      <c r="H49" s="16">
        <f>'Combined Monthly Data'!AY49</f>
        <v>19</v>
      </c>
      <c r="I49">
        <f>'Combined Monthly Data'!BA49</f>
        <v>0</v>
      </c>
      <c r="J49">
        <f>'Combined Monthly Data'!BB49</f>
        <v>0</v>
      </c>
      <c r="K49">
        <f>'Combined Monthly Data'!AM49</f>
        <v>0</v>
      </c>
      <c r="L49">
        <f>'Combined Monthly Data'!AO49</f>
        <v>0</v>
      </c>
      <c r="M49">
        <f>'Combined Monthly Data'!AS49</f>
        <v>0</v>
      </c>
      <c r="N49">
        <f>'Combined Monthly Data'!AT49</f>
        <v>0</v>
      </c>
      <c r="O49">
        <f>'Combined Monthly Data'!AW49</f>
        <v>0</v>
      </c>
      <c r="Q49" s="8">
        <f>'Wholesale OLS model'!$B$5</f>
        <v>-50878161.758948997</v>
      </c>
      <c r="R49" s="8">
        <f>-'Combined Monthly Data'!G49</f>
        <v>-622756.382748576</v>
      </c>
      <c r="S49" s="8">
        <f>'Wholesale OLS model'!$B$6*D49</f>
        <v>8009742.8625484575</v>
      </c>
      <c r="T49" s="8">
        <f>'Wholesale OLS model'!$B$7*E49</f>
        <v>0</v>
      </c>
      <c r="U49" s="8">
        <f>'Wholesale OLS model'!$B$8*F49</f>
        <v>83854343.916938692</v>
      </c>
      <c r="V49" s="8">
        <f>'Wholesale OLS model'!$B$9*G49</f>
        <v>-2702566.0400143056</v>
      </c>
      <c r="W49" s="8">
        <f>'Wholesale OLS model'!$B$10*H49</f>
        <v>8809285.2235211972</v>
      </c>
      <c r="X49" s="8">
        <f>'Wholesale OLS model'!$B$11*I49</f>
        <v>0</v>
      </c>
      <c r="Y49" s="8">
        <f>'Wholesale OLS model'!$B$12*J49</f>
        <v>0</v>
      </c>
      <c r="Z49" s="8">
        <f>'Wholesale OLS model'!$B$13*K49</f>
        <v>0</v>
      </c>
      <c r="AA49" s="8">
        <f>'Wholesale OLS model'!$B$14*L49</f>
        <v>0</v>
      </c>
      <c r="AB49" s="8">
        <f>'Wholesale OLS model'!$B$15*M49</f>
        <v>0</v>
      </c>
      <c r="AC49" s="8">
        <f>'Wholesale OLS model'!$B$16*N49</f>
        <v>0</v>
      </c>
      <c r="AD49" s="8">
        <f>'Wholesale OLS model'!$B$17*O49</f>
        <v>0</v>
      </c>
      <c r="AE49" s="8">
        <f t="shared" si="1"/>
        <v>46469887.821296468</v>
      </c>
      <c r="AF49" s="101">
        <f t="shared" si="2"/>
        <v>2.0105899437828936E-2</v>
      </c>
    </row>
    <row r="50" spans="1:32" x14ac:dyDescent="0.2">
      <c r="A50" s="99">
        <f>'Combined Monthly Data'!A50</f>
        <v>41275</v>
      </c>
      <c r="B50">
        <f>'Combined Monthly Data'!B50</f>
        <v>2013</v>
      </c>
      <c r="C50" s="8">
        <f>'Combined Monthly Data'!C50</f>
        <v>50854515</v>
      </c>
      <c r="D50">
        <f>'Combined Monthly Data'!AB50</f>
        <v>617.29999999999995</v>
      </c>
      <c r="E50">
        <f>'Combined Monthly Data'!AC50</f>
        <v>0</v>
      </c>
      <c r="F50">
        <f>'Combined Monthly Data'!AF50</f>
        <v>6721.7</v>
      </c>
      <c r="G50">
        <f>'Combined Monthly Data'!AI50</f>
        <v>49</v>
      </c>
      <c r="H50" s="16">
        <f>'Combined Monthly Data'!AY50</f>
        <v>22</v>
      </c>
      <c r="I50">
        <f>'Combined Monthly Data'!BA50</f>
        <v>1</v>
      </c>
      <c r="J50">
        <f>'Combined Monthly Data'!BB50</f>
        <v>1</v>
      </c>
      <c r="K50">
        <f>'Combined Monthly Data'!AM50</f>
        <v>1</v>
      </c>
      <c r="L50">
        <f>'Combined Monthly Data'!AO50</f>
        <v>0</v>
      </c>
      <c r="M50">
        <f>'Combined Monthly Data'!AS50</f>
        <v>0</v>
      </c>
      <c r="N50">
        <f>'Combined Monthly Data'!AT50</f>
        <v>0</v>
      </c>
      <c r="O50">
        <f>'Combined Monthly Data'!AW50</f>
        <v>0</v>
      </c>
      <c r="Q50" s="8">
        <f>'Wholesale OLS model'!$B$5</f>
        <v>-50878161.758948997</v>
      </c>
      <c r="R50" s="8">
        <f>-'Combined Monthly Data'!G50</f>
        <v>-582285.64548266528</v>
      </c>
      <c r="S50" s="8">
        <f>'Wholesale OLS model'!$B$6*D50</f>
        <v>9788980.9325899072</v>
      </c>
      <c r="T50" s="8">
        <f>'Wholesale OLS model'!$B$7*E50</f>
        <v>0</v>
      </c>
      <c r="U50" s="8">
        <f>'Wholesale OLS model'!$B$8*F50</f>
        <v>83624186.746162847</v>
      </c>
      <c r="V50" s="8">
        <f>'Wholesale OLS model'!$B$9*G50</f>
        <v>-2758869.4991812701</v>
      </c>
      <c r="W50" s="8">
        <f>'Wholesale OLS model'!$B$10*H50</f>
        <v>10200224.995656123</v>
      </c>
      <c r="X50" s="8">
        <f>'Wholesale OLS model'!$B$11*I50</f>
        <v>-1980487.4456003499</v>
      </c>
      <c r="Y50" s="8">
        <f>'Wholesale OLS model'!$B$12*J50</f>
        <v>-106425.175310672</v>
      </c>
      <c r="Z50" s="8">
        <f>'Wholesale OLS model'!$B$13*K50</f>
        <v>2647304.3437043098</v>
      </c>
      <c r="AA50" s="8">
        <f>'Wholesale OLS model'!$B$14*L50</f>
        <v>0</v>
      </c>
      <c r="AB50" s="8">
        <f>'Wholesale OLS model'!$B$15*M50</f>
        <v>0</v>
      </c>
      <c r="AC50" s="8">
        <f>'Wholesale OLS model'!$B$16*N50</f>
        <v>0</v>
      </c>
      <c r="AD50" s="8">
        <f>'Wholesale OLS model'!$B$17*O50</f>
        <v>0</v>
      </c>
      <c r="AE50" s="8">
        <f t="shared" si="1"/>
        <v>49954467.493589237</v>
      </c>
      <c r="AF50" s="101">
        <f t="shared" si="2"/>
        <v>1.7698477832514235E-2</v>
      </c>
    </row>
    <row r="51" spans="1:32" x14ac:dyDescent="0.2">
      <c r="A51" s="99">
        <f>'Combined Monthly Data'!A51</f>
        <v>41306</v>
      </c>
      <c r="B51">
        <f>'Combined Monthly Data'!B51</f>
        <v>2013</v>
      </c>
      <c r="C51" s="8">
        <f>'Combined Monthly Data'!C51</f>
        <v>45891597</v>
      </c>
      <c r="D51">
        <f>'Combined Monthly Data'!AB51</f>
        <v>640.1</v>
      </c>
      <c r="E51">
        <f>'Combined Monthly Data'!AC51</f>
        <v>0</v>
      </c>
      <c r="F51">
        <f>'Combined Monthly Data'!AF51</f>
        <v>6702</v>
      </c>
      <c r="G51">
        <f>'Combined Monthly Data'!AI51</f>
        <v>50</v>
      </c>
      <c r="H51" s="16">
        <f>'Combined Monthly Data'!AY51</f>
        <v>19</v>
      </c>
      <c r="I51">
        <f>'Combined Monthly Data'!BA51</f>
        <v>1</v>
      </c>
      <c r="J51">
        <f>'Combined Monthly Data'!BB51</f>
        <v>2</v>
      </c>
      <c r="K51">
        <f>'Combined Monthly Data'!AM51</f>
        <v>0</v>
      </c>
      <c r="L51">
        <f>'Combined Monthly Data'!AO51</f>
        <v>0</v>
      </c>
      <c r="M51">
        <f>'Combined Monthly Data'!AS51</f>
        <v>0</v>
      </c>
      <c r="N51">
        <f>'Combined Monthly Data'!AT51</f>
        <v>0</v>
      </c>
      <c r="O51">
        <f>'Combined Monthly Data'!AW51</f>
        <v>0</v>
      </c>
      <c r="Q51" s="8">
        <f>'Wholesale OLS model'!$B$5</f>
        <v>-50878161.758948997</v>
      </c>
      <c r="R51" s="8">
        <f>-'Combined Monthly Data'!G51</f>
        <v>-603341.36857169936</v>
      </c>
      <c r="S51" s="8">
        <f>'Wholesale OLS model'!$B$6*D51</f>
        <v>10150537.331849668</v>
      </c>
      <c r="T51" s="8">
        <f>'Wholesale OLS model'!$B$7*E51</f>
        <v>0</v>
      </c>
      <c r="U51" s="8">
        <f>'Wholesale OLS model'!$B$8*F51</f>
        <v>83379100.46160695</v>
      </c>
      <c r="V51" s="8">
        <f>'Wholesale OLS model'!$B$9*G51</f>
        <v>-2815172.9583482351</v>
      </c>
      <c r="W51" s="8">
        <f>'Wholesale OLS model'!$B$10*H51</f>
        <v>8809285.2235211972</v>
      </c>
      <c r="X51" s="8">
        <f>'Wholesale OLS model'!$B$11*I51</f>
        <v>-1980487.4456003499</v>
      </c>
      <c r="Y51" s="8">
        <f>'Wholesale OLS model'!$B$12*J51</f>
        <v>-212850.350621344</v>
      </c>
      <c r="Z51" s="8">
        <f>'Wholesale OLS model'!$B$13*K51</f>
        <v>0</v>
      </c>
      <c r="AA51" s="8">
        <f>'Wholesale OLS model'!$B$14*L51</f>
        <v>0</v>
      </c>
      <c r="AB51" s="8">
        <f>'Wholesale OLS model'!$B$15*M51</f>
        <v>0</v>
      </c>
      <c r="AC51" s="8">
        <f>'Wholesale OLS model'!$B$16*N51</f>
        <v>0</v>
      </c>
      <c r="AD51" s="8">
        <f>'Wholesale OLS model'!$B$17*O51</f>
        <v>0</v>
      </c>
      <c r="AE51" s="8">
        <f t="shared" si="1"/>
        <v>45848909.134887181</v>
      </c>
      <c r="AF51" s="101">
        <f t="shared" si="2"/>
        <v>9.3018913926265804E-4</v>
      </c>
    </row>
    <row r="52" spans="1:32" x14ac:dyDescent="0.2">
      <c r="A52" s="99">
        <f>'Combined Monthly Data'!A52</f>
        <v>41334</v>
      </c>
      <c r="B52">
        <f>'Combined Monthly Data'!B52</f>
        <v>2013</v>
      </c>
      <c r="C52" s="8">
        <f>'Combined Monthly Data'!C52</f>
        <v>45408057</v>
      </c>
      <c r="D52">
        <f>'Combined Monthly Data'!AB52</f>
        <v>555.40000000000009</v>
      </c>
      <c r="E52">
        <f>'Combined Monthly Data'!AC52</f>
        <v>0</v>
      </c>
      <c r="F52">
        <f>'Combined Monthly Data'!AF52</f>
        <v>6675.8</v>
      </c>
      <c r="G52">
        <f>'Combined Monthly Data'!AI52</f>
        <v>51</v>
      </c>
      <c r="H52" s="16">
        <f>'Combined Monthly Data'!AY52</f>
        <v>19</v>
      </c>
      <c r="I52">
        <f>'Combined Monthly Data'!BA52</f>
        <v>1</v>
      </c>
      <c r="J52">
        <f>'Combined Monthly Data'!BB52</f>
        <v>3</v>
      </c>
      <c r="K52">
        <f>'Combined Monthly Data'!AM52</f>
        <v>0</v>
      </c>
      <c r="L52">
        <f>'Combined Monthly Data'!AO52</f>
        <v>1</v>
      </c>
      <c r="M52">
        <f>'Combined Monthly Data'!AS52</f>
        <v>0</v>
      </c>
      <c r="N52">
        <f>'Combined Monthly Data'!AT52</f>
        <v>0</v>
      </c>
      <c r="O52">
        <f>'Combined Monthly Data'!AW52</f>
        <v>0</v>
      </c>
      <c r="Q52" s="8">
        <f>'Wholesale OLS model'!$B$5</f>
        <v>-50878161.758948997</v>
      </c>
      <c r="R52" s="8">
        <f>-'Combined Monthly Data'!G52</f>
        <v>-624397.09166073345</v>
      </c>
      <c r="S52" s="8">
        <f>'Wholesale OLS model'!$B$6*D52</f>
        <v>8807387.0240732804</v>
      </c>
      <c r="T52" s="8">
        <f>'Wholesale OLS model'!$B$7*E52</f>
        <v>0</v>
      </c>
      <c r="U52" s="8">
        <f>'Wholesale OLS model'!$B$8*F52</f>
        <v>83053148.144075751</v>
      </c>
      <c r="V52" s="8">
        <f>'Wholesale OLS model'!$B$9*G52</f>
        <v>-2871476.4175151996</v>
      </c>
      <c r="W52" s="8">
        <f>'Wholesale OLS model'!$B$10*H52</f>
        <v>8809285.2235211972</v>
      </c>
      <c r="X52" s="8">
        <f>'Wholesale OLS model'!$B$11*I52</f>
        <v>-1980487.4456003499</v>
      </c>
      <c r="Y52" s="8">
        <f>'Wholesale OLS model'!$B$12*J52</f>
        <v>-319275.52593201597</v>
      </c>
      <c r="Z52" s="8">
        <f>'Wholesale OLS model'!$B$13*K52</f>
        <v>0</v>
      </c>
      <c r="AA52" s="8">
        <f>'Wholesale OLS model'!$B$14*L52</f>
        <v>1640135.6856942801</v>
      </c>
      <c r="AB52" s="8">
        <f>'Wholesale OLS model'!$B$15*M52</f>
        <v>0</v>
      </c>
      <c r="AC52" s="8">
        <f>'Wholesale OLS model'!$B$16*N52</f>
        <v>0</v>
      </c>
      <c r="AD52" s="8">
        <f>'Wholesale OLS model'!$B$17*O52</f>
        <v>0</v>
      </c>
      <c r="AE52" s="8">
        <f t="shared" si="1"/>
        <v>45636157.837707207</v>
      </c>
      <c r="AF52" s="101">
        <f t="shared" si="2"/>
        <v>5.0233560468620495E-3</v>
      </c>
    </row>
    <row r="53" spans="1:32" x14ac:dyDescent="0.2">
      <c r="A53" s="99">
        <f>'Combined Monthly Data'!A53</f>
        <v>41365</v>
      </c>
      <c r="B53">
        <f>'Combined Monthly Data'!B53</f>
        <v>2013</v>
      </c>
      <c r="C53" s="8">
        <f>'Combined Monthly Data'!C53</f>
        <v>40508543</v>
      </c>
      <c r="D53">
        <f>'Combined Monthly Data'!AB53</f>
        <v>339.90000000000003</v>
      </c>
      <c r="E53">
        <f>'Combined Monthly Data'!AC53</f>
        <v>0</v>
      </c>
      <c r="F53">
        <f>'Combined Monthly Data'!AF53</f>
        <v>6703.7</v>
      </c>
      <c r="G53">
        <f>'Combined Monthly Data'!AI53</f>
        <v>52</v>
      </c>
      <c r="H53" s="16">
        <f>'Combined Monthly Data'!AY53</f>
        <v>22</v>
      </c>
      <c r="I53">
        <f>'Combined Monthly Data'!BA53</f>
        <v>1</v>
      </c>
      <c r="J53">
        <f>'Combined Monthly Data'!BB53</f>
        <v>4</v>
      </c>
      <c r="K53">
        <f>'Combined Monthly Data'!AM53</f>
        <v>0</v>
      </c>
      <c r="L53">
        <f>'Combined Monthly Data'!AO53</f>
        <v>0</v>
      </c>
      <c r="M53">
        <f>'Combined Monthly Data'!AS53</f>
        <v>0</v>
      </c>
      <c r="N53">
        <f>'Combined Monthly Data'!AT53</f>
        <v>0</v>
      </c>
      <c r="O53">
        <f>'Combined Monthly Data'!AW53</f>
        <v>0</v>
      </c>
      <c r="Q53" s="8">
        <f>'Wholesale OLS model'!$B$5</f>
        <v>-50878161.758948997</v>
      </c>
      <c r="R53" s="8">
        <f>-'Combined Monthly Data'!G53</f>
        <v>-645452.81474976765</v>
      </c>
      <c r="S53" s="8">
        <f>'Wholesale OLS model'!$B$6*D53</f>
        <v>5390044.7415961605</v>
      </c>
      <c r="T53" s="8">
        <f>'Wholesale OLS model'!$B$7*E53</f>
        <v>0</v>
      </c>
      <c r="U53" s="8">
        <f>'Wholesale OLS model'!$B$8*F53</f>
        <v>83400250.03946203</v>
      </c>
      <c r="V53" s="8">
        <f>'Wholesale OLS model'!$B$9*G53</f>
        <v>-2927779.8766821641</v>
      </c>
      <c r="W53" s="8">
        <f>'Wholesale OLS model'!$B$10*H53</f>
        <v>10200224.995656123</v>
      </c>
      <c r="X53" s="8">
        <f>'Wholesale OLS model'!$B$11*I53</f>
        <v>-1980487.4456003499</v>
      </c>
      <c r="Y53" s="8">
        <f>'Wholesale OLS model'!$B$12*J53</f>
        <v>-425700.701242688</v>
      </c>
      <c r="Z53" s="8">
        <f>'Wholesale OLS model'!$B$13*K53</f>
        <v>0</v>
      </c>
      <c r="AA53" s="8">
        <f>'Wholesale OLS model'!$B$14*L53</f>
        <v>0</v>
      </c>
      <c r="AB53" s="8">
        <f>'Wholesale OLS model'!$B$15*M53</f>
        <v>0</v>
      </c>
      <c r="AC53" s="8">
        <f>'Wholesale OLS model'!$B$16*N53</f>
        <v>0</v>
      </c>
      <c r="AD53" s="8">
        <f>'Wholesale OLS model'!$B$17*O53</f>
        <v>0</v>
      </c>
      <c r="AE53" s="8">
        <f t="shared" si="1"/>
        <v>42132937.17949035</v>
      </c>
      <c r="AF53" s="101">
        <f t="shared" si="2"/>
        <v>4.0100039625971001E-2</v>
      </c>
    </row>
    <row r="54" spans="1:32" x14ac:dyDescent="0.2">
      <c r="A54" s="99">
        <f>'Combined Monthly Data'!A54</f>
        <v>41395</v>
      </c>
      <c r="B54">
        <f>'Combined Monthly Data'!B54</f>
        <v>2013</v>
      </c>
      <c r="C54" s="8">
        <f>'Combined Monthly Data'!C54</f>
        <v>40367333</v>
      </c>
      <c r="D54">
        <f>'Combined Monthly Data'!AB54</f>
        <v>116.5</v>
      </c>
      <c r="E54">
        <f>'Combined Monthly Data'!AC54</f>
        <v>24.200000000000003</v>
      </c>
      <c r="F54">
        <f>'Combined Monthly Data'!AF54</f>
        <v>6770.3</v>
      </c>
      <c r="G54">
        <f>'Combined Monthly Data'!AI54</f>
        <v>53</v>
      </c>
      <c r="H54" s="16">
        <f>'Combined Monthly Data'!AY54</f>
        <v>22</v>
      </c>
      <c r="I54">
        <f>'Combined Monthly Data'!BA54</f>
        <v>1</v>
      </c>
      <c r="J54">
        <f>'Combined Monthly Data'!BB54</f>
        <v>5</v>
      </c>
      <c r="K54">
        <f>'Combined Monthly Data'!AM54</f>
        <v>0</v>
      </c>
      <c r="L54">
        <f>'Combined Monthly Data'!AO54</f>
        <v>0</v>
      </c>
      <c r="M54">
        <f>'Combined Monthly Data'!AS54</f>
        <v>0</v>
      </c>
      <c r="N54">
        <f>'Combined Monthly Data'!AT54</f>
        <v>0</v>
      </c>
      <c r="O54">
        <f>'Combined Monthly Data'!AW54</f>
        <v>0</v>
      </c>
      <c r="Q54" s="8">
        <f>'Wholesale OLS model'!$B$5</f>
        <v>-50878161.758948997</v>
      </c>
      <c r="R54" s="8">
        <f>-'Combined Monthly Data'!G54</f>
        <v>-666508.53783880163</v>
      </c>
      <c r="S54" s="8">
        <f>'Wholesale OLS model'!$B$6*D54</f>
        <v>1847426.338322897</v>
      </c>
      <c r="T54" s="8">
        <f>'Wholesale OLS model'!$B$7*E54</f>
        <v>2282864.410087618</v>
      </c>
      <c r="U54" s="8">
        <f>'Wholesale OLS model'!$B$8*F54</f>
        <v>84228815.85425508</v>
      </c>
      <c r="V54" s="8">
        <f>'Wholesale OLS model'!$B$9*G54</f>
        <v>-2984083.3358491291</v>
      </c>
      <c r="W54" s="8">
        <f>'Wholesale OLS model'!$B$10*H54</f>
        <v>10200224.995656123</v>
      </c>
      <c r="X54" s="8">
        <f>'Wholesale OLS model'!$B$11*I54</f>
        <v>-1980487.4456003499</v>
      </c>
      <c r="Y54" s="8">
        <f>'Wholesale OLS model'!$B$12*J54</f>
        <v>-532125.87655336002</v>
      </c>
      <c r="Z54" s="8">
        <f>'Wholesale OLS model'!$B$13*K54</f>
        <v>0</v>
      </c>
      <c r="AA54" s="8">
        <f>'Wholesale OLS model'!$B$14*L54</f>
        <v>0</v>
      </c>
      <c r="AB54" s="8">
        <f>'Wholesale OLS model'!$B$15*M54</f>
        <v>0</v>
      </c>
      <c r="AC54" s="8">
        <f>'Wholesale OLS model'!$B$16*N54</f>
        <v>0</v>
      </c>
      <c r="AD54" s="8">
        <f>'Wholesale OLS model'!$B$17*O54</f>
        <v>0</v>
      </c>
      <c r="AE54" s="8">
        <f t="shared" si="1"/>
        <v>41517964.643531084</v>
      </c>
      <c r="AF54" s="101">
        <f t="shared" si="2"/>
        <v>2.8504029323192692E-2</v>
      </c>
    </row>
    <row r="55" spans="1:32" x14ac:dyDescent="0.2">
      <c r="A55" s="99">
        <f>'Combined Monthly Data'!A55</f>
        <v>41426</v>
      </c>
      <c r="B55">
        <f>'Combined Monthly Data'!B55</f>
        <v>2013</v>
      </c>
      <c r="C55" s="8">
        <f>'Combined Monthly Data'!C55</f>
        <v>41861470</v>
      </c>
      <c r="D55">
        <f>'Combined Monthly Data'!AB55</f>
        <v>42.8</v>
      </c>
      <c r="E55">
        <f>'Combined Monthly Data'!AC55</f>
        <v>48.5</v>
      </c>
      <c r="F55">
        <f>'Combined Monthly Data'!AF55</f>
        <v>6861.8</v>
      </c>
      <c r="G55">
        <f>'Combined Monthly Data'!AI55</f>
        <v>54</v>
      </c>
      <c r="H55" s="16">
        <f>'Combined Monthly Data'!AY55</f>
        <v>20</v>
      </c>
      <c r="I55">
        <f>'Combined Monthly Data'!BA55</f>
        <v>1</v>
      </c>
      <c r="J55">
        <f>'Combined Monthly Data'!BB55</f>
        <v>6</v>
      </c>
      <c r="K55">
        <f>'Combined Monthly Data'!AM55</f>
        <v>0</v>
      </c>
      <c r="L55">
        <f>'Combined Monthly Data'!AO55</f>
        <v>0</v>
      </c>
      <c r="M55">
        <f>'Combined Monthly Data'!AS55</f>
        <v>0</v>
      </c>
      <c r="N55">
        <f>'Combined Monthly Data'!AT55</f>
        <v>0</v>
      </c>
      <c r="O55">
        <f>'Combined Monthly Data'!AW55</f>
        <v>0</v>
      </c>
      <c r="Q55" s="8">
        <f>'Wholesale OLS model'!$B$5</f>
        <v>-50878161.758948997</v>
      </c>
      <c r="R55" s="8">
        <f>-'Combined Monthly Data'!G55</f>
        <v>-687564.26092783595</v>
      </c>
      <c r="S55" s="8">
        <f>'Wholesale OLS model'!$B$6*D55</f>
        <v>678711.13545253198</v>
      </c>
      <c r="T55" s="8">
        <f>'Wholesale OLS model'!$B$7*E55</f>
        <v>4575162.144183862</v>
      </c>
      <c r="U55" s="8">
        <f>'Wholesale OLS model'!$B$8*F55</f>
        <v>85367160.77998428</v>
      </c>
      <c r="V55" s="8">
        <f>'Wholesale OLS model'!$B$9*G55</f>
        <v>-3040386.7950160936</v>
      </c>
      <c r="W55" s="8">
        <f>'Wholesale OLS model'!$B$10*H55</f>
        <v>9272931.8142328393</v>
      </c>
      <c r="X55" s="8">
        <f>'Wholesale OLS model'!$B$11*I55</f>
        <v>-1980487.4456003499</v>
      </c>
      <c r="Y55" s="8">
        <f>'Wholesale OLS model'!$B$12*J55</f>
        <v>-638551.05186403194</v>
      </c>
      <c r="Z55" s="8">
        <f>'Wholesale OLS model'!$B$13*K55</f>
        <v>0</v>
      </c>
      <c r="AA55" s="8">
        <f>'Wholesale OLS model'!$B$14*L55</f>
        <v>0</v>
      </c>
      <c r="AB55" s="8">
        <f>'Wholesale OLS model'!$B$15*M55</f>
        <v>0</v>
      </c>
      <c r="AC55" s="8">
        <f>'Wholesale OLS model'!$B$16*N55</f>
        <v>0</v>
      </c>
      <c r="AD55" s="8">
        <f>'Wholesale OLS model'!$B$17*O55</f>
        <v>0</v>
      </c>
      <c r="AE55" s="8">
        <f t="shared" si="1"/>
        <v>42668814.561496198</v>
      </c>
      <c r="AF55" s="101">
        <f t="shared" si="2"/>
        <v>1.9286101551049168E-2</v>
      </c>
    </row>
    <row r="56" spans="1:32" x14ac:dyDescent="0.2">
      <c r="A56" s="99">
        <f>'Combined Monthly Data'!A56</f>
        <v>41456</v>
      </c>
      <c r="B56">
        <f>'Combined Monthly Data'!B56</f>
        <v>2013</v>
      </c>
      <c r="C56" s="8">
        <f>'Combined Monthly Data'!C56</f>
        <v>51710808</v>
      </c>
      <c r="D56">
        <f>'Combined Monthly Data'!AB56</f>
        <v>5.5</v>
      </c>
      <c r="E56">
        <f>'Combined Monthly Data'!AC56</f>
        <v>117.00000000000001</v>
      </c>
      <c r="F56">
        <f>'Combined Monthly Data'!AF56</f>
        <v>6917.1</v>
      </c>
      <c r="G56">
        <f>'Combined Monthly Data'!AI56</f>
        <v>55</v>
      </c>
      <c r="H56" s="16">
        <f>'Combined Monthly Data'!AY56</f>
        <v>22</v>
      </c>
      <c r="I56">
        <f>'Combined Monthly Data'!BA56</f>
        <v>1</v>
      </c>
      <c r="J56">
        <f>'Combined Monthly Data'!BB56</f>
        <v>7</v>
      </c>
      <c r="K56">
        <f>'Combined Monthly Data'!AM56</f>
        <v>0</v>
      </c>
      <c r="L56">
        <f>'Combined Monthly Data'!AO56</f>
        <v>0</v>
      </c>
      <c r="M56">
        <f>'Combined Monthly Data'!AS56</f>
        <v>1</v>
      </c>
      <c r="N56">
        <f>'Combined Monthly Data'!AT56</f>
        <v>0</v>
      </c>
      <c r="O56">
        <f>'Combined Monthly Data'!AW56</f>
        <v>0</v>
      </c>
      <c r="Q56" s="8">
        <f>'Wholesale OLS model'!$B$5</f>
        <v>-50878161.758948997</v>
      </c>
      <c r="R56" s="8">
        <f>-'Combined Monthly Data'!G56</f>
        <v>-708619.98401686992</v>
      </c>
      <c r="S56" s="8">
        <f>'Wholesale OLS model'!$B$6*D56</f>
        <v>87217.552453012293</v>
      </c>
      <c r="T56" s="8">
        <f>'Wholesale OLS model'!$B$7*E56</f>
        <v>11036989.09009303</v>
      </c>
      <c r="U56" s="8">
        <f>'Wholesale OLS model'!$B$8*F56</f>
        <v>86055144.106681809</v>
      </c>
      <c r="V56" s="8">
        <f>'Wholesale OLS model'!$B$9*G56</f>
        <v>-3096690.2541830582</v>
      </c>
      <c r="W56" s="8">
        <f>'Wholesale OLS model'!$B$10*H56</f>
        <v>10200224.995656123</v>
      </c>
      <c r="X56" s="8">
        <f>'Wholesale OLS model'!$B$11*I56</f>
        <v>-1980487.4456003499</v>
      </c>
      <c r="Y56" s="8">
        <f>'Wholesale OLS model'!$B$12*J56</f>
        <v>-744976.22717470396</v>
      </c>
      <c r="Z56" s="8">
        <f>'Wholesale OLS model'!$B$13*K56</f>
        <v>0</v>
      </c>
      <c r="AA56" s="8">
        <f>'Wholesale OLS model'!$B$14*L56</f>
        <v>0</v>
      </c>
      <c r="AB56" s="8">
        <f>'Wholesale OLS model'!$B$15*M56</f>
        <v>2370057.8473386201</v>
      </c>
      <c r="AC56" s="8">
        <f>'Wholesale OLS model'!$B$16*N56</f>
        <v>0</v>
      </c>
      <c r="AD56" s="8">
        <f>'Wholesale OLS model'!$B$17*O56</f>
        <v>0</v>
      </c>
      <c r="AE56" s="8">
        <f t="shared" si="1"/>
        <v>52340697.922298603</v>
      </c>
      <c r="AF56" s="101">
        <f t="shared" si="2"/>
        <v>1.2181011023819291E-2</v>
      </c>
    </row>
    <row r="57" spans="1:32" x14ac:dyDescent="0.2">
      <c r="A57" s="99">
        <f>'Combined Monthly Data'!A57</f>
        <v>41487</v>
      </c>
      <c r="B57">
        <f>'Combined Monthly Data'!B57</f>
        <v>2013</v>
      </c>
      <c r="C57" s="8">
        <f>'Combined Monthly Data'!C57</f>
        <v>47450772</v>
      </c>
      <c r="D57">
        <f>'Combined Monthly Data'!AB57</f>
        <v>15</v>
      </c>
      <c r="E57">
        <f>'Combined Monthly Data'!AC57</f>
        <v>56.7</v>
      </c>
      <c r="F57">
        <f>'Combined Monthly Data'!AF57</f>
        <v>6934.7</v>
      </c>
      <c r="G57">
        <f>'Combined Monthly Data'!AI57</f>
        <v>56</v>
      </c>
      <c r="H57" s="16">
        <f>'Combined Monthly Data'!AY57</f>
        <v>21</v>
      </c>
      <c r="I57">
        <f>'Combined Monthly Data'!BA57</f>
        <v>1</v>
      </c>
      <c r="J57">
        <f>'Combined Monthly Data'!BB57</f>
        <v>8</v>
      </c>
      <c r="K57">
        <f>'Combined Monthly Data'!AM57</f>
        <v>0</v>
      </c>
      <c r="L57">
        <f>'Combined Monthly Data'!AO57</f>
        <v>0</v>
      </c>
      <c r="M57">
        <f>'Combined Monthly Data'!AS57</f>
        <v>0</v>
      </c>
      <c r="N57">
        <f>'Combined Monthly Data'!AT57</f>
        <v>1</v>
      </c>
      <c r="O57">
        <f>'Combined Monthly Data'!AW57</f>
        <v>0</v>
      </c>
      <c r="Q57" s="8">
        <f>'Wholesale OLS model'!$B$5</f>
        <v>-50878161.758948997</v>
      </c>
      <c r="R57" s="8">
        <f>-'Combined Monthly Data'!G57</f>
        <v>-729675.707105904</v>
      </c>
      <c r="S57" s="8">
        <f>'Wholesale OLS model'!$B$6*D57</f>
        <v>237866.05214457901</v>
      </c>
      <c r="T57" s="8">
        <f>'Wholesale OLS model'!$B$7*E57</f>
        <v>5348694.7128912369</v>
      </c>
      <c r="U57" s="8">
        <f>'Wholesale OLS model'!$B$8*F57</f>
        <v>86274104.442122608</v>
      </c>
      <c r="V57" s="8">
        <f>'Wholesale OLS model'!$B$9*G57</f>
        <v>-3152993.7133500231</v>
      </c>
      <c r="W57" s="8">
        <f>'Wholesale OLS model'!$B$10*H57</f>
        <v>9736578.4049444813</v>
      </c>
      <c r="X57" s="8">
        <f>'Wholesale OLS model'!$B$11*I57</f>
        <v>-1980487.4456003499</v>
      </c>
      <c r="Y57" s="8">
        <f>'Wholesale OLS model'!$B$12*J57</f>
        <v>-851401.40248537599</v>
      </c>
      <c r="Z57" s="8">
        <f>'Wholesale OLS model'!$B$13*K57</f>
        <v>0</v>
      </c>
      <c r="AA57" s="8">
        <f>'Wholesale OLS model'!$B$14*L57</f>
        <v>0</v>
      </c>
      <c r="AB57" s="8">
        <f>'Wholesale OLS model'!$B$15*M57</f>
        <v>0</v>
      </c>
      <c r="AC57" s="8">
        <f>'Wholesale OLS model'!$B$16*N57</f>
        <v>3743904.46078429</v>
      </c>
      <c r="AD57" s="8">
        <f>'Wholesale OLS model'!$B$17*O57</f>
        <v>0</v>
      </c>
      <c r="AE57" s="8">
        <f t="shared" si="1"/>
        <v>47748428.045396537</v>
      </c>
      <c r="AF57" s="101">
        <f t="shared" si="2"/>
        <v>6.2729442082952117E-3</v>
      </c>
    </row>
    <row r="58" spans="1:32" x14ac:dyDescent="0.2">
      <c r="A58" s="99">
        <f>'Combined Monthly Data'!A58</f>
        <v>41518</v>
      </c>
      <c r="B58">
        <f>'Combined Monthly Data'!B58</f>
        <v>2013</v>
      </c>
      <c r="C58" s="8">
        <f>'Combined Monthly Data'!C58</f>
        <v>40219618</v>
      </c>
      <c r="D58">
        <f>'Combined Monthly Data'!AB58</f>
        <v>110.40000000000002</v>
      </c>
      <c r="E58">
        <f>'Combined Monthly Data'!AC58</f>
        <v>22.9</v>
      </c>
      <c r="F58">
        <f>'Combined Monthly Data'!AF58</f>
        <v>6906.9</v>
      </c>
      <c r="G58">
        <f>'Combined Monthly Data'!AI58</f>
        <v>57</v>
      </c>
      <c r="H58" s="16">
        <f>'Combined Monthly Data'!AY58</f>
        <v>20</v>
      </c>
      <c r="I58">
        <f>'Combined Monthly Data'!BA58</f>
        <v>1</v>
      </c>
      <c r="J58">
        <f>'Combined Monthly Data'!BB58</f>
        <v>9</v>
      </c>
      <c r="K58">
        <f>'Combined Monthly Data'!AM58</f>
        <v>0</v>
      </c>
      <c r="L58">
        <f>'Combined Monthly Data'!AO58</f>
        <v>0</v>
      </c>
      <c r="M58">
        <f>'Combined Monthly Data'!AS58</f>
        <v>0</v>
      </c>
      <c r="N58">
        <f>'Combined Monthly Data'!AT58</f>
        <v>0</v>
      </c>
      <c r="O58">
        <f>'Combined Monthly Data'!AW58</f>
        <v>0</v>
      </c>
      <c r="Q58" s="8">
        <f>'Wholesale OLS model'!$B$5</f>
        <v>-50878161.758948997</v>
      </c>
      <c r="R58" s="8">
        <f>-'Combined Monthly Data'!G58</f>
        <v>-750731.43019493821</v>
      </c>
      <c r="S58" s="8">
        <f>'Wholesale OLS model'!$B$6*D58</f>
        <v>1750694.1437841018</v>
      </c>
      <c r="T58" s="8">
        <f>'Wholesale OLS model'!$B$7*E58</f>
        <v>2160231.197975473</v>
      </c>
      <c r="U58" s="8">
        <f>'Wholesale OLS model'!$B$8*F58</f>
        <v>85928246.639551327</v>
      </c>
      <c r="V58" s="8">
        <f>'Wholesale OLS model'!$B$9*G58</f>
        <v>-3209297.1725169877</v>
      </c>
      <c r="W58" s="8">
        <f>'Wholesale OLS model'!$B$10*H58</f>
        <v>9272931.8142328393</v>
      </c>
      <c r="X58" s="8">
        <f>'Wholesale OLS model'!$B$11*I58</f>
        <v>-1980487.4456003499</v>
      </c>
      <c r="Y58" s="8">
        <f>'Wholesale OLS model'!$B$12*J58</f>
        <v>-957826.57779604802</v>
      </c>
      <c r="Z58" s="8">
        <f>'Wholesale OLS model'!$B$13*K58</f>
        <v>0</v>
      </c>
      <c r="AA58" s="8">
        <f>'Wholesale OLS model'!$B$14*L58</f>
        <v>0</v>
      </c>
      <c r="AB58" s="8">
        <f>'Wholesale OLS model'!$B$15*M58</f>
        <v>0</v>
      </c>
      <c r="AC58" s="8">
        <f>'Wholesale OLS model'!$B$16*N58</f>
        <v>0</v>
      </c>
      <c r="AD58" s="8">
        <f>'Wholesale OLS model'!$B$17*O58</f>
        <v>0</v>
      </c>
      <c r="AE58" s="8">
        <f t="shared" si="1"/>
        <v>41335599.410486415</v>
      </c>
      <c r="AF58" s="101">
        <f t="shared" si="2"/>
        <v>2.7747190698987123E-2</v>
      </c>
    </row>
    <row r="59" spans="1:32" x14ac:dyDescent="0.2">
      <c r="A59" s="99">
        <f>'Combined Monthly Data'!A59</f>
        <v>41548</v>
      </c>
      <c r="B59">
        <f>'Combined Monthly Data'!B59</f>
        <v>2013</v>
      </c>
      <c r="C59" s="8">
        <f>'Combined Monthly Data'!C59</f>
        <v>40606721</v>
      </c>
      <c r="D59">
        <f>'Combined Monthly Data'!AB59</f>
        <v>209.2</v>
      </c>
      <c r="E59">
        <f>'Combined Monthly Data'!AC59</f>
        <v>4.1999999999999993</v>
      </c>
      <c r="F59">
        <f>'Combined Monthly Data'!AF59</f>
        <v>6889</v>
      </c>
      <c r="G59">
        <f>'Combined Monthly Data'!AI59</f>
        <v>58</v>
      </c>
      <c r="H59" s="16">
        <f>'Combined Monthly Data'!AY59</f>
        <v>22</v>
      </c>
      <c r="I59">
        <f>'Combined Monthly Data'!BA59</f>
        <v>1</v>
      </c>
      <c r="J59">
        <f>'Combined Monthly Data'!BB59</f>
        <v>10</v>
      </c>
      <c r="K59">
        <f>'Combined Monthly Data'!AM59</f>
        <v>0</v>
      </c>
      <c r="L59">
        <f>'Combined Monthly Data'!AO59</f>
        <v>0</v>
      </c>
      <c r="M59">
        <f>'Combined Monthly Data'!AS59</f>
        <v>0</v>
      </c>
      <c r="N59">
        <f>'Combined Monthly Data'!AT59</f>
        <v>0</v>
      </c>
      <c r="O59">
        <f>'Combined Monthly Data'!AW59</f>
        <v>0</v>
      </c>
      <c r="Q59" s="8">
        <f>'Wholesale OLS model'!$B$5</f>
        <v>-50878161.758948997</v>
      </c>
      <c r="R59" s="8">
        <f>-'Combined Monthly Data'!G59</f>
        <v>-771787.15328397229</v>
      </c>
      <c r="S59" s="8">
        <f>'Wholesale OLS model'!$B$6*D59</f>
        <v>3317438.5405763951</v>
      </c>
      <c r="T59" s="8">
        <f>'Wholesale OLS model'!$B$7*E59</f>
        <v>396199.60836231377</v>
      </c>
      <c r="U59" s="8">
        <f>'Wholesale OLS model'!$B$8*F59</f>
        <v>85705554.025665522</v>
      </c>
      <c r="V59" s="8">
        <f>'Wholesale OLS model'!$B$9*G59</f>
        <v>-3265600.6316839526</v>
      </c>
      <c r="W59" s="8">
        <f>'Wholesale OLS model'!$B$10*H59</f>
        <v>10200224.995656123</v>
      </c>
      <c r="X59" s="8">
        <f>'Wholesale OLS model'!$B$11*I59</f>
        <v>-1980487.4456003499</v>
      </c>
      <c r="Y59" s="8">
        <f>'Wholesale OLS model'!$B$12*J59</f>
        <v>-1064251.75310672</v>
      </c>
      <c r="Z59" s="8">
        <f>'Wholesale OLS model'!$B$13*K59</f>
        <v>0</v>
      </c>
      <c r="AA59" s="8">
        <f>'Wholesale OLS model'!$B$14*L59</f>
        <v>0</v>
      </c>
      <c r="AB59" s="8">
        <f>'Wholesale OLS model'!$B$15*M59</f>
        <v>0</v>
      </c>
      <c r="AC59" s="8">
        <f>'Wholesale OLS model'!$B$16*N59</f>
        <v>0</v>
      </c>
      <c r="AD59" s="8">
        <f>'Wholesale OLS model'!$B$17*O59</f>
        <v>0</v>
      </c>
      <c r="AE59" s="8">
        <f t="shared" si="1"/>
        <v>41659128.42763637</v>
      </c>
      <c r="AF59" s="101">
        <f t="shared" si="2"/>
        <v>2.5917074851632815E-2</v>
      </c>
    </row>
    <row r="60" spans="1:32" x14ac:dyDescent="0.2">
      <c r="A60" s="99">
        <f>'Combined Monthly Data'!A60</f>
        <v>41579</v>
      </c>
      <c r="B60">
        <f>'Combined Monthly Data'!B60</f>
        <v>2013</v>
      </c>
      <c r="C60" s="8">
        <f>'Combined Monthly Data'!C60</f>
        <v>41920037</v>
      </c>
      <c r="D60">
        <f>'Combined Monthly Data'!AB60</f>
        <v>462.90000000000003</v>
      </c>
      <c r="E60">
        <f>'Combined Monthly Data'!AC60</f>
        <v>0</v>
      </c>
      <c r="F60">
        <f>'Combined Monthly Data'!AF60</f>
        <v>6863.8</v>
      </c>
      <c r="G60">
        <f>'Combined Monthly Data'!AI60</f>
        <v>59</v>
      </c>
      <c r="H60" s="16">
        <f>'Combined Monthly Data'!AY60</f>
        <v>21</v>
      </c>
      <c r="I60">
        <f>'Combined Monthly Data'!BA60</f>
        <v>1</v>
      </c>
      <c r="J60">
        <f>'Combined Monthly Data'!BB60</f>
        <v>11</v>
      </c>
      <c r="K60">
        <f>'Combined Monthly Data'!AM60</f>
        <v>0</v>
      </c>
      <c r="L60">
        <f>'Combined Monthly Data'!AO60</f>
        <v>0</v>
      </c>
      <c r="M60">
        <f>'Combined Monthly Data'!AS60</f>
        <v>0</v>
      </c>
      <c r="N60">
        <f>'Combined Monthly Data'!AT60</f>
        <v>0</v>
      </c>
      <c r="O60">
        <f>'Combined Monthly Data'!AW60</f>
        <v>1</v>
      </c>
      <c r="Q60" s="8">
        <f>'Wholesale OLS model'!$B$5</f>
        <v>-50878161.758948997</v>
      </c>
      <c r="R60" s="8">
        <f>-'Combined Monthly Data'!G60</f>
        <v>-792842.8763730065</v>
      </c>
      <c r="S60" s="8">
        <f>'Wholesale OLS model'!$B$6*D60</f>
        <v>7340546.3691817084</v>
      </c>
      <c r="T60" s="8">
        <f>'Wholesale OLS model'!$B$7*E60</f>
        <v>0</v>
      </c>
      <c r="U60" s="8">
        <f>'Wholesale OLS model'!$B$8*F60</f>
        <v>85392042.636284366</v>
      </c>
      <c r="V60" s="8">
        <f>'Wholesale OLS model'!$B$9*G60</f>
        <v>-3321904.0908509172</v>
      </c>
      <c r="W60" s="8">
        <f>'Wholesale OLS model'!$B$10*H60</f>
        <v>9736578.4049444813</v>
      </c>
      <c r="X60" s="8">
        <f>'Wholesale OLS model'!$B$11*I60</f>
        <v>-1980487.4456003499</v>
      </c>
      <c r="Y60" s="8">
        <f>'Wholesale OLS model'!$B$12*J60</f>
        <v>-1170676.9284173921</v>
      </c>
      <c r="Z60" s="8">
        <f>'Wholesale OLS model'!$B$13*K60</f>
        <v>0</v>
      </c>
      <c r="AA60" s="8">
        <f>'Wholesale OLS model'!$B$14*L60</f>
        <v>0</v>
      </c>
      <c r="AB60" s="8">
        <f>'Wholesale OLS model'!$B$15*M60</f>
        <v>0</v>
      </c>
      <c r="AC60" s="8">
        <f>'Wholesale OLS model'!$B$16*N60</f>
        <v>0</v>
      </c>
      <c r="AD60" s="8">
        <f>'Wholesale OLS model'!$B$17*O60</f>
        <v>-1766353.8816768799</v>
      </c>
      <c r="AE60" s="8">
        <f t="shared" si="1"/>
        <v>42558740.428543001</v>
      </c>
      <c r="AF60" s="101">
        <f t="shared" si="2"/>
        <v>1.5236232461889321E-2</v>
      </c>
    </row>
    <row r="61" spans="1:32" x14ac:dyDescent="0.2">
      <c r="A61" s="99">
        <f>'Combined Monthly Data'!A61</f>
        <v>41609</v>
      </c>
      <c r="B61">
        <f>'Combined Monthly Data'!B61</f>
        <v>2013</v>
      </c>
      <c r="C61" s="8">
        <f>'Combined Monthly Data'!C61</f>
        <v>46416069</v>
      </c>
      <c r="D61">
        <f>'Combined Monthly Data'!AB61</f>
        <v>648.79999999999995</v>
      </c>
      <c r="E61">
        <f>'Combined Monthly Data'!AC61</f>
        <v>0</v>
      </c>
      <c r="F61">
        <f>'Combined Monthly Data'!AF61</f>
        <v>6849.3</v>
      </c>
      <c r="G61">
        <f>'Combined Monthly Data'!AI61</f>
        <v>60</v>
      </c>
      <c r="H61" s="16">
        <f>'Combined Monthly Data'!AY61</f>
        <v>20</v>
      </c>
      <c r="I61">
        <f>'Combined Monthly Data'!BA61</f>
        <v>1</v>
      </c>
      <c r="J61">
        <f>'Combined Monthly Data'!BB61</f>
        <v>12</v>
      </c>
      <c r="K61">
        <f>'Combined Monthly Data'!AM61</f>
        <v>0</v>
      </c>
      <c r="L61">
        <f>'Combined Monthly Data'!AO61</f>
        <v>0</v>
      </c>
      <c r="M61">
        <f>'Combined Monthly Data'!AS61</f>
        <v>0</v>
      </c>
      <c r="N61">
        <f>'Combined Monthly Data'!AT61</f>
        <v>0</v>
      </c>
      <c r="O61">
        <f>'Combined Monthly Data'!AW61</f>
        <v>0</v>
      </c>
      <c r="Q61" s="8">
        <f>'Wholesale OLS model'!$B$5</f>
        <v>-50878161.758948997</v>
      </c>
      <c r="R61" s="8">
        <f>-'Combined Monthly Data'!G61</f>
        <v>-813898.59946204058</v>
      </c>
      <c r="S61" s="8">
        <f>'Wholesale OLS model'!$B$6*D61</f>
        <v>10288499.642093522</v>
      </c>
      <c r="T61" s="8">
        <f>'Wholesale OLS model'!$B$7*E61</f>
        <v>0</v>
      </c>
      <c r="U61" s="8">
        <f>'Wholesale OLS model'!$B$8*F61</f>
        <v>85211649.178108707</v>
      </c>
      <c r="V61" s="8">
        <f>'Wholesale OLS model'!$B$9*G61</f>
        <v>-3378207.5500178817</v>
      </c>
      <c r="W61" s="8">
        <f>'Wholesale OLS model'!$B$10*H61</f>
        <v>9272931.8142328393</v>
      </c>
      <c r="X61" s="8">
        <f>'Wholesale OLS model'!$B$11*I61</f>
        <v>-1980487.4456003499</v>
      </c>
      <c r="Y61" s="8">
        <f>'Wholesale OLS model'!$B$12*J61</f>
        <v>-1277102.1037280639</v>
      </c>
      <c r="Z61" s="8">
        <f>'Wholesale OLS model'!$B$13*K61</f>
        <v>0</v>
      </c>
      <c r="AA61" s="8">
        <f>'Wholesale OLS model'!$B$14*L61</f>
        <v>0</v>
      </c>
      <c r="AB61" s="8">
        <f>'Wholesale OLS model'!$B$15*M61</f>
        <v>0</v>
      </c>
      <c r="AC61" s="8">
        <f>'Wholesale OLS model'!$B$16*N61</f>
        <v>0</v>
      </c>
      <c r="AD61" s="8">
        <f>'Wholesale OLS model'!$B$17*O61</f>
        <v>0</v>
      </c>
      <c r="AE61" s="8">
        <f t="shared" si="1"/>
        <v>46445223.176677741</v>
      </c>
      <c r="AF61" s="101">
        <f t="shared" si="2"/>
        <v>6.2810525117370695E-4</v>
      </c>
    </row>
    <row r="62" spans="1:32" x14ac:dyDescent="0.2">
      <c r="A62" s="99">
        <f>'Combined Monthly Data'!A62</f>
        <v>41640</v>
      </c>
      <c r="B62">
        <f>'Combined Monthly Data'!B62</f>
        <v>2014</v>
      </c>
      <c r="C62" s="8">
        <f>'Combined Monthly Data'!C62</f>
        <v>52863793</v>
      </c>
      <c r="D62">
        <f>'Combined Monthly Data'!AB62</f>
        <v>783.19999999999993</v>
      </c>
      <c r="E62">
        <f>'Combined Monthly Data'!AC62</f>
        <v>0</v>
      </c>
      <c r="F62">
        <f>'Combined Monthly Data'!AF62</f>
        <v>6806.1</v>
      </c>
      <c r="G62">
        <f>'Combined Monthly Data'!AI62</f>
        <v>61</v>
      </c>
      <c r="H62" s="16">
        <f>'Combined Monthly Data'!AY62</f>
        <v>22</v>
      </c>
      <c r="I62">
        <f>'Combined Monthly Data'!BA62</f>
        <v>1</v>
      </c>
      <c r="J62">
        <f>'Combined Monthly Data'!BB62</f>
        <v>13</v>
      </c>
      <c r="K62">
        <f>'Combined Monthly Data'!AM62</f>
        <v>1</v>
      </c>
      <c r="L62">
        <f>'Combined Monthly Data'!AO62</f>
        <v>0</v>
      </c>
      <c r="M62">
        <f>'Combined Monthly Data'!AS62</f>
        <v>0</v>
      </c>
      <c r="N62">
        <f>'Combined Monthly Data'!AT62</f>
        <v>0</v>
      </c>
      <c r="O62">
        <f>'Combined Monthly Data'!AW62</f>
        <v>0</v>
      </c>
      <c r="Q62" s="8">
        <f>'Wholesale OLS model'!$B$5</f>
        <v>-50878161.758948997</v>
      </c>
      <c r="R62" s="8">
        <f>-'Combined Monthly Data'!G62</f>
        <v>-756555.33604103001</v>
      </c>
      <c r="S62" s="8">
        <f>'Wholesale OLS model'!$B$6*D62</f>
        <v>12419779.46930895</v>
      </c>
      <c r="T62" s="8">
        <f>'Wholesale OLS model'!$B$7*E62</f>
        <v>0</v>
      </c>
      <c r="U62" s="8">
        <f>'Wholesale OLS model'!$B$8*F62</f>
        <v>84674201.08202672</v>
      </c>
      <c r="V62" s="8">
        <f>'Wholesale OLS model'!$B$9*G62</f>
        <v>-3434511.0091848467</v>
      </c>
      <c r="W62" s="8">
        <f>'Wholesale OLS model'!$B$10*H62</f>
        <v>10200224.995656123</v>
      </c>
      <c r="X62" s="8">
        <f>'Wholesale OLS model'!$B$11*I62</f>
        <v>-1980487.4456003499</v>
      </c>
      <c r="Y62" s="8">
        <f>'Wholesale OLS model'!$B$12*J62</f>
        <v>-1383527.2790387359</v>
      </c>
      <c r="Z62" s="8">
        <f>'Wholesale OLS model'!$B$13*K62</f>
        <v>2647304.3437043098</v>
      </c>
      <c r="AA62" s="8">
        <f>'Wholesale OLS model'!$B$14*L62</f>
        <v>0</v>
      </c>
      <c r="AB62" s="8">
        <f>'Wholesale OLS model'!$B$15*M62</f>
        <v>0</v>
      </c>
      <c r="AC62" s="8">
        <f>'Wholesale OLS model'!$B$16*N62</f>
        <v>0</v>
      </c>
      <c r="AD62" s="8">
        <f>'Wholesale OLS model'!$B$17*O62</f>
        <v>0</v>
      </c>
      <c r="AE62" s="8">
        <f t="shared" si="1"/>
        <v>51508267.061882146</v>
      </c>
      <c r="AF62" s="101">
        <f t="shared" si="2"/>
        <v>2.5641859223341282E-2</v>
      </c>
    </row>
    <row r="63" spans="1:32" x14ac:dyDescent="0.2">
      <c r="A63" s="99">
        <f>'Combined Monthly Data'!A63</f>
        <v>41671</v>
      </c>
      <c r="B63">
        <f>'Combined Monthly Data'!B63</f>
        <v>2014</v>
      </c>
      <c r="C63" s="8">
        <f>'Combined Monthly Data'!C63</f>
        <v>46902074</v>
      </c>
      <c r="D63">
        <f>'Combined Monthly Data'!AB63</f>
        <v>743.69999999999993</v>
      </c>
      <c r="E63">
        <f>'Combined Monthly Data'!AC63</f>
        <v>0</v>
      </c>
      <c r="F63">
        <f>'Combined Monthly Data'!AF63</f>
        <v>6772.3</v>
      </c>
      <c r="G63">
        <f>'Combined Monthly Data'!AI63</f>
        <v>62</v>
      </c>
      <c r="H63" s="16">
        <f>'Combined Monthly Data'!AY63</f>
        <v>19</v>
      </c>
      <c r="I63">
        <f>'Combined Monthly Data'!BA63</f>
        <v>1</v>
      </c>
      <c r="J63">
        <f>'Combined Monthly Data'!BB63</f>
        <v>14</v>
      </c>
      <c r="K63">
        <f>'Combined Monthly Data'!AM63</f>
        <v>0</v>
      </c>
      <c r="L63">
        <f>'Combined Monthly Data'!AO63</f>
        <v>0</v>
      </c>
      <c r="M63">
        <f>'Combined Monthly Data'!AS63</f>
        <v>0</v>
      </c>
      <c r="N63">
        <f>'Combined Monthly Data'!AT63</f>
        <v>0</v>
      </c>
      <c r="O63">
        <f>'Combined Monthly Data'!AW63</f>
        <v>0</v>
      </c>
      <c r="Q63" s="8">
        <f>'Wholesale OLS model'!$B$5</f>
        <v>-50878161.758948997</v>
      </c>
      <c r="R63" s="8">
        <f>-'Combined Monthly Data'!G63</f>
        <v>-777100.68711693317</v>
      </c>
      <c r="S63" s="8">
        <f>'Wholesale OLS model'!$B$6*D63</f>
        <v>11793398.865328226</v>
      </c>
      <c r="T63" s="8">
        <f>'Wholesale OLS model'!$B$7*E63</f>
        <v>0</v>
      </c>
      <c r="U63" s="8">
        <f>'Wholesale OLS model'!$B$8*F63</f>
        <v>84253697.710555181</v>
      </c>
      <c r="V63" s="8">
        <f>'Wholesale OLS model'!$B$9*G63</f>
        <v>-3490814.4683518112</v>
      </c>
      <c r="W63" s="8">
        <f>'Wholesale OLS model'!$B$10*H63</f>
        <v>8809285.2235211972</v>
      </c>
      <c r="X63" s="8">
        <f>'Wholesale OLS model'!$B$11*I63</f>
        <v>-1980487.4456003499</v>
      </c>
      <c r="Y63" s="8">
        <f>'Wholesale OLS model'!$B$12*J63</f>
        <v>-1489952.4543494079</v>
      </c>
      <c r="Z63" s="8">
        <f>'Wholesale OLS model'!$B$13*K63</f>
        <v>0</v>
      </c>
      <c r="AA63" s="8">
        <f>'Wholesale OLS model'!$B$14*L63</f>
        <v>0</v>
      </c>
      <c r="AB63" s="8">
        <f>'Wholesale OLS model'!$B$15*M63</f>
        <v>0</v>
      </c>
      <c r="AC63" s="8">
        <f>'Wholesale OLS model'!$B$16*N63</f>
        <v>0</v>
      </c>
      <c r="AD63" s="8">
        <f>'Wholesale OLS model'!$B$17*O63</f>
        <v>0</v>
      </c>
      <c r="AE63" s="8">
        <f t="shared" si="1"/>
        <v>46239864.985037096</v>
      </c>
      <c r="AF63" s="101">
        <f t="shared" si="2"/>
        <v>1.4118970836191682E-2</v>
      </c>
    </row>
    <row r="64" spans="1:32" x14ac:dyDescent="0.2">
      <c r="A64" s="99">
        <f>'Combined Monthly Data'!A64</f>
        <v>41699</v>
      </c>
      <c r="B64">
        <f>'Combined Monthly Data'!B64</f>
        <v>2014</v>
      </c>
      <c r="C64" s="8">
        <f>'Combined Monthly Data'!C64</f>
        <v>49147287</v>
      </c>
      <c r="D64">
        <f>'Combined Monthly Data'!AB64</f>
        <v>692.30000000000007</v>
      </c>
      <c r="E64">
        <f>'Combined Monthly Data'!AC64</f>
        <v>0</v>
      </c>
      <c r="F64">
        <f>'Combined Monthly Data'!AF64</f>
        <v>6751.3</v>
      </c>
      <c r="G64">
        <f>'Combined Monthly Data'!AI64</f>
        <v>63</v>
      </c>
      <c r="H64" s="16">
        <f>'Combined Monthly Data'!AY64</f>
        <v>21</v>
      </c>
      <c r="I64">
        <f>'Combined Monthly Data'!BA64</f>
        <v>1</v>
      </c>
      <c r="J64">
        <f>'Combined Monthly Data'!BB64</f>
        <v>15</v>
      </c>
      <c r="K64">
        <f>'Combined Monthly Data'!AM64</f>
        <v>0</v>
      </c>
      <c r="L64">
        <f>'Combined Monthly Data'!AO64</f>
        <v>1</v>
      </c>
      <c r="M64">
        <f>'Combined Monthly Data'!AS64</f>
        <v>0</v>
      </c>
      <c r="N64">
        <f>'Combined Monthly Data'!AT64</f>
        <v>0</v>
      </c>
      <c r="O64">
        <f>'Combined Monthly Data'!AW64</f>
        <v>0</v>
      </c>
      <c r="Q64" s="8">
        <f>'Wholesale OLS model'!$B$5</f>
        <v>-50878161.758948997</v>
      </c>
      <c r="R64" s="8">
        <f>-'Combined Monthly Data'!G64</f>
        <v>-797646.03819283622</v>
      </c>
      <c r="S64" s="8">
        <f>'Wholesale OLS model'!$B$6*D64</f>
        <v>10978311.193312803</v>
      </c>
      <c r="T64" s="8">
        <f>'Wholesale OLS model'!$B$7*E64</f>
        <v>0</v>
      </c>
      <c r="U64" s="8">
        <f>'Wholesale OLS model'!$B$8*F64</f>
        <v>83992438.219404206</v>
      </c>
      <c r="V64" s="8">
        <f>'Wholesale OLS model'!$B$9*G64</f>
        <v>-3547117.9275187762</v>
      </c>
      <c r="W64" s="8">
        <f>'Wholesale OLS model'!$B$10*H64</f>
        <v>9736578.4049444813</v>
      </c>
      <c r="X64" s="8">
        <f>'Wholesale OLS model'!$B$11*I64</f>
        <v>-1980487.4456003499</v>
      </c>
      <c r="Y64" s="8">
        <f>'Wholesale OLS model'!$B$12*J64</f>
        <v>-1596377.62966008</v>
      </c>
      <c r="Z64" s="8">
        <f>'Wholesale OLS model'!$B$13*K64</f>
        <v>0</v>
      </c>
      <c r="AA64" s="8">
        <f>'Wholesale OLS model'!$B$14*L64</f>
        <v>1640135.6856942801</v>
      </c>
      <c r="AB64" s="8">
        <f>'Wholesale OLS model'!$B$15*M64</f>
        <v>0</v>
      </c>
      <c r="AC64" s="8">
        <f>'Wholesale OLS model'!$B$16*N64</f>
        <v>0</v>
      </c>
      <c r="AD64" s="8">
        <f>'Wholesale OLS model'!$B$17*O64</f>
        <v>0</v>
      </c>
      <c r="AE64" s="8">
        <f t="shared" si="1"/>
        <v>47547672.703434721</v>
      </c>
      <c r="AF64" s="101">
        <f t="shared" si="2"/>
        <v>3.2547357020241613E-2</v>
      </c>
    </row>
    <row r="65" spans="1:32" x14ac:dyDescent="0.2">
      <c r="A65" s="99">
        <f>'Combined Monthly Data'!A65</f>
        <v>41730</v>
      </c>
      <c r="B65">
        <f>'Combined Monthly Data'!B65</f>
        <v>2014</v>
      </c>
      <c r="C65" s="8">
        <f>'Combined Monthly Data'!C65</f>
        <v>41905954</v>
      </c>
      <c r="D65">
        <f>'Combined Monthly Data'!AB65</f>
        <v>338.40000000000009</v>
      </c>
      <c r="E65">
        <f>'Combined Monthly Data'!AC65</f>
        <v>0</v>
      </c>
      <c r="F65">
        <f>'Combined Monthly Data'!AF65</f>
        <v>6785</v>
      </c>
      <c r="G65">
        <f>'Combined Monthly Data'!AI65</f>
        <v>64</v>
      </c>
      <c r="H65" s="16">
        <f>'Combined Monthly Data'!AY65</f>
        <v>20</v>
      </c>
      <c r="I65">
        <f>'Combined Monthly Data'!BA65</f>
        <v>1</v>
      </c>
      <c r="J65">
        <f>'Combined Monthly Data'!BB65</f>
        <v>16</v>
      </c>
      <c r="K65">
        <f>'Combined Monthly Data'!AM65</f>
        <v>0</v>
      </c>
      <c r="L65">
        <f>'Combined Monthly Data'!AO65</f>
        <v>0</v>
      </c>
      <c r="M65">
        <f>'Combined Monthly Data'!AS65</f>
        <v>0</v>
      </c>
      <c r="N65">
        <f>'Combined Monthly Data'!AT65</f>
        <v>0</v>
      </c>
      <c r="O65">
        <f>'Combined Monthly Data'!AW65</f>
        <v>0</v>
      </c>
      <c r="Q65" s="8">
        <f>'Wholesale OLS model'!$B$5</f>
        <v>-50878161.758948997</v>
      </c>
      <c r="R65" s="8">
        <f>-'Combined Monthly Data'!G65</f>
        <v>-818191.38926873938</v>
      </c>
      <c r="S65" s="8">
        <f>'Wholesale OLS model'!$B$6*D65</f>
        <v>5366258.1363817034</v>
      </c>
      <c r="T65" s="8">
        <f>'Wholesale OLS model'!$B$7*E65</f>
        <v>0</v>
      </c>
      <c r="U65" s="8">
        <f>'Wholesale OLS model'!$B$8*F65</f>
        <v>84411697.498060748</v>
      </c>
      <c r="V65" s="8">
        <f>'Wholesale OLS model'!$B$9*G65</f>
        <v>-3603421.3866857407</v>
      </c>
      <c r="W65" s="8">
        <f>'Wholesale OLS model'!$B$10*H65</f>
        <v>9272931.8142328393</v>
      </c>
      <c r="X65" s="8">
        <f>'Wholesale OLS model'!$B$11*I65</f>
        <v>-1980487.4456003499</v>
      </c>
      <c r="Y65" s="8">
        <f>'Wholesale OLS model'!$B$12*J65</f>
        <v>-1702802.804970752</v>
      </c>
      <c r="Z65" s="8">
        <f>'Wholesale OLS model'!$B$13*K65</f>
        <v>0</v>
      </c>
      <c r="AA65" s="8">
        <f>'Wholesale OLS model'!$B$14*L65</f>
        <v>0</v>
      </c>
      <c r="AB65" s="8">
        <f>'Wholesale OLS model'!$B$15*M65</f>
        <v>0</v>
      </c>
      <c r="AC65" s="8">
        <f>'Wholesale OLS model'!$B$16*N65</f>
        <v>0</v>
      </c>
      <c r="AD65" s="8">
        <f>'Wholesale OLS model'!$B$17*O65</f>
        <v>0</v>
      </c>
      <c r="AE65" s="8">
        <f t="shared" si="1"/>
        <v>40067822.663200706</v>
      </c>
      <c r="AF65" s="101">
        <f t="shared" si="2"/>
        <v>4.3863250000209845E-2</v>
      </c>
    </row>
    <row r="66" spans="1:32" x14ac:dyDescent="0.2">
      <c r="A66" s="99">
        <f>'Combined Monthly Data'!A66</f>
        <v>41760</v>
      </c>
      <c r="B66">
        <f>'Combined Monthly Data'!B66</f>
        <v>2014</v>
      </c>
      <c r="C66" s="8">
        <f>'Combined Monthly Data'!C66</f>
        <v>40009171</v>
      </c>
      <c r="D66">
        <f>'Combined Monthly Data'!AB66</f>
        <v>146.39999999999998</v>
      </c>
      <c r="E66">
        <f>'Combined Monthly Data'!AC66</f>
        <v>7.3</v>
      </c>
      <c r="F66">
        <f>'Combined Monthly Data'!AF66</f>
        <v>6842.6</v>
      </c>
      <c r="G66">
        <f>'Combined Monthly Data'!AI66</f>
        <v>65</v>
      </c>
      <c r="H66" s="16">
        <f>'Combined Monthly Data'!AY66</f>
        <v>22</v>
      </c>
      <c r="I66">
        <f>'Combined Monthly Data'!BA66</f>
        <v>1</v>
      </c>
      <c r="J66">
        <f>'Combined Monthly Data'!BB66</f>
        <v>17</v>
      </c>
      <c r="K66">
        <f>'Combined Monthly Data'!AM66</f>
        <v>0</v>
      </c>
      <c r="L66">
        <f>'Combined Monthly Data'!AO66</f>
        <v>0</v>
      </c>
      <c r="M66">
        <f>'Combined Monthly Data'!AS66</f>
        <v>0</v>
      </c>
      <c r="N66">
        <f>'Combined Monthly Data'!AT66</f>
        <v>0</v>
      </c>
      <c r="O66">
        <f>'Combined Monthly Data'!AW66</f>
        <v>0</v>
      </c>
      <c r="Q66" s="8">
        <f>'Wholesale OLS model'!$B$5</f>
        <v>-50878161.758948997</v>
      </c>
      <c r="R66" s="8">
        <f>-'Combined Monthly Data'!G66</f>
        <v>-838736.74034464243</v>
      </c>
      <c r="S66" s="8">
        <f>'Wholesale OLS model'!$B$6*D66</f>
        <v>2321572.6689310907</v>
      </c>
      <c r="T66" s="8">
        <f>'Wholesale OLS model'!$B$7*E66</f>
        <v>688632.652629736</v>
      </c>
      <c r="U66" s="8">
        <f>'Wholesale OLS model'!$B$8*F66</f>
        <v>85128294.959503397</v>
      </c>
      <c r="V66" s="8">
        <f>'Wholesale OLS model'!$B$9*G66</f>
        <v>-3659724.8458527052</v>
      </c>
      <c r="W66" s="8">
        <f>'Wholesale OLS model'!$B$10*H66</f>
        <v>10200224.995656123</v>
      </c>
      <c r="X66" s="8">
        <f>'Wholesale OLS model'!$B$11*I66</f>
        <v>-1980487.4456003499</v>
      </c>
      <c r="Y66" s="8">
        <f>'Wholesale OLS model'!$B$12*J66</f>
        <v>-1809227.980281424</v>
      </c>
      <c r="Z66" s="8">
        <f>'Wholesale OLS model'!$B$13*K66</f>
        <v>0</v>
      </c>
      <c r="AA66" s="8">
        <f>'Wholesale OLS model'!$B$14*L66</f>
        <v>0</v>
      </c>
      <c r="AB66" s="8">
        <f>'Wholesale OLS model'!$B$15*M66</f>
        <v>0</v>
      </c>
      <c r="AC66" s="8">
        <f>'Wholesale OLS model'!$B$16*N66</f>
        <v>0</v>
      </c>
      <c r="AD66" s="8">
        <f>'Wholesale OLS model'!$B$17*O66</f>
        <v>0</v>
      </c>
      <c r="AE66" s="8">
        <f t="shared" si="1"/>
        <v>39172386.505692214</v>
      </c>
      <c r="AF66" s="101">
        <f t="shared" si="2"/>
        <v>2.0914817113001073E-2</v>
      </c>
    </row>
    <row r="67" spans="1:32" x14ac:dyDescent="0.2">
      <c r="A67" s="99">
        <f>'Combined Monthly Data'!A67</f>
        <v>41791</v>
      </c>
      <c r="B67">
        <f>'Combined Monthly Data'!B67</f>
        <v>2014</v>
      </c>
      <c r="C67" s="8">
        <f>'Combined Monthly Data'!C67</f>
        <v>45060086</v>
      </c>
      <c r="D67">
        <f>'Combined Monthly Data'!AB67</f>
        <v>21.3</v>
      </c>
      <c r="E67">
        <f>'Combined Monthly Data'!AC67</f>
        <v>71.599999999999994</v>
      </c>
      <c r="F67">
        <f>'Combined Monthly Data'!AF67</f>
        <v>6912.9</v>
      </c>
      <c r="G67">
        <f>'Combined Monthly Data'!AI67</f>
        <v>66</v>
      </c>
      <c r="H67" s="16">
        <f>'Combined Monthly Data'!AY67</f>
        <v>21</v>
      </c>
      <c r="I67">
        <f>'Combined Monthly Data'!BA67</f>
        <v>1</v>
      </c>
      <c r="J67">
        <f>'Combined Monthly Data'!BB67</f>
        <v>18</v>
      </c>
      <c r="K67">
        <f>'Combined Monthly Data'!AM67</f>
        <v>0</v>
      </c>
      <c r="L67">
        <f>'Combined Monthly Data'!AO67</f>
        <v>0</v>
      </c>
      <c r="M67">
        <f>'Combined Monthly Data'!AS67</f>
        <v>0</v>
      </c>
      <c r="N67">
        <f>'Combined Monthly Data'!AT67</f>
        <v>0</v>
      </c>
      <c r="O67">
        <f>'Combined Monthly Data'!AW67</f>
        <v>0</v>
      </c>
      <c r="Q67" s="8">
        <f>'Wholesale OLS model'!$B$5</f>
        <v>-50878161.758948997</v>
      </c>
      <c r="R67" s="8">
        <f>-'Combined Monthly Data'!G67</f>
        <v>-859282.09142054559</v>
      </c>
      <c r="S67" s="8">
        <f>'Wholesale OLS model'!$B$6*D67</f>
        <v>337769.7940453022</v>
      </c>
      <c r="T67" s="8">
        <f>'Wholesale OLS model'!$B$7*E67</f>
        <v>6754259.9901765874</v>
      </c>
      <c r="U67" s="8">
        <f>'Wholesale OLS model'!$B$8*F67</f>
        <v>86002892.208451614</v>
      </c>
      <c r="V67" s="8">
        <f>'Wholesale OLS model'!$B$9*G67</f>
        <v>-3716028.3050196702</v>
      </c>
      <c r="W67" s="8">
        <f>'Wholesale OLS model'!$B$10*H67</f>
        <v>9736578.4049444813</v>
      </c>
      <c r="X67" s="8">
        <f>'Wholesale OLS model'!$B$11*I67</f>
        <v>-1980487.4456003499</v>
      </c>
      <c r="Y67" s="8">
        <f>'Wholesale OLS model'!$B$12*J67</f>
        <v>-1915653.155592096</v>
      </c>
      <c r="Z67" s="8">
        <f>'Wholesale OLS model'!$B$13*K67</f>
        <v>0</v>
      </c>
      <c r="AA67" s="8">
        <f>'Wholesale OLS model'!$B$14*L67</f>
        <v>0</v>
      </c>
      <c r="AB67" s="8">
        <f>'Wholesale OLS model'!$B$15*M67</f>
        <v>0</v>
      </c>
      <c r="AC67" s="8">
        <f>'Wholesale OLS model'!$B$16*N67</f>
        <v>0</v>
      </c>
      <c r="AD67" s="8">
        <f>'Wholesale OLS model'!$B$17*O67</f>
        <v>0</v>
      </c>
      <c r="AE67" s="8">
        <f t="shared" ref="AE67:AE85" si="3">SUM(Q67:AD67)</f>
        <v>43481887.641036317</v>
      </c>
      <c r="AF67" s="101">
        <f t="shared" ref="AF67:AF85" si="4">ABS((AE67-C67)/C67)</f>
        <v>3.5024308630118531E-2</v>
      </c>
    </row>
    <row r="68" spans="1:32" x14ac:dyDescent="0.2">
      <c r="A68" s="99">
        <f>'Combined Monthly Data'!A68</f>
        <v>41821</v>
      </c>
      <c r="B68">
        <f>'Combined Monthly Data'!B68</f>
        <v>2014</v>
      </c>
      <c r="C68" s="8">
        <f>'Combined Monthly Data'!C68</f>
        <v>46747535</v>
      </c>
      <c r="D68">
        <f>'Combined Monthly Data'!AB68</f>
        <v>13.700000000000001</v>
      </c>
      <c r="E68">
        <f>'Combined Monthly Data'!AC68</f>
        <v>51</v>
      </c>
      <c r="F68">
        <f>'Combined Monthly Data'!AF68</f>
        <v>6957.8</v>
      </c>
      <c r="G68">
        <f>'Combined Monthly Data'!AI68</f>
        <v>67</v>
      </c>
      <c r="H68" s="16">
        <f>'Combined Monthly Data'!AY68</f>
        <v>22</v>
      </c>
      <c r="I68">
        <f>'Combined Monthly Data'!BA68</f>
        <v>1</v>
      </c>
      <c r="J68">
        <f>'Combined Monthly Data'!BB68</f>
        <v>19</v>
      </c>
      <c r="K68">
        <f>'Combined Monthly Data'!AM68</f>
        <v>0</v>
      </c>
      <c r="L68">
        <f>'Combined Monthly Data'!AO68</f>
        <v>0</v>
      </c>
      <c r="M68">
        <f>'Combined Monthly Data'!AS68</f>
        <v>1</v>
      </c>
      <c r="N68">
        <f>'Combined Monthly Data'!AT68</f>
        <v>0</v>
      </c>
      <c r="O68">
        <f>'Combined Monthly Data'!AW68</f>
        <v>0</v>
      </c>
      <c r="Q68" s="8">
        <f>'Wholesale OLS model'!$B$5</f>
        <v>-50878161.758948997</v>
      </c>
      <c r="R68" s="8">
        <f>-'Combined Monthly Data'!G68</f>
        <v>-879827.44249644864</v>
      </c>
      <c r="S68" s="8">
        <f>'Wholesale OLS model'!$B$6*D68</f>
        <v>217250.99429204882</v>
      </c>
      <c r="T68" s="8">
        <f>'Wholesale OLS model'!$B$7*E68</f>
        <v>4810995.2443995252</v>
      </c>
      <c r="U68" s="8">
        <f>'Wholesale OLS model'!$B$8*F68</f>
        <v>86561489.882388666</v>
      </c>
      <c r="V68" s="8">
        <f>'Wholesale OLS model'!$B$9*G68</f>
        <v>-3772331.7641866347</v>
      </c>
      <c r="W68" s="8">
        <f>'Wholesale OLS model'!$B$10*H68</f>
        <v>10200224.995656123</v>
      </c>
      <c r="X68" s="8">
        <f>'Wholesale OLS model'!$B$11*I68</f>
        <v>-1980487.4456003499</v>
      </c>
      <c r="Y68" s="8">
        <f>'Wholesale OLS model'!$B$12*J68</f>
        <v>-2022078.3309027681</v>
      </c>
      <c r="Z68" s="8">
        <f>'Wholesale OLS model'!$B$13*K68</f>
        <v>0</v>
      </c>
      <c r="AA68" s="8">
        <f>'Wholesale OLS model'!$B$14*L68</f>
        <v>0</v>
      </c>
      <c r="AB68" s="8">
        <f>'Wholesale OLS model'!$B$15*M68</f>
        <v>2370057.8473386201</v>
      </c>
      <c r="AC68" s="8">
        <f>'Wholesale OLS model'!$B$16*N68</f>
        <v>0</v>
      </c>
      <c r="AD68" s="8">
        <f>'Wholesale OLS model'!$B$17*O68</f>
        <v>0</v>
      </c>
      <c r="AE68" s="8">
        <f t="shared" si="3"/>
        <v>44627132.22193978</v>
      </c>
      <c r="AF68" s="101">
        <f t="shared" si="4"/>
        <v>4.5358600791682815E-2</v>
      </c>
    </row>
    <row r="69" spans="1:32" x14ac:dyDescent="0.2">
      <c r="A69" s="99">
        <f>'Combined Monthly Data'!A69</f>
        <v>41852</v>
      </c>
      <c r="B69">
        <f>'Combined Monthly Data'!B69</f>
        <v>2014</v>
      </c>
      <c r="C69" s="8">
        <f>'Combined Monthly Data'!C69</f>
        <v>44915574</v>
      </c>
      <c r="D69">
        <f>'Combined Monthly Data'!AB69</f>
        <v>19.5</v>
      </c>
      <c r="E69">
        <f>'Combined Monthly Data'!AC69</f>
        <v>56.999999999999993</v>
      </c>
      <c r="F69">
        <f>'Combined Monthly Data'!AF69</f>
        <v>6969.7</v>
      </c>
      <c r="G69">
        <f>'Combined Monthly Data'!AI69</f>
        <v>68</v>
      </c>
      <c r="H69" s="16">
        <f>'Combined Monthly Data'!AY69</f>
        <v>20</v>
      </c>
      <c r="I69">
        <f>'Combined Monthly Data'!BA69</f>
        <v>1</v>
      </c>
      <c r="J69">
        <f>'Combined Monthly Data'!BB69</f>
        <v>20</v>
      </c>
      <c r="K69">
        <f>'Combined Monthly Data'!AM69</f>
        <v>0</v>
      </c>
      <c r="L69">
        <f>'Combined Monthly Data'!AO69</f>
        <v>0</v>
      </c>
      <c r="M69">
        <f>'Combined Monthly Data'!AS69</f>
        <v>0</v>
      </c>
      <c r="N69">
        <f>'Combined Monthly Data'!AT69</f>
        <v>1</v>
      </c>
      <c r="O69">
        <f>'Combined Monthly Data'!AW69</f>
        <v>0</v>
      </c>
      <c r="Q69" s="8">
        <f>'Wholesale OLS model'!$B$5</f>
        <v>-50878161.758948997</v>
      </c>
      <c r="R69" s="8">
        <f>-'Combined Monthly Data'!G69</f>
        <v>-900372.79357235169</v>
      </c>
      <c r="S69" s="8">
        <f>'Wholesale OLS model'!$B$6*D69</f>
        <v>309225.86778795271</v>
      </c>
      <c r="T69" s="8">
        <f>'Wholesale OLS model'!$B$7*E69</f>
        <v>5376994.6849171156</v>
      </c>
      <c r="U69" s="8">
        <f>'Wholesale OLS model'!$B$8*F69</f>
        <v>86709536.927374214</v>
      </c>
      <c r="V69" s="8">
        <f>'Wholesale OLS model'!$B$9*G69</f>
        <v>-3828635.2233535997</v>
      </c>
      <c r="W69" s="8">
        <f>'Wholesale OLS model'!$B$10*H69</f>
        <v>9272931.8142328393</v>
      </c>
      <c r="X69" s="8">
        <f>'Wholesale OLS model'!$B$11*I69</f>
        <v>-1980487.4456003499</v>
      </c>
      <c r="Y69" s="8">
        <f>'Wholesale OLS model'!$B$12*J69</f>
        <v>-2128503.5062134401</v>
      </c>
      <c r="Z69" s="8">
        <f>'Wholesale OLS model'!$B$13*K69</f>
        <v>0</v>
      </c>
      <c r="AA69" s="8">
        <f>'Wholesale OLS model'!$B$14*L69</f>
        <v>0</v>
      </c>
      <c r="AB69" s="8">
        <f>'Wholesale OLS model'!$B$15*M69</f>
        <v>0</v>
      </c>
      <c r="AC69" s="8">
        <f>'Wholesale OLS model'!$B$16*N69</f>
        <v>3743904.46078429</v>
      </c>
      <c r="AD69" s="8">
        <f>'Wholesale OLS model'!$B$17*O69</f>
        <v>0</v>
      </c>
      <c r="AE69" s="8">
        <f t="shared" si="3"/>
        <v>45696433.027407661</v>
      </c>
      <c r="AF69" s="101">
        <f t="shared" si="4"/>
        <v>1.7385039483357401E-2</v>
      </c>
    </row>
    <row r="70" spans="1:32" x14ac:dyDescent="0.2">
      <c r="A70" s="99">
        <f>'Combined Monthly Data'!A70</f>
        <v>41883</v>
      </c>
      <c r="B70">
        <f>'Combined Monthly Data'!B70</f>
        <v>2014</v>
      </c>
      <c r="C70" s="8">
        <f>'Combined Monthly Data'!C70</f>
        <v>39557944</v>
      </c>
      <c r="D70">
        <f>'Combined Monthly Data'!AB70</f>
        <v>85.300000000000011</v>
      </c>
      <c r="E70">
        <f>'Combined Monthly Data'!AC70</f>
        <v>27.500000000000004</v>
      </c>
      <c r="F70">
        <f>'Combined Monthly Data'!AF70</f>
        <v>6944.1</v>
      </c>
      <c r="G70">
        <f>'Combined Monthly Data'!AI70</f>
        <v>69</v>
      </c>
      <c r="H70" s="16">
        <f>'Combined Monthly Data'!AY70</f>
        <v>21</v>
      </c>
      <c r="I70">
        <f>'Combined Monthly Data'!BA70</f>
        <v>1</v>
      </c>
      <c r="J70">
        <f>'Combined Monthly Data'!BB70</f>
        <v>21</v>
      </c>
      <c r="K70">
        <f>'Combined Monthly Data'!AM70</f>
        <v>0</v>
      </c>
      <c r="L70">
        <f>'Combined Monthly Data'!AO70</f>
        <v>0</v>
      </c>
      <c r="M70">
        <f>'Combined Monthly Data'!AS70</f>
        <v>0</v>
      </c>
      <c r="N70">
        <f>'Combined Monthly Data'!AT70</f>
        <v>0</v>
      </c>
      <c r="O70">
        <f>'Combined Monthly Data'!AW70</f>
        <v>0</v>
      </c>
      <c r="Q70" s="8">
        <f>'Wholesale OLS model'!$B$5</f>
        <v>-50878161.758948997</v>
      </c>
      <c r="R70" s="8">
        <f>-'Combined Monthly Data'!G70</f>
        <v>-920918.14464825485</v>
      </c>
      <c r="S70" s="8">
        <f>'Wholesale OLS model'!$B$6*D70</f>
        <v>1352664.9498621728</v>
      </c>
      <c r="T70" s="8">
        <f>'Wholesale OLS model'!$B$7*E70</f>
        <v>2594164.1023722934</v>
      </c>
      <c r="U70" s="8">
        <f>'Wholesale OLS model'!$B$8*F70</f>
        <v>86391049.166733041</v>
      </c>
      <c r="V70" s="8">
        <f>'Wholesale OLS model'!$B$9*G70</f>
        <v>-3884938.6825205642</v>
      </c>
      <c r="W70" s="8">
        <f>'Wholesale OLS model'!$B$10*H70</f>
        <v>9736578.4049444813</v>
      </c>
      <c r="X70" s="8">
        <f>'Wholesale OLS model'!$B$11*I70</f>
        <v>-1980487.4456003499</v>
      </c>
      <c r="Y70" s="8">
        <f>'Wholesale OLS model'!$B$12*J70</f>
        <v>-2234928.6815241119</v>
      </c>
      <c r="Z70" s="8">
        <f>'Wholesale OLS model'!$B$13*K70</f>
        <v>0</v>
      </c>
      <c r="AA70" s="8">
        <f>'Wholesale OLS model'!$B$14*L70</f>
        <v>0</v>
      </c>
      <c r="AB70" s="8">
        <f>'Wholesale OLS model'!$B$15*M70</f>
        <v>0</v>
      </c>
      <c r="AC70" s="8">
        <f>'Wholesale OLS model'!$B$16*N70</f>
        <v>0</v>
      </c>
      <c r="AD70" s="8">
        <f>'Wholesale OLS model'!$B$17*O70</f>
        <v>0</v>
      </c>
      <c r="AE70" s="8">
        <f t="shared" si="3"/>
        <v>40175021.910669714</v>
      </c>
      <c r="AF70" s="101">
        <f t="shared" si="4"/>
        <v>1.5599342338664371E-2</v>
      </c>
    </row>
    <row r="71" spans="1:32" x14ac:dyDescent="0.2">
      <c r="A71" s="99">
        <f>'Combined Monthly Data'!A71</f>
        <v>41913</v>
      </c>
      <c r="B71">
        <f>'Combined Monthly Data'!B71</f>
        <v>2014</v>
      </c>
      <c r="C71" s="8">
        <f>'Combined Monthly Data'!C71</f>
        <v>39850442</v>
      </c>
      <c r="D71">
        <f>'Combined Monthly Data'!AB71</f>
        <v>225.09999999999997</v>
      </c>
      <c r="E71">
        <f>'Combined Monthly Data'!AC71</f>
        <v>4.5</v>
      </c>
      <c r="F71">
        <f>'Combined Monthly Data'!AF71</f>
        <v>6936.6</v>
      </c>
      <c r="G71">
        <f>'Combined Monthly Data'!AI71</f>
        <v>70</v>
      </c>
      <c r="H71" s="16">
        <f>'Combined Monthly Data'!AY71</f>
        <v>22</v>
      </c>
      <c r="I71">
        <f>'Combined Monthly Data'!BA71</f>
        <v>1</v>
      </c>
      <c r="J71">
        <f>'Combined Monthly Data'!BB71</f>
        <v>22</v>
      </c>
      <c r="K71">
        <f>'Combined Monthly Data'!AM71</f>
        <v>0</v>
      </c>
      <c r="L71">
        <f>'Combined Monthly Data'!AO71</f>
        <v>0</v>
      </c>
      <c r="M71">
        <f>'Combined Monthly Data'!AS71</f>
        <v>0</v>
      </c>
      <c r="N71">
        <f>'Combined Monthly Data'!AT71</f>
        <v>0</v>
      </c>
      <c r="O71">
        <f>'Combined Monthly Data'!AW71</f>
        <v>0</v>
      </c>
      <c r="Q71" s="8">
        <f>'Wholesale OLS model'!$B$5</f>
        <v>-50878161.758948997</v>
      </c>
      <c r="R71" s="8">
        <f>-'Combined Monthly Data'!G71</f>
        <v>-941463.4957241579</v>
      </c>
      <c r="S71" s="8">
        <f>'Wholesale OLS model'!$B$6*D71</f>
        <v>3569576.5558496481</v>
      </c>
      <c r="T71" s="8">
        <f>'Wholesale OLS model'!$B$7*E71</f>
        <v>424499.58038819337</v>
      </c>
      <c r="U71" s="8">
        <f>'Wholesale OLS model'!$B$8*F71</f>
        <v>86297742.205607697</v>
      </c>
      <c r="V71" s="8">
        <f>'Wholesale OLS model'!$B$9*G71</f>
        <v>-3941242.1416875287</v>
      </c>
      <c r="W71" s="8">
        <f>'Wholesale OLS model'!$B$10*H71</f>
        <v>10200224.995656123</v>
      </c>
      <c r="X71" s="8">
        <f>'Wholesale OLS model'!$B$11*I71</f>
        <v>-1980487.4456003499</v>
      </c>
      <c r="Y71" s="8">
        <f>'Wholesale OLS model'!$B$12*J71</f>
        <v>-2341353.8568347842</v>
      </c>
      <c r="Z71" s="8">
        <f>'Wholesale OLS model'!$B$13*K71</f>
        <v>0</v>
      </c>
      <c r="AA71" s="8">
        <f>'Wholesale OLS model'!$B$14*L71</f>
        <v>0</v>
      </c>
      <c r="AB71" s="8">
        <f>'Wholesale OLS model'!$B$15*M71</f>
        <v>0</v>
      </c>
      <c r="AC71" s="8">
        <f>'Wholesale OLS model'!$B$16*N71</f>
        <v>0</v>
      </c>
      <c r="AD71" s="8">
        <f>'Wholesale OLS model'!$B$17*O71</f>
        <v>0</v>
      </c>
      <c r="AE71" s="8">
        <f t="shared" si="3"/>
        <v>40409334.63870585</v>
      </c>
      <c r="AF71" s="101">
        <f t="shared" si="4"/>
        <v>1.4024753820945065E-2</v>
      </c>
    </row>
    <row r="72" spans="1:32" x14ac:dyDescent="0.2">
      <c r="A72" s="99">
        <f>'Combined Monthly Data'!A72</f>
        <v>41944</v>
      </c>
      <c r="B72">
        <f>'Combined Monthly Data'!B72</f>
        <v>2014</v>
      </c>
      <c r="C72" s="8">
        <f>'Combined Monthly Data'!C72</f>
        <v>43491698</v>
      </c>
      <c r="D72">
        <f>'Combined Monthly Data'!AB72</f>
        <v>465.7</v>
      </c>
      <c r="E72">
        <f>'Combined Monthly Data'!AC72</f>
        <v>0</v>
      </c>
      <c r="F72">
        <f>'Combined Monthly Data'!AF72</f>
        <v>6914.3</v>
      </c>
      <c r="G72">
        <f>'Combined Monthly Data'!AI72</f>
        <v>71</v>
      </c>
      <c r="H72" s="16">
        <f>'Combined Monthly Data'!AY72</f>
        <v>20</v>
      </c>
      <c r="I72">
        <f>'Combined Monthly Data'!BA72</f>
        <v>1</v>
      </c>
      <c r="J72">
        <f>'Combined Monthly Data'!BB72</f>
        <v>23</v>
      </c>
      <c r="K72">
        <f>'Combined Monthly Data'!AM72</f>
        <v>0</v>
      </c>
      <c r="L72">
        <f>'Combined Monthly Data'!AO72</f>
        <v>0</v>
      </c>
      <c r="M72">
        <f>'Combined Monthly Data'!AS72</f>
        <v>0</v>
      </c>
      <c r="N72">
        <f>'Combined Monthly Data'!AT72</f>
        <v>0</v>
      </c>
      <c r="O72">
        <f>'Combined Monthly Data'!AW72</f>
        <v>1</v>
      </c>
      <c r="Q72" s="8">
        <f>'Wholesale OLS model'!$B$5</f>
        <v>-50878161.758948997</v>
      </c>
      <c r="R72" s="8">
        <f>-'Combined Monthly Data'!G72</f>
        <v>-962008.84680006106</v>
      </c>
      <c r="S72" s="8">
        <f>'Wholesale OLS model'!$B$6*D72</f>
        <v>7384948.0322486954</v>
      </c>
      <c r="T72" s="8">
        <f>'Wholesale OLS model'!$B$7*E72</f>
        <v>0</v>
      </c>
      <c r="U72" s="8">
        <f>'Wholesale OLS model'!$B$8*F72</f>
        <v>86020309.507861674</v>
      </c>
      <c r="V72" s="8">
        <f>'Wholesale OLS model'!$B$9*G72</f>
        <v>-3997545.6008544937</v>
      </c>
      <c r="W72" s="8">
        <f>'Wholesale OLS model'!$B$10*H72</f>
        <v>9272931.8142328393</v>
      </c>
      <c r="X72" s="8">
        <f>'Wholesale OLS model'!$B$11*I72</f>
        <v>-1980487.4456003499</v>
      </c>
      <c r="Y72" s="8">
        <f>'Wholesale OLS model'!$B$12*J72</f>
        <v>-2447779.0321454559</v>
      </c>
      <c r="Z72" s="8">
        <f>'Wholesale OLS model'!$B$13*K72</f>
        <v>0</v>
      </c>
      <c r="AA72" s="8">
        <f>'Wholesale OLS model'!$B$14*L72</f>
        <v>0</v>
      </c>
      <c r="AB72" s="8">
        <f>'Wholesale OLS model'!$B$15*M72</f>
        <v>0</v>
      </c>
      <c r="AC72" s="8">
        <f>'Wholesale OLS model'!$B$16*N72</f>
        <v>0</v>
      </c>
      <c r="AD72" s="8">
        <f>'Wholesale OLS model'!$B$17*O72</f>
        <v>-1766353.8816768799</v>
      </c>
      <c r="AE72" s="8">
        <f t="shared" si="3"/>
        <v>40645852.788316973</v>
      </c>
      <c r="AF72" s="101">
        <f t="shared" si="4"/>
        <v>6.5434217162158803E-2</v>
      </c>
    </row>
    <row r="73" spans="1:32" x14ac:dyDescent="0.2">
      <c r="A73" s="99">
        <f>'Combined Monthly Data'!A73</f>
        <v>41974</v>
      </c>
      <c r="B73">
        <f>'Combined Monthly Data'!B73</f>
        <v>2014</v>
      </c>
      <c r="C73" s="8">
        <f>'Combined Monthly Data'!C73</f>
        <v>44870993</v>
      </c>
      <c r="D73">
        <f>'Combined Monthly Data'!AB73</f>
        <v>540.79999999999995</v>
      </c>
      <c r="E73">
        <f>'Combined Monthly Data'!AC73</f>
        <v>0</v>
      </c>
      <c r="F73">
        <f>'Combined Monthly Data'!AF73</f>
        <v>6903.2</v>
      </c>
      <c r="G73">
        <f>'Combined Monthly Data'!AI73</f>
        <v>72</v>
      </c>
      <c r="H73" s="16">
        <f>'Combined Monthly Data'!AY73</f>
        <v>21</v>
      </c>
      <c r="I73">
        <f>'Combined Monthly Data'!BA73</f>
        <v>1</v>
      </c>
      <c r="J73">
        <f>'Combined Monthly Data'!BB73</f>
        <v>24</v>
      </c>
      <c r="K73">
        <f>'Combined Monthly Data'!AM73</f>
        <v>0</v>
      </c>
      <c r="L73">
        <f>'Combined Monthly Data'!AO73</f>
        <v>0</v>
      </c>
      <c r="M73">
        <f>'Combined Monthly Data'!AS73</f>
        <v>0</v>
      </c>
      <c r="N73">
        <f>'Combined Monthly Data'!AT73</f>
        <v>0</v>
      </c>
      <c r="O73">
        <f>'Combined Monthly Data'!AW73</f>
        <v>0</v>
      </c>
      <c r="Q73" s="8">
        <f>'Wholesale OLS model'!$B$5</f>
        <v>-50878161.758948997</v>
      </c>
      <c r="R73" s="8">
        <f>-'Combined Monthly Data'!G73</f>
        <v>-982554.19787596422</v>
      </c>
      <c r="S73" s="8">
        <f>'Wholesale OLS model'!$B$6*D73</f>
        <v>8575864.066652555</v>
      </c>
      <c r="T73" s="8">
        <f>'Wholesale OLS model'!$B$7*E73</f>
        <v>0</v>
      </c>
      <c r="U73" s="8">
        <f>'Wholesale OLS model'!$B$8*F73</f>
        <v>85882215.20539616</v>
      </c>
      <c r="V73" s="8">
        <f>'Wholesale OLS model'!$B$9*G73</f>
        <v>-4053849.0600214582</v>
      </c>
      <c r="W73" s="8">
        <f>'Wholesale OLS model'!$B$10*H73</f>
        <v>9736578.4049444813</v>
      </c>
      <c r="X73" s="8">
        <f>'Wholesale OLS model'!$B$11*I73</f>
        <v>-1980487.4456003499</v>
      </c>
      <c r="Y73" s="8">
        <f>'Wholesale OLS model'!$B$12*J73</f>
        <v>-2554204.2074561277</v>
      </c>
      <c r="Z73" s="8">
        <f>'Wholesale OLS model'!$B$13*K73</f>
        <v>0</v>
      </c>
      <c r="AA73" s="8">
        <f>'Wholesale OLS model'!$B$14*L73</f>
        <v>0</v>
      </c>
      <c r="AB73" s="8">
        <f>'Wholesale OLS model'!$B$15*M73</f>
        <v>0</v>
      </c>
      <c r="AC73" s="8">
        <f>'Wholesale OLS model'!$B$16*N73</f>
        <v>0</v>
      </c>
      <c r="AD73" s="8">
        <f>'Wholesale OLS model'!$B$17*O73</f>
        <v>0</v>
      </c>
      <c r="AE73" s="8">
        <f t="shared" si="3"/>
        <v>43745401.007090293</v>
      </c>
      <c r="AF73" s="101">
        <f t="shared" si="4"/>
        <v>2.5085069833638562E-2</v>
      </c>
    </row>
    <row r="74" spans="1:32" x14ac:dyDescent="0.2">
      <c r="A74" s="99">
        <f>'Combined Monthly Data'!A74</f>
        <v>42005</v>
      </c>
      <c r="B74">
        <f>'Combined Monthly Data'!B74</f>
        <v>2015</v>
      </c>
      <c r="C74" s="8">
        <f>'Combined Monthly Data'!C74</f>
        <v>50100445</v>
      </c>
      <c r="D74">
        <f>'Combined Monthly Data'!AB74</f>
        <v>776.4</v>
      </c>
      <c r="E74">
        <f>'Combined Monthly Data'!AC74</f>
        <v>0</v>
      </c>
      <c r="F74">
        <f>'Combined Monthly Data'!AF74</f>
        <v>6845.1</v>
      </c>
      <c r="G74">
        <f>'Combined Monthly Data'!AI74</f>
        <v>73</v>
      </c>
      <c r="H74" s="16">
        <f>'Combined Monthly Data'!AY74</f>
        <v>21</v>
      </c>
      <c r="I74">
        <f>'Combined Monthly Data'!BA74</f>
        <v>1</v>
      </c>
      <c r="J74">
        <f>'Combined Monthly Data'!BB74</f>
        <v>25</v>
      </c>
      <c r="K74">
        <f>'Combined Monthly Data'!AM74</f>
        <v>1</v>
      </c>
      <c r="L74">
        <f>'Combined Monthly Data'!AO74</f>
        <v>0</v>
      </c>
      <c r="M74">
        <f>'Combined Monthly Data'!AS74</f>
        <v>0</v>
      </c>
      <c r="N74">
        <f>'Combined Monthly Data'!AT74</f>
        <v>0</v>
      </c>
      <c r="O74">
        <f>'Combined Monthly Data'!AW74</f>
        <v>0</v>
      </c>
      <c r="Q74" s="8">
        <f>'Wholesale OLS model'!$B$5</f>
        <v>-50878161.758948997</v>
      </c>
      <c r="R74" s="8">
        <f>-'Combined Monthly Data'!G74</f>
        <v>-971312.95977483224</v>
      </c>
      <c r="S74" s="8">
        <f>'Wholesale OLS model'!$B$6*D74</f>
        <v>12311946.859003408</v>
      </c>
      <c r="T74" s="8">
        <f>'Wholesale OLS model'!$B$7*E74</f>
        <v>0</v>
      </c>
      <c r="U74" s="8">
        <f>'Wholesale OLS model'!$B$8*F74</f>
        <v>85159397.279878512</v>
      </c>
      <c r="V74" s="8">
        <f>'Wholesale OLS model'!$B$9*G74</f>
        <v>-4110152.5191884232</v>
      </c>
      <c r="W74" s="8">
        <f>'Wholesale OLS model'!$B$10*H74</f>
        <v>9736578.4049444813</v>
      </c>
      <c r="X74" s="8">
        <f>'Wholesale OLS model'!$B$11*I74</f>
        <v>-1980487.4456003499</v>
      </c>
      <c r="Y74" s="8">
        <f>'Wholesale OLS model'!$B$12*J74</f>
        <v>-2660629.3827668</v>
      </c>
      <c r="Z74" s="8">
        <f>'Wholesale OLS model'!$B$13*K74</f>
        <v>2647304.3437043098</v>
      </c>
      <c r="AA74" s="8">
        <f>'Wholesale OLS model'!$B$14*L74</f>
        <v>0</v>
      </c>
      <c r="AB74" s="8">
        <f>'Wholesale OLS model'!$B$15*M74</f>
        <v>0</v>
      </c>
      <c r="AC74" s="8">
        <f>'Wholesale OLS model'!$B$16*N74</f>
        <v>0</v>
      </c>
      <c r="AD74" s="8">
        <f>'Wholesale OLS model'!$B$17*O74</f>
        <v>0</v>
      </c>
      <c r="AE74" s="8">
        <f t="shared" si="3"/>
        <v>49254482.82125131</v>
      </c>
      <c r="AF74" s="101">
        <f t="shared" si="4"/>
        <v>1.6885322650301602E-2</v>
      </c>
    </row>
    <row r="75" spans="1:32" x14ac:dyDescent="0.2">
      <c r="A75" s="99">
        <f>'Combined Monthly Data'!A75</f>
        <v>42036</v>
      </c>
      <c r="B75">
        <f>'Combined Monthly Data'!B75</f>
        <v>2015</v>
      </c>
      <c r="C75" s="8">
        <f>'Combined Monthly Data'!C75</f>
        <v>46271067</v>
      </c>
      <c r="D75">
        <f>'Combined Monthly Data'!AB75</f>
        <v>871.9</v>
      </c>
      <c r="E75">
        <f>'Combined Monthly Data'!AC75</f>
        <v>0</v>
      </c>
      <c r="F75">
        <f>'Combined Monthly Data'!AF75</f>
        <v>6810.3</v>
      </c>
      <c r="G75">
        <f>'Combined Monthly Data'!AI75</f>
        <v>74</v>
      </c>
      <c r="H75" s="16">
        <f>'Combined Monthly Data'!AY75</f>
        <v>19</v>
      </c>
      <c r="I75">
        <f>'Combined Monthly Data'!BA75</f>
        <v>1</v>
      </c>
      <c r="J75">
        <f>'Combined Monthly Data'!BB75</f>
        <v>26</v>
      </c>
      <c r="K75">
        <f>'Combined Monthly Data'!AM75</f>
        <v>0</v>
      </c>
      <c r="L75">
        <f>'Combined Monthly Data'!AO75</f>
        <v>0</v>
      </c>
      <c r="M75">
        <f>'Combined Monthly Data'!AS75</f>
        <v>0</v>
      </c>
      <c r="N75">
        <f>'Combined Monthly Data'!AT75</f>
        <v>0</v>
      </c>
      <c r="O75">
        <f>'Combined Monthly Data'!AW75</f>
        <v>0</v>
      </c>
      <c r="Q75" s="8">
        <f>'Wholesale OLS model'!$B$5</f>
        <v>-50878161.758948997</v>
      </c>
      <c r="R75" s="8">
        <f>-'Combined Monthly Data'!G75</f>
        <v>-999878.36949705461</v>
      </c>
      <c r="S75" s="8">
        <f>'Wholesale OLS model'!$B$6*D75</f>
        <v>13826360.724323895</v>
      </c>
      <c r="T75" s="8">
        <f>'Wholesale OLS model'!$B$7*E75</f>
        <v>0</v>
      </c>
      <c r="U75" s="8">
        <f>'Wholesale OLS model'!$B$8*F75</f>
        <v>84726452.980256915</v>
      </c>
      <c r="V75" s="8">
        <f>'Wholesale OLS model'!$B$9*G75</f>
        <v>-4166455.9783553877</v>
      </c>
      <c r="W75" s="8">
        <f>'Wholesale OLS model'!$B$10*H75</f>
        <v>8809285.2235211972</v>
      </c>
      <c r="X75" s="8">
        <f>'Wholesale OLS model'!$B$11*I75</f>
        <v>-1980487.4456003499</v>
      </c>
      <c r="Y75" s="8">
        <f>'Wholesale OLS model'!$B$12*J75</f>
        <v>-2767054.5580774718</v>
      </c>
      <c r="Z75" s="8">
        <f>'Wholesale OLS model'!$B$13*K75</f>
        <v>0</v>
      </c>
      <c r="AA75" s="8">
        <f>'Wholesale OLS model'!$B$14*L75</f>
        <v>0</v>
      </c>
      <c r="AB75" s="8">
        <f>'Wholesale OLS model'!$B$15*M75</f>
        <v>0</v>
      </c>
      <c r="AC75" s="8">
        <f>'Wholesale OLS model'!$B$16*N75</f>
        <v>0</v>
      </c>
      <c r="AD75" s="8">
        <f>'Wholesale OLS model'!$B$17*O75</f>
        <v>0</v>
      </c>
      <c r="AE75" s="8">
        <f t="shared" si="3"/>
        <v>46570060.817622744</v>
      </c>
      <c r="AF75" s="101">
        <f t="shared" si="4"/>
        <v>6.4617878300222368E-3</v>
      </c>
    </row>
    <row r="76" spans="1:32" x14ac:dyDescent="0.2">
      <c r="A76" s="99">
        <f>'Combined Monthly Data'!A76</f>
        <v>42064</v>
      </c>
      <c r="B76">
        <f>'Combined Monthly Data'!B76</f>
        <v>2015</v>
      </c>
      <c r="C76" s="8">
        <f>'Combined Monthly Data'!C76</f>
        <v>44501238</v>
      </c>
      <c r="D76">
        <f>'Combined Monthly Data'!AB76</f>
        <v>637</v>
      </c>
      <c r="E76">
        <f>'Combined Monthly Data'!AC76</f>
        <v>0</v>
      </c>
      <c r="F76">
        <f>'Combined Monthly Data'!AF76</f>
        <v>6783.7</v>
      </c>
      <c r="G76">
        <f>'Combined Monthly Data'!AI76</f>
        <v>75</v>
      </c>
      <c r="H76" s="16">
        <f>'Combined Monthly Data'!AY76</f>
        <v>22</v>
      </c>
      <c r="I76">
        <f>'Combined Monthly Data'!BA76</f>
        <v>1</v>
      </c>
      <c r="J76">
        <f>'Combined Monthly Data'!BB76</f>
        <v>27</v>
      </c>
      <c r="K76">
        <f>'Combined Monthly Data'!AM76</f>
        <v>0</v>
      </c>
      <c r="L76">
        <f>'Combined Monthly Data'!AO76</f>
        <v>1</v>
      </c>
      <c r="M76">
        <f>'Combined Monthly Data'!AS76</f>
        <v>0</v>
      </c>
      <c r="N76">
        <f>'Combined Monthly Data'!AT76</f>
        <v>0</v>
      </c>
      <c r="O76">
        <f>'Combined Monthly Data'!AW76</f>
        <v>0</v>
      </c>
      <c r="Q76" s="8">
        <f>'Wholesale OLS model'!$B$5</f>
        <v>-50878161.758948997</v>
      </c>
      <c r="R76" s="8">
        <f>-'Combined Monthly Data'!G76</f>
        <v>-1028443.7792192769</v>
      </c>
      <c r="S76" s="8">
        <f>'Wholesale OLS model'!$B$6*D76</f>
        <v>10101378.347739788</v>
      </c>
      <c r="T76" s="8">
        <f>'Wholesale OLS model'!$B$7*E76</f>
        <v>0</v>
      </c>
      <c r="U76" s="8">
        <f>'Wholesale OLS model'!$B$8*F76</f>
        <v>84395524.291465685</v>
      </c>
      <c r="V76" s="8">
        <f>'Wholesale OLS model'!$B$9*G76</f>
        <v>-4222759.4375223527</v>
      </c>
      <c r="W76" s="8">
        <f>'Wholesale OLS model'!$B$10*H76</f>
        <v>10200224.995656123</v>
      </c>
      <c r="X76" s="8">
        <f>'Wholesale OLS model'!$B$11*I76</f>
        <v>-1980487.4456003499</v>
      </c>
      <c r="Y76" s="8">
        <f>'Wholesale OLS model'!$B$12*J76</f>
        <v>-2873479.7333881441</v>
      </c>
      <c r="Z76" s="8">
        <f>'Wholesale OLS model'!$B$13*K76</f>
        <v>0</v>
      </c>
      <c r="AA76" s="8">
        <f>'Wholesale OLS model'!$B$14*L76</f>
        <v>1640135.6856942801</v>
      </c>
      <c r="AB76" s="8">
        <f>'Wholesale OLS model'!$B$15*M76</f>
        <v>0</v>
      </c>
      <c r="AC76" s="8">
        <f>'Wholesale OLS model'!$B$16*N76</f>
        <v>0</v>
      </c>
      <c r="AD76" s="8">
        <f>'Wholesale OLS model'!$B$17*O76</f>
        <v>0</v>
      </c>
      <c r="AE76" s="8">
        <f t="shared" si="3"/>
        <v>45353931.165876754</v>
      </c>
      <c r="AF76" s="101">
        <f t="shared" si="4"/>
        <v>1.9161111110588734E-2</v>
      </c>
    </row>
    <row r="77" spans="1:32" x14ac:dyDescent="0.2">
      <c r="A77" s="99">
        <f>'Combined Monthly Data'!A77</f>
        <v>42095</v>
      </c>
      <c r="B77">
        <f>'Combined Monthly Data'!B77</f>
        <v>2015</v>
      </c>
      <c r="C77" s="8">
        <f>'Combined Monthly Data'!C77</f>
        <v>37785792</v>
      </c>
      <c r="D77">
        <f>'Combined Monthly Data'!AB77</f>
        <v>330.29999999999995</v>
      </c>
      <c r="E77">
        <f>'Combined Monthly Data'!AC77</f>
        <v>0</v>
      </c>
      <c r="F77">
        <f>'Combined Monthly Data'!AF77</f>
        <v>6805.6</v>
      </c>
      <c r="G77">
        <f>'Combined Monthly Data'!AI77</f>
        <v>76</v>
      </c>
      <c r="H77" s="16">
        <f>'Combined Monthly Data'!AY77</f>
        <v>20</v>
      </c>
      <c r="I77">
        <f>'Combined Monthly Data'!BA77</f>
        <v>1</v>
      </c>
      <c r="J77">
        <f>'Combined Monthly Data'!BB77</f>
        <v>28</v>
      </c>
      <c r="K77">
        <f>'Combined Monthly Data'!AM77</f>
        <v>0</v>
      </c>
      <c r="L77">
        <f>'Combined Monthly Data'!AO77</f>
        <v>0</v>
      </c>
      <c r="M77">
        <f>'Combined Monthly Data'!AS77</f>
        <v>0</v>
      </c>
      <c r="N77">
        <f>'Combined Monthly Data'!AT77</f>
        <v>0</v>
      </c>
      <c r="O77">
        <f>'Combined Monthly Data'!AW77</f>
        <v>0</v>
      </c>
      <c r="Q77" s="8">
        <f>'Wholesale OLS model'!$B$5</f>
        <v>-50878161.758948997</v>
      </c>
      <c r="R77" s="8">
        <f>-'Combined Monthly Data'!G77</f>
        <v>-1057009.188941499</v>
      </c>
      <c r="S77" s="8">
        <f>'Wholesale OLS model'!$B$6*D77</f>
        <v>5237810.4682236286</v>
      </c>
      <c r="T77" s="8">
        <f>'Wholesale OLS model'!$B$7*E77</f>
        <v>0</v>
      </c>
      <c r="U77" s="8">
        <f>'Wholesale OLS model'!$B$8*F77</f>
        <v>84667980.617951706</v>
      </c>
      <c r="V77" s="8">
        <f>'Wholesale OLS model'!$B$9*G77</f>
        <v>-4279062.8966893172</v>
      </c>
      <c r="W77" s="8">
        <f>'Wholesale OLS model'!$B$10*H77</f>
        <v>9272931.8142328393</v>
      </c>
      <c r="X77" s="8">
        <f>'Wholesale OLS model'!$B$11*I77</f>
        <v>-1980487.4456003499</v>
      </c>
      <c r="Y77" s="8">
        <f>'Wholesale OLS model'!$B$12*J77</f>
        <v>-2979904.9086988159</v>
      </c>
      <c r="Z77" s="8">
        <f>'Wholesale OLS model'!$B$13*K77</f>
        <v>0</v>
      </c>
      <c r="AA77" s="8">
        <f>'Wholesale OLS model'!$B$14*L77</f>
        <v>0</v>
      </c>
      <c r="AB77" s="8">
        <f>'Wholesale OLS model'!$B$15*M77</f>
        <v>0</v>
      </c>
      <c r="AC77" s="8">
        <f>'Wholesale OLS model'!$B$16*N77</f>
        <v>0</v>
      </c>
      <c r="AD77" s="8">
        <f>'Wholesale OLS model'!$B$17*O77</f>
        <v>0</v>
      </c>
      <c r="AE77" s="8">
        <f t="shared" si="3"/>
        <v>38004096.70152919</v>
      </c>
      <c r="AF77" s="101">
        <f t="shared" si="4"/>
        <v>5.7774282335855218E-3</v>
      </c>
    </row>
    <row r="78" spans="1:32" x14ac:dyDescent="0.2">
      <c r="A78" s="99">
        <f>'Combined Monthly Data'!A78</f>
        <v>42125</v>
      </c>
      <c r="B78">
        <f>'Combined Monthly Data'!B78</f>
        <v>2015</v>
      </c>
      <c r="C78" s="8">
        <f>'Combined Monthly Data'!C78</f>
        <v>36307058</v>
      </c>
      <c r="D78">
        <f>'Combined Monthly Data'!AB78</f>
        <v>105.2</v>
      </c>
      <c r="E78">
        <f>'Combined Monthly Data'!AC78</f>
        <v>34.200000000000003</v>
      </c>
      <c r="F78">
        <f>'Combined Monthly Data'!AF78</f>
        <v>6870.9</v>
      </c>
      <c r="G78">
        <f>'Combined Monthly Data'!AI78</f>
        <v>77</v>
      </c>
      <c r="H78" s="16">
        <f>'Combined Monthly Data'!AY78</f>
        <v>20</v>
      </c>
      <c r="I78">
        <f>'Combined Monthly Data'!BA78</f>
        <v>1</v>
      </c>
      <c r="J78">
        <f>'Combined Monthly Data'!BB78</f>
        <v>29</v>
      </c>
      <c r="K78">
        <f>'Combined Monthly Data'!AM78</f>
        <v>0</v>
      </c>
      <c r="L78">
        <f>'Combined Monthly Data'!AO78</f>
        <v>0</v>
      </c>
      <c r="M78">
        <f>'Combined Monthly Data'!AS78</f>
        <v>0</v>
      </c>
      <c r="N78">
        <f>'Combined Monthly Data'!AT78</f>
        <v>0</v>
      </c>
      <c r="O78">
        <f>'Combined Monthly Data'!AW78</f>
        <v>0</v>
      </c>
      <c r="Q78" s="8">
        <f>'Wholesale OLS model'!$B$5</f>
        <v>-50878161.758948997</v>
      </c>
      <c r="R78" s="8">
        <f>-'Combined Monthly Data'!G78</f>
        <v>-1085574.5986637212</v>
      </c>
      <c r="S78" s="8">
        <f>'Wholesale OLS model'!$B$6*D78</f>
        <v>1668233.9123739807</v>
      </c>
      <c r="T78" s="8">
        <f>'Wholesale OLS model'!$B$7*E78</f>
        <v>3226196.8109502699</v>
      </c>
      <c r="U78" s="8">
        <f>'Wholesale OLS model'!$B$8*F78</f>
        <v>85480373.226149678</v>
      </c>
      <c r="V78" s="8">
        <f>'Wholesale OLS model'!$B$9*G78</f>
        <v>-4335366.3558562817</v>
      </c>
      <c r="W78" s="8">
        <f>'Wholesale OLS model'!$B$10*H78</f>
        <v>9272931.8142328393</v>
      </c>
      <c r="X78" s="8">
        <f>'Wholesale OLS model'!$B$11*I78</f>
        <v>-1980487.4456003499</v>
      </c>
      <c r="Y78" s="8">
        <f>'Wholesale OLS model'!$B$12*J78</f>
        <v>-3086330.0840094881</v>
      </c>
      <c r="Z78" s="8">
        <f>'Wholesale OLS model'!$B$13*K78</f>
        <v>0</v>
      </c>
      <c r="AA78" s="8">
        <f>'Wholesale OLS model'!$B$14*L78</f>
        <v>0</v>
      </c>
      <c r="AB78" s="8">
        <f>'Wholesale OLS model'!$B$15*M78</f>
        <v>0</v>
      </c>
      <c r="AC78" s="8">
        <f>'Wholesale OLS model'!$B$16*N78</f>
        <v>0</v>
      </c>
      <c r="AD78" s="8">
        <f>'Wholesale OLS model'!$B$17*O78</f>
        <v>0</v>
      </c>
      <c r="AE78" s="8">
        <f t="shared" si="3"/>
        <v>38281815.520627931</v>
      </c>
      <c r="AF78" s="101">
        <f t="shared" si="4"/>
        <v>5.4390458203138647E-2</v>
      </c>
    </row>
    <row r="79" spans="1:32" x14ac:dyDescent="0.2">
      <c r="A79" s="99">
        <f>'Combined Monthly Data'!A79</f>
        <v>42156</v>
      </c>
      <c r="B79">
        <f>'Combined Monthly Data'!B79</f>
        <v>2015</v>
      </c>
      <c r="C79" s="8">
        <f>'Combined Monthly Data'!C79</f>
        <v>37811948</v>
      </c>
      <c r="D79">
        <f>'Combined Monthly Data'!AB79</f>
        <v>35.9</v>
      </c>
      <c r="E79">
        <f>'Combined Monthly Data'!AC79</f>
        <v>28.599999999999998</v>
      </c>
      <c r="F79">
        <f>'Combined Monthly Data'!AF79</f>
        <v>6965.8</v>
      </c>
      <c r="G79">
        <f>'Combined Monthly Data'!AI79</f>
        <v>78</v>
      </c>
      <c r="H79" s="16">
        <f>'Combined Monthly Data'!AY79</f>
        <v>22</v>
      </c>
      <c r="I79">
        <f>'Combined Monthly Data'!BA79</f>
        <v>1</v>
      </c>
      <c r="J79">
        <f>'Combined Monthly Data'!BB79</f>
        <v>30</v>
      </c>
      <c r="K79">
        <f>'Combined Monthly Data'!AM79</f>
        <v>0</v>
      </c>
      <c r="L79">
        <f>'Combined Monthly Data'!AO79</f>
        <v>0</v>
      </c>
      <c r="M79">
        <f>'Combined Monthly Data'!AS79</f>
        <v>0</v>
      </c>
      <c r="N79">
        <f>'Combined Monthly Data'!AT79</f>
        <v>0</v>
      </c>
      <c r="O79">
        <f>'Combined Monthly Data'!AW79</f>
        <v>0</v>
      </c>
      <c r="Q79" s="8">
        <f>'Wholesale OLS model'!$B$5</f>
        <v>-50878161.758948997</v>
      </c>
      <c r="R79" s="8">
        <f>-'Combined Monthly Data'!G79</f>
        <v>-1114140.0083859435</v>
      </c>
      <c r="S79" s="8">
        <f>'Wholesale OLS model'!$B$6*D79</f>
        <v>569292.75146602571</v>
      </c>
      <c r="T79" s="8">
        <f>'Wholesale OLS model'!$B$7*E79</f>
        <v>2697930.6664671847</v>
      </c>
      <c r="U79" s="8">
        <f>'Wholesale OLS model'!$B$8*F79</f>
        <v>86661017.307589039</v>
      </c>
      <c r="V79" s="8">
        <f>'Wholesale OLS model'!$B$9*G79</f>
        <v>-4391669.8150232462</v>
      </c>
      <c r="W79" s="8">
        <f>'Wholesale OLS model'!$B$10*H79</f>
        <v>10200224.995656123</v>
      </c>
      <c r="X79" s="8">
        <f>'Wholesale OLS model'!$B$11*I79</f>
        <v>-1980487.4456003499</v>
      </c>
      <c r="Y79" s="8">
        <f>'Wholesale OLS model'!$B$12*J79</f>
        <v>-3192755.2593201599</v>
      </c>
      <c r="Z79" s="8">
        <f>'Wholesale OLS model'!$B$13*K79</f>
        <v>0</v>
      </c>
      <c r="AA79" s="8">
        <f>'Wholesale OLS model'!$B$14*L79</f>
        <v>0</v>
      </c>
      <c r="AB79" s="8">
        <f>'Wholesale OLS model'!$B$15*M79</f>
        <v>0</v>
      </c>
      <c r="AC79" s="8">
        <f>'Wholesale OLS model'!$B$16*N79</f>
        <v>0</v>
      </c>
      <c r="AD79" s="8">
        <f>'Wholesale OLS model'!$B$17*O79</f>
        <v>0</v>
      </c>
      <c r="AE79" s="8">
        <f t="shared" si="3"/>
        <v>38571251.433899671</v>
      </c>
      <c r="AF79" s="101">
        <f t="shared" si="4"/>
        <v>2.0081045120967343E-2</v>
      </c>
    </row>
    <row r="80" spans="1:32" x14ac:dyDescent="0.2">
      <c r="A80" s="99">
        <f>'Combined Monthly Data'!A80</f>
        <v>42186</v>
      </c>
      <c r="B80">
        <f>'Combined Monthly Data'!B80</f>
        <v>2015</v>
      </c>
      <c r="C80" s="8">
        <f>'Combined Monthly Data'!C80</f>
        <v>44310484</v>
      </c>
      <c r="D80">
        <f>'Combined Monthly Data'!AB80</f>
        <v>7.6</v>
      </c>
      <c r="E80">
        <f>'Combined Monthly Data'!AC80</f>
        <v>79.100000000000009</v>
      </c>
      <c r="F80">
        <f>'Combined Monthly Data'!AF80</f>
        <v>7032.3</v>
      </c>
      <c r="G80">
        <f>'Combined Monthly Data'!AI80</f>
        <v>79</v>
      </c>
      <c r="H80" s="16">
        <f>'Combined Monthly Data'!AY80</f>
        <v>22</v>
      </c>
      <c r="I80">
        <f>'Combined Monthly Data'!BA80</f>
        <v>1</v>
      </c>
      <c r="J80">
        <f>'Combined Monthly Data'!BB80</f>
        <v>31</v>
      </c>
      <c r="K80">
        <f>'Combined Monthly Data'!AM80</f>
        <v>0</v>
      </c>
      <c r="L80">
        <f>'Combined Monthly Data'!AO80</f>
        <v>0</v>
      </c>
      <c r="M80">
        <f>'Combined Monthly Data'!AS80</f>
        <v>1</v>
      </c>
      <c r="N80">
        <f>'Combined Monthly Data'!AT80</f>
        <v>0</v>
      </c>
      <c r="O80">
        <f>'Combined Monthly Data'!AW80</f>
        <v>0</v>
      </c>
      <c r="Q80" s="8">
        <f>'Wholesale OLS model'!$B$5</f>
        <v>-50878161.758948997</v>
      </c>
      <c r="R80" s="8">
        <f>-'Combined Monthly Data'!G80</f>
        <v>-1142705.4181081657</v>
      </c>
      <c r="S80" s="8">
        <f>'Wholesale OLS model'!$B$6*D80</f>
        <v>120518.79975325335</v>
      </c>
      <c r="T80" s="8">
        <f>'Wholesale OLS model'!$B$7*E80</f>
        <v>7461759.2908235779</v>
      </c>
      <c r="U80" s="8">
        <f>'Wholesale OLS model'!$B$8*F80</f>
        <v>87488339.029567078</v>
      </c>
      <c r="V80" s="8">
        <f>'Wholesale OLS model'!$B$9*G80</f>
        <v>-4447973.2741902107</v>
      </c>
      <c r="W80" s="8">
        <f>'Wholesale OLS model'!$B$10*H80</f>
        <v>10200224.995656123</v>
      </c>
      <c r="X80" s="8">
        <f>'Wholesale OLS model'!$B$11*I80</f>
        <v>-1980487.4456003499</v>
      </c>
      <c r="Y80" s="8">
        <f>'Wholesale OLS model'!$B$12*J80</f>
        <v>-3299180.4346308322</v>
      </c>
      <c r="Z80" s="8">
        <f>'Wholesale OLS model'!$B$13*K80</f>
        <v>0</v>
      </c>
      <c r="AA80" s="8">
        <f>'Wholesale OLS model'!$B$14*L80</f>
        <v>0</v>
      </c>
      <c r="AB80" s="8">
        <f>'Wholesale OLS model'!$B$15*M80</f>
        <v>2370057.8473386201</v>
      </c>
      <c r="AC80" s="8">
        <f>'Wholesale OLS model'!$B$16*N80</f>
        <v>0</v>
      </c>
      <c r="AD80" s="8">
        <f>'Wholesale OLS model'!$B$17*O80</f>
        <v>0</v>
      </c>
      <c r="AE80" s="8">
        <f t="shared" si="3"/>
        <v>45892391.631660096</v>
      </c>
      <c r="AF80" s="101">
        <f t="shared" si="4"/>
        <v>3.5700527027872145E-2</v>
      </c>
    </row>
    <row r="81" spans="1:32" x14ac:dyDescent="0.2">
      <c r="A81" s="99">
        <f>'Combined Monthly Data'!A81</f>
        <v>42217</v>
      </c>
      <c r="B81">
        <f>'Combined Monthly Data'!B81</f>
        <v>2015</v>
      </c>
      <c r="C81" s="8">
        <f>'Combined Monthly Data'!C81</f>
        <v>43495493</v>
      </c>
      <c r="D81">
        <f>'Combined Monthly Data'!AB81</f>
        <v>12</v>
      </c>
      <c r="E81">
        <f>'Combined Monthly Data'!AC81</f>
        <v>59</v>
      </c>
      <c r="F81">
        <f>'Combined Monthly Data'!AF81</f>
        <v>7045.7</v>
      </c>
      <c r="G81">
        <f>'Combined Monthly Data'!AI81</f>
        <v>80</v>
      </c>
      <c r="H81" s="16">
        <f>'Combined Monthly Data'!AY81</f>
        <v>20</v>
      </c>
      <c r="I81">
        <f>'Combined Monthly Data'!BA81</f>
        <v>1</v>
      </c>
      <c r="J81">
        <f>'Combined Monthly Data'!BB81</f>
        <v>32</v>
      </c>
      <c r="K81">
        <f>'Combined Monthly Data'!AM81</f>
        <v>0</v>
      </c>
      <c r="L81">
        <f>'Combined Monthly Data'!AO81</f>
        <v>0</v>
      </c>
      <c r="M81">
        <f>'Combined Monthly Data'!AS81</f>
        <v>0</v>
      </c>
      <c r="N81">
        <f>'Combined Monthly Data'!AT81</f>
        <v>1</v>
      </c>
      <c r="O81">
        <f>'Combined Monthly Data'!AW81</f>
        <v>0</v>
      </c>
      <c r="Q81" s="8">
        <f>'Wholesale OLS model'!$B$5</f>
        <v>-50878161.758948997</v>
      </c>
      <c r="R81" s="8">
        <f>-'Combined Monthly Data'!G81</f>
        <v>-1171270.8278303877</v>
      </c>
      <c r="S81" s="8">
        <f>'Wholesale OLS model'!$B$6*D81</f>
        <v>190292.84171566321</v>
      </c>
      <c r="T81" s="8">
        <f>'Wholesale OLS model'!$B$7*E81</f>
        <v>5565661.1650896464</v>
      </c>
      <c r="U81" s="8">
        <f>'Wholesale OLS model'!$B$8*F81</f>
        <v>87655047.466777697</v>
      </c>
      <c r="V81" s="8">
        <f>'Wholesale OLS model'!$B$9*G81</f>
        <v>-4504276.7333571762</v>
      </c>
      <c r="W81" s="8">
        <f>'Wholesale OLS model'!$B$10*H81</f>
        <v>9272931.8142328393</v>
      </c>
      <c r="X81" s="8">
        <f>'Wholesale OLS model'!$B$11*I81</f>
        <v>-1980487.4456003499</v>
      </c>
      <c r="Y81" s="8">
        <f>'Wholesale OLS model'!$B$12*J81</f>
        <v>-3405605.609941504</v>
      </c>
      <c r="Z81" s="8">
        <f>'Wholesale OLS model'!$B$13*K81</f>
        <v>0</v>
      </c>
      <c r="AA81" s="8">
        <f>'Wholesale OLS model'!$B$14*L81</f>
        <v>0</v>
      </c>
      <c r="AB81" s="8">
        <f>'Wholesale OLS model'!$B$15*M81</f>
        <v>0</v>
      </c>
      <c r="AC81" s="8">
        <f>'Wholesale OLS model'!$B$16*N81</f>
        <v>3743904.46078429</v>
      </c>
      <c r="AD81" s="8">
        <f>'Wholesale OLS model'!$B$17*O81</f>
        <v>0</v>
      </c>
      <c r="AE81" s="8">
        <f t="shared" si="3"/>
        <v>44488035.37292172</v>
      </c>
      <c r="AF81" s="101">
        <f t="shared" si="4"/>
        <v>2.2819430346995264E-2</v>
      </c>
    </row>
    <row r="82" spans="1:32" x14ac:dyDescent="0.2">
      <c r="A82" s="99">
        <f>'Combined Monthly Data'!A82</f>
        <v>42248</v>
      </c>
      <c r="B82">
        <f>'Combined Monthly Data'!B82</f>
        <v>2015</v>
      </c>
      <c r="C82" s="8">
        <f>'Combined Monthly Data'!C82</f>
        <v>41484818</v>
      </c>
      <c r="D82">
        <f>'Combined Monthly Data'!AB82</f>
        <v>37</v>
      </c>
      <c r="E82">
        <f>'Combined Monthly Data'!AC82</f>
        <v>54.4</v>
      </c>
      <c r="F82">
        <f>'Combined Monthly Data'!AF82</f>
        <v>6994.9</v>
      </c>
      <c r="G82">
        <f>'Combined Monthly Data'!AI82</f>
        <v>81</v>
      </c>
      <c r="H82" s="16">
        <f>'Combined Monthly Data'!AY82</f>
        <v>21</v>
      </c>
      <c r="I82">
        <f>'Combined Monthly Data'!BA82</f>
        <v>1</v>
      </c>
      <c r="J82">
        <f>'Combined Monthly Data'!BB82</f>
        <v>33</v>
      </c>
      <c r="K82">
        <f>'Combined Monthly Data'!AM82</f>
        <v>0</v>
      </c>
      <c r="L82">
        <f>'Combined Monthly Data'!AO82</f>
        <v>0</v>
      </c>
      <c r="M82">
        <f>'Combined Monthly Data'!AS82</f>
        <v>0</v>
      </c>
      <c r="N82">
        <f>'Combined Monthly Data'!AT82</f>
        <v>0</v>
      </c>
      <c r="O82">
        <f>'Combined Monthly Data'!AW82</f>
        <v>0</v>
      </c>
      <c r="Q82" s="8">
        <f>'Wholesale OLS model'!$B$5</f>
        <v>-50878161.758948997</v>
      </c>
      <c r="R82" s="8">
        <f>-'Combined Monthly Data'!G82</f>
        <v>-1199836.23755261</v>
      </c>
      <c r="S82" s="8">
        <f>'Wholesale OLS model'!$B$6*D82</f>
        <v>586736.26195662818</v>
      </c>
      <c r="T82" s="8">
        <f>'Wholesale OLS model'!$B$7*E82</f>
        <v>5131728.2606928265</v>
      </c>
      <c r="U82" s="8">
        <f>'Wholesale OLS model'!$B$8*F82</f>
        <v>87023048.316755369</v>
      </c>
      <c r="V82" s="8">
        <f>'Wholesale OLS model'!$B$9*G82</f>
        <v>-4560580.1925241407</v>
      </c>
      <c r="W82" s="8">
        <f>'Wholesale OLS model'!$B$10*H82</f>
        <v>9736578.4049444813</v>
      </c>
      <c r="X82" s="8">
        <f>'Wholesale OLS model'!$B$11*I82</f>
        <v>-1980487.4456003499</v>
      </c>
      <c r="Y82" s="8">
        <f>'Wholesale OLS model'!$B$12*J82</f>
        <v>-3512030.7852521758</v>
      </c>
      <c r="Z82" s="8">
        <f>'Wholesale OLS model'!$B$13*K82</f>
        <v>0</v>
      </c>
      <c r="AA82" s="8">
        <f>'Wholesale OLS model'!$B$14*L82</f>
        <v>0</v>
      </c>
      <c r="AB82" s="8">
        <f>'Wholesale OLS model'!$B$15*M82</f>
        <v>0</v>
      </c>
      <c r="AC82" s="8">
        <f>'Wholesale OLS model'!$B$16*N82</f>
        <v>0</v>
      </c>
      <c r="AD82" s="8">
        <f>'Wholesale OLS model'!$B$17*O82</f>
        <v>0</v>
      </c>
      <c r="AE82" s="8">
        <f t="shared" si="3"/>
        <v>40346994.824471019</v>
      </c>
      <c r="AF82" s="101">
        <f t="shared" si="4"/>
        <v>2.7427459740307424E-2</v>
      </c>
    </row>
    <row r="83" spans="1:32" x14ac:dyDescent="0.2">
      <c r="A83" s="99">
        <f>'Combined Monthly Data'!A83</f>
        <v>42278</v>
      </c>
      <c r="B83">
        <f>'Combined Monthly Data'!B83</f>
        <v>2015</v>
      </c>
      <c r="C83" s="8">
        <f>'Combined Monthly Data'!C83</f>
        <v>38178098</v>
      </c>
      <c r="D83">
        <f>'Combined Monthly Data'!AB83</f>
        <v>252.3</v>
      </c>
      <c r="E83">
        <f>'Combined Monthly Data'!AC83</f>
        <v>0.9</v>
      </c>
      <c r="F83">
        <f>'Combined Monthly Data'!AF83</f>
        <v>6969</v>
      </c>
      <c r="G83">
        <f>'Combined Monthly Data'!AI83</f>
        <v>82</v>
      </c>
      <c r="H83" s="16">
        <f>'Combined Monthly Data'!AY83</f>
        <v>21</v>
      </c>
      <c r="I83">
        <f>'Combined Monthly Data'!BA83</f>
        <v>1</v>
      </c>
      <c r="J83">
        <f>'Combined Monthly Data'!BB83</f>
        <v>34</v>
      </c>
      <c r="K83">
        <f>'Combined Monthly Data'!AM83</f>
        <v>0</v>
      </c>
      <c r="L83">
        <f>'Combined Monthly Data'!AO83</f>
        <v>0</v>
      </c>
      <c r="M83">
        <f>'Combined Monthly Data'!AS83</f>
        <v>0</v>
      </c>
      <c r="N83">
        <f>'Combined Monthly Data'!AT83</f>
        <v>0</v>
      </c>
      <c r="O83">
        <f>'Combined Monthly Data'!AW83</f>
        <v>0</v>
      </c>
      <c r="Q83" s="8">
        <f>'Wholesale OLS model'!$B$5</f>
        <v>-50878161.758948997</v>
      </c>
      <c r="R83" s="8">
        <f>-'Combined Monthly Data'!G83</f>
        <v>-1228401.6472748325</v>
      </c>
      <c r="S83" s="8">
        <f>'Wholesale OLS model'!$B$6*D83</f>
        <v>4000906.9970718189</v>
      </c>
      <c r="T83" s="8">
        <f>'Wholesale OLS model'!$B$7*E83</f>
        <v>84899.916077638685</v>
      </c>
      <c r="U83" s="8">
        <f>'Wholesale OLS model'!$B$8*F83</f>
        <v>86700828.277669176</v>
      </c>
      <c r="V83" s="8">
        <f>'Wholesale OLS model'!$B$9*G83</f>
        <v>-4616883.6516911052</v>
      </c>
      <c r="W83" s="8">
        <f>'Wholesale OLS model'!$B$10*H83</f>
        <v>9736578.4049444813</v>
      </c>
      <c r="X83" s="8">
        <f>'Wholesale OLS model'!$B$11*I83</f>
        <v>-1980487.4456003499</v>
      </c>
      <c r="Y83" s="8">
        <f>'Wholesale OLS model'!$B$12*J83</f>
        <v>-3618455.960562848</v>
      </c>
      <c r="Z83" s="8">
        <f>'Wholesale OLS model'!$B$13*K83</f>
        <v>0</v>
      </c>
      <c r="AA83" s="8">
        <f>'Wholesale OLS model'!$B$14*L83</f>
        <v>0</v>
      </c>
      <c r="AB83" s="8">
        <f>'Wholesale OLS model'!$B$15*M83</f>
        <v>0</v>
      </c>
      <c r="AC83" s="8">
        <f>'Wholesale OLS model'!$B$16*N83</f>
        <v>0</v>
      </c>
      <c r="AD83" s="8">
        <f>'Wholesale OLS model'!$B$17*O83</f>
        <v>0</v>
      </c>
      <c r="AE83" s="8">
        <f t="shared" si="3"/>
        <v>38200823.131684974</v>
      </c>
      <c r="AF83" s="101">
        <f t="shared" si="4"/>
        <v>5.9524001653968816E-4</v>
      </c>
    </row>
    <row r="84" spans="1:32" x14ac:dyDescent="0.2">
      <c r="A84" s="99">
        <f>'Combined Monthly Data'!A84</f>
        <v>42309</v>
      </c>
      <c r="B84">
        <f>'Combined Monthly Data'!B84</f>
        <v>2015</v>
      </c>
      <c r="C84" s="8">
        <f>'Combined Monthly Data'!C84</f>
        <v>36946837</v>
      </c>
      <c r="D84">
        <f>'Combined Monthly Data'!AB84</f>
        <v>338.5</v>
      </c>
      <c r="E84">
        <f>'Combined Monthly Data'!AC84</f>
        <v>0</v>
      </c>
      <c r="F84">
        <f>'Combined Monthly Data'!AF84</f>
        <v>6936.9</v>
      </c>
      <c r="G84">
        <f>'Combined Monthly Data'!AI84</f>
        <v>83</v>
      </c>
      <c r="H84" s="16">
        <f>'Combined Monthly Data'!AY84</f>
        <v>21</v>
      </c>
      <c r="I84">
        <f>'Combined Monthly Data'!BA84</f>
        <v>1</v>
      </c>
      <c r="J84">
        <f>'Combined Monthly Data'!BB84</f>
        <v>35</v>
      </c>
      <c r="K84">
        <f>'Combined Monthly Data'!AM84</f>
        <v>0</v>
      </c>
      <c r="L84">
        <f>'Combined Monthly Data'!AO84</f>
        <v>0</v>
      </c>
      <c r="M84">
        <f>'Combined Monthly Data'!AS84</f>
        <v>0</v>
      </c>
      <c r="N84">
        <f>'Combined Monthly Data'!AT84</f>
        <v>0</v>
      </c>
      <c r="O84">
        <f>'Combined Monthly Data'!AW84</f>
        <v>1</v>
      </c>
      <c r="Q84" s="8">
        <f>'Wholesale OLS model'!$B$5</f>
        <v>-50878161.758948997</v>
      </c>
      <c r="R84" s="8">
        <f>-'Combined Monthly Data'!G84</f>
        <v>-1256967.0569970545</v>
      </c>
      <c r="S84" s="8">
        <f>'Wholesale OLS model'!$B$6*D84</f>
        <v>5367843.9100626661</v>
      </c>
      <c r="T84" s="8">
        <f>'Wholesale OLS model'!$B$7*E84</f>
        <v>0</v>
      </c>
      <c r="U84" s="8">
        <f>'Wholesale OLS model'!$B$8*F84</f>
        <v>86301474.484052703</v>
      </c>
      <c r="V84" s="8">
        <f>'Wholesale OLS model'!$B$9*G84</f>
        <v>-4673187.1108580697</v>
      </c>
      <c r="W84" s="8">
        <f>'Wholesale OLS model'!$B$10*H84</f>
        <v>9736578.4049444813</v>
      </c>
      <c r="X84" s="8">
        <f>'Wholesale OLS model'!$B$11*I84</f>
        <v>-1980487.4456003499</v>
      </c>
      <c r="Y84" s="8">
        <f>'Wholesale OLS model'!$B$12*J84</f>
        <v>-3724881.1358735198</v>
      </c>
      <c r="Z84" s="8">
        <f>'Wholesale OLS model'!$B$13*K84</f>
        <v>0</v>
      </c>
      <c r="AA84" s="8">
        <f>'Wholesale OLS model'!$B$14*L84</f>
        <v>0</v>
      </c>
      <c r="AB84" s="8">
        <f>'Wholesale OLS model'!$B$15*M84</f>
        <v>0</v>
      </c>
      <c r="AC84" s="8">
        <f>'Wholesale OLS model'!$B$16*N84</f>
        <v>0</v>
      </c>
      <c r="AD84" s="8">
        <f>'Wholesale OLS model'!$B$17*O84</f>
        <v>-1766353.8816768799</v>
      </c>
      <c r="AE84" s="8">
        <f t="shared" si="3"/>
        <v>37125858.409104973</v>
      </c>
      <c r="AF84" s="101">
        <f t="shared" si="4"/>
        <v>4.8453784854430998E-3</v>
      </c>
    </row>
    <row r="85" spans="1:32" x14ac:dyDescent="0.2">
      <c r="A85" s="99">
        <f>'Combined Monthly Data'!A85</f>
        <v>42339</v>
      </c>
      <c r="B85">
        <f>'Combined Monthly Data'!B85</f>
        <v>2015</v>
      </c>
      <c r="C85" s="8">
        <f>'Combined Monthly Data'!C85</f>
        <v>39604094</v>
      </c>
      <c r="D85">
        <f>'Combined Monthly Data'!AB85</f>
        <v>416.69999999999987</v>
      </c>
      <c r="E85">
        <f>'Combined Monthly Data'!AC85</f>
        <v>0</v>
      </c>
      <c r="F85">
        <f>'Combined Monthly Data'!AF85</f>
        <v>6948.2</v>
      </c>
      <c r="G85">
        <f>'Combined Monthly Data'!AI85</f>
        <v>84</v>
      </c>
      <c r="H85" s="16">
        <f>'Combined Monthly Data'!AY85</f>
        <v>21</v>
      </c>
      <c r="I85">
        <f>'Combined Monthly Data'!BA85</f>
        <v>1</v>
      </c>
      <c r="J85">
        <f>'Combined Monthly Data'!BB85</f>
        <v>36</v>
      </c>
      <c r="K85">
        <f>'Combined Monthly Data'!AM85</f>
        <v>0</v>
      </c>
      <c r="L85">
        <f>'Combined Monthly Data'!AO85</f>
        <v>0</v>
      </c>
      <c r="M85">
        <f>'Combined Monthly Data'!AS85</f>
        <v>0</v>
      </c>
      <c r="N85">
        <f>'Combined Monthly Data'!AT85</f>
        <v>0</v>
      </c>
      <c r="O85">
        <f>'Combined Monthly Data'!AW85</f>
        <v>0</v>
      </c>
      <c r="Q85" s="8">
        <f>'Wholesale OLS model'!$B$5</f>
        <v>-50878161.758948997</v>
      </c>
      <c r="R85" s="8">
        <f>-'Combined Monthly Data'!G85</f>
        <v>-1285532.4667192767</v>
      </c>
      <c r="S85" s="8">
        <f>'Wholesale OLS model'!$B$6*D85</f>
        <v>6607918.9285764024</v>
      </c>
      <c r="T85" s="8">
        <f>'Wholesale OLS model'!$B$7*E85</f>
        <v>0</v>
      </c>
      <c r="U85" s="8">
        <f>'Wholesale OLS model'!$B$8*F85</f>
        <v>86442056.972148225</v>
      </c>
      <c r="V85" s="8">
        <f>'Wholesale OLS model'!$B$9*G85</f>
        <v>-4729490.5700250342</v>
      </c>
      <c r="W85" s="8">
        <f>'Wholesale OLS model'!$B$10*H85</f>
        <v>9736578.4049444813</v>
      </c>
      <c r="X85" s="8">
        <f>'Wholesale OLS model'!$B$11*I85</f>
        <v>-1980487.4456003499</v>
      </c>
      <c r="Y85" s="8">
        <f>'Wholesale OLS model'!$B$12*J85</f>
        <v>-3831306.3111841921</v>
      </c>
      <c r="Z85" s="8">
        <f>'Wholesale OLS model'!$B$13*K85</f>
        <v>0</v>
      </c>
      <c r="AA85" s="8">
        <f>'Wholesale OLS model'!$B$14*L85</f>
        <v>0</v>
      </c>
      <c r="AB85" s="8">
        <f>'Wholesale OLS model'!$B$15*M85</f>
        <v>0</v>
      </c>
      <c r="AC85" s="8">
        <f>'Wholesale OLS model'!$B$16*N85</f>
        <v>0</v>
      </c>
      <c r="AD85" s="8">
        <f>'Wholesale OLS model'!$B$17*O85</f>
        <v>0</v>
      </c>
      <c r="AE85" s="8">
        <f t="shared" si="3"/>
        <v>40081575.753191255</v>
      </c>
      <c r="AF85" s="101">
        <f t="shared" si="4"/>
        <v>1.2056373595902864E-2</v>
      </c>
    </row>
    <row r="86" spans="1:32" x14ac:dyDescent="0.2">
      <c r="A86" s="99"/>
      <c r="AF86" s="103">
        <f>AVERAGE(AF2:AF85)</f>
        <v>1.7008895667750344E-2</v>
      </c>
    </row>
    <row r="87" spans="1:32" x14ac:dyDescent="0.2">
      <c r="A87" s="99"/>
    </row>
    <row r="88" spans="1:32" x14ac:dyDescent="0.2">
      <c r="A88" s="99"/>
    </row>
    <row r="89" spans="1:32" x14ac:dyDescent="0.2">
      <c r="A89" s="99"/>
    </row>
    <row r="90" spans="1:32" x14ac:dyDescent="0.2">
      <c r="A90" s="99"/>
    </row>
    <row r="91" spans="1:32" x14ac:dyDescent="0.2">
      <c r="A91" s="99"/>
    </row>
    <row r="92" spans="1:32" x14ac:dyDescent="0.2">
      <c r="A92" s="99"/>
    </row>
    <row r="93" spans="1:32" x14ac:dyDescent="0.2">
      <c r="A93" s="99"/>
    </row>
    <row r="94" spans="1:32" x14ac:dyDescent="0.2">
      <c r="A94" s="99"/>
    </row>
    <row r="95" spans="1:32" x14ac:dyDescent="0.2">
      <c r="A95" s="99"/>
    </row>
    <row r="96" spans="1:32" x14ac:dyDescent="0.2">
      <c r="A96" s="99"/>
    </row>
    <row r="97" spans="1:1" x14ac:dyDescent="0.2">
      <c r="A97" s="99"/>
    </row>
    <row r="98" spans="1:1" x14ac:dyDescent="0.2">
      <c r="A98" s="99"/>
    </row>
    <row r="99" spans="1:1" x14ac:dyDescent="0.2">
      <c r="A99" s="99"/>
    </row>
    <row r="100" spans="1:1" x14ac:dyDescent="0.2">
      <c r="A100" s="99"/>
    </row>
    <row r="101" spans="1:1" x14ac:dyDescent="0.2">
      <c r="A101" s="99"/>
    </row>
    <row r="102" spans="1:1" x14ac:dyDescent="0.2">
      <c r="A102" s="99"/>
    </row>
    <row r="103" spans="1:1" x14ac:dyDescent="0.2">
      <c r="A103" s="99"/>
    </row>
    <row r="104" spans="1:1" x14ac:dyDescent="0.2">
      <c r="A104" s="99"/>
    </row>
    <row r="105" spans="1:1" x14ac:dyDescent="0.2">
      <c r="A105" s="99"/>
    </row>
    <row r="106" spans="1:1" x14ac:dyDescent="0.2">
      <c r="A106" s="99"/>
    </row>
    <row r="107" spans="1:1" x14ac:dyDescent="0.2">
      <c r="A107" s="99"/>
    </row>
    <row r="108" spans="1:1" x14ac:dyDescent="0.2">
      <c r="A108" s="99"/>
    </row>
    <row r="109" spans="1:1" x14ac:dyDescent="0.2">
      <c r="A109" s="9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D18" sqref="D18"/>
    </sheetView>
  </sheetViews>
  <sheetFormatPr defaultColWidth="8.83203125" defaultRowHeight="12.75" x14ac:dyDescent="0.2"/>
  <cols>
    <col min="1" max="1" width="2.6640625" style="40" customWidth="1"/>
    <col min="2" max="2" width="9.5" style="40" customWidth="1"/>
    <col min="3" max="3" width="15" style="40" customWidth="1"/>
    <col min="4" max="4" width="15.33203125" style="40" customWidth="1"/>
    <col min="5" max="5" width="8.83203125" style="40" bestFit="1" customWidth="1"/>
    <col min="6" max="6" width="12.83203125" style="40" customWidth="1"/>
    <col min="7" max="7" width="12.5" style="40" bestFit="1" customWidth="1"/>
    <col min="8" max="8" width="11.83203125" style="40" bestFit="1" customWidth="1"/>
    <col min="9" max="9" width="11.5" style="40" bestFit="1" customWidth="1"/>
    <col min="10" max="10" width="15.5" style="40" bestFit="1" customWidth="1"/>
    <col min="11" max="11" width="12.5" style="40" bestFit="1" customWidth="1"/>
    <col min="12" max="12" width="15.5" style="40" bestFit="1" customWidth="1"/>
    <col min="13" max="13" width="10.5" style="40" bestFit="1" customWidth="1"/>
    <col min="14" max="14" width="19.1640625" style="40" bestFit="1" customWidth="1"/>
    <col min="15" max="15" width="14.5" style="40" bestFit="1" customWidth="1"/>
    <col min="16" max="16" width="12.1640625" style="40" bestFit="1" customWidth="1"/>
    <col min="17" max="17" width="11.33203125" style="40" bestFit="1" customWidth="1"/>
    <col min="18" max="16384" width="8.83203125" style="40"/>
  </cols>
  <sheetData>
    <row r="1" spans="1:17" x14ac:dyDescent="0.2">
      <c r="A1" s="40" t="s">
        <v>170</v>
      </c>
    </row>
    <row r="2" spans="1:17" x14ac:dyDescent="0.2">
      <c r="C2" s="184" t="str">
        <f>'Combined Monthly Data'!C1</f>
        <v>WholesalekWh</v>
      </c>
      <c r="D2" s="184"/>
      <c r="E2" s="48" t="s">
        <v>172</v>
      </c>
    </row>
    <row r="3" spans="1:17" x14ac:dyDescent="0.2">
      <c r="B3" s="40" t="s">
        <v>158</v>
      </c>
      <c r="C3" s="40" t="s">
        <v>45</v>
      </c>
      <c r="D3" s="40" t="s">
        <v>171</v>
      </c>
      <c r="E3" s="48" t="s">
        <v>173</v>
      </c>
      <c r="G3" s="40" t="str">
        <f>'Combined Monthly Data'!I1</f>
        <v>ReskWh</v>
      </c>
      <c r="H3" s="40" t="s">
        <v>224</v>
      </c>
      <c r="I3" s="40" t="str">
        <f>'Combined Monthly Data'!K1</f>
        <v>GSlt50kWh</v>
      </c>
      <c r="J3" s="40" t="s">
        <v>225</v>
      </c>
      <c r="K3" s="40" t="str">
        <f>'Combined Monthly Data'!M1</f>
        <v>GSgt50kWh</v>
      </c>
      <c r="L3" s="40" t="s">
        <v>226</v>
      </c>
      <c r="M3" s="40" t="s">
        <v>156</v>
      </c>
      <c r="N3" s="40" t="s">
        <v>157</v>
      </c>
      <c r="O3" s="40" t="s">
        <v>177</v>
      </c>
      <c r="P3" s="40" t="s">
        <v>178</v>
      </c>
      <c r="Q3" s="40" t="s">
        <v>223</v>
      </c>
    </row>
    <row r="4" spans="1:17" x14ac:dyDescent="0.2">
      <c r="B4" s="40">
        <v>2009</v>
      </c>
      <c r="C4" s="106">
        <f>SUMIF('Combined Monthly Data'!$B:$B,$B4,'Combined Monthly Data'!C:C)</f>
        <v>547655163.99999988</v>
      </c>
      <c r="D4" s="106">
        <f>SUMIF('Wholesale Predicted Monthly'!$B:$B,$B4,'Wholesale Predicted Monthly'!AE:AE)</f>
        <v>545898357.66753805</v>
      </c>
      <c r="E4" s="107">
        <f>ABS((D4-C4)/C4)</f>
        <v>3.2078695645456094E-3</v>
      </c>
      <c r="F4" s="106"/>
      <c r="G4" s="106">
        <f>SUMIF('Combined Monthly Data'!$B:$B,$B4,'Combined Monthly Data'!I:I)</f>
        <v>204220525</v>
      </c>
      <c r="H4" s="107">
        <f t="shared" ref="H4:H9" si="0">G4/$C4</f>
        <v>0.3728998435957413</v>
      </c>
      <c r="I4" s="106">
        <f>SUMIF('Combined Monthly Data'!$B:$B,$B4,'Combined Monthly Data'!K:K)</f>
        <v>69599095</v>
      </c>
      <c r="J4" s="107">
        <f t="shared" ref="J4:J9" si="1">I4/$C4</f>
        <v>0.12708561805873891</v>
      </c>
      <c r="K4" s="106">
        <f>SUMIF('Combined Monthly Data'!$B:$B,$B4,'Combined Monthly Data'!M:M)</f>
        <v>246386272.23074028</v>
      </c>
      <c r="L4" s="107">
        <f t="shared" ref="L4:L9" si="2">K4/$C4</f>
        <v>0.4498930867941936</v>
      </c>
      <c r="M4" s="106">
        <f>SUMIF('Combined Monthly Data'!$B:$B,$B4,'Combined Monthly Data'!T:T)+SUMIF('Combined Monthly Data'!$B:$B,$B4,'Combined Monthly Data'!W:W)+SUMIF('Combined Monthly Data'!$B:$B,$B4,'Combined Monthly Data'!Z:Z)</f>
        <v>6894903.4345358014</v>
      </c>
      <c r="N4" s="108">
        <f t="shared" ref="N4:N10" si="3">C4-SUM(G4,I4,K4,M4)</f>
        <v>20554368.334723771</v>
      </c>
      <c r="O4" s="111">
        <f t="shared" ref="O4:O10" si="4">C4*$N$11</f>
        <v>28306968.152917989</v>
      </c>
      <c r="P4" s="108">
        <f t="shared" ref="P4:P10" si="5">N4-O4</f>
        <v>-7752599.818194218</v>
      </c>
      <c r="Q4" s="107">
        <f t="shared" ref="Q4:Q10" si="6">P4/C4</f>
        <v>-1.4155987796353948E-2</v>
      </c>
    </row>
    <row r="5" spans="1:17" x14ac:dyDescent="0.2">
      <c r="B5" s="40">
        <f t="shared" ref="B5:B10" si="7">B4+1</f>
        <v>2010</v>
      </c>
      <c r="C5" s="106">
        <f>SUMIF('Combined Monthly Data'!$B:$B,$B5,'Combined Monthly Data'!C:C)</f>
        <v>562004269.39999998</v>
      </c>
      <c r="D5" s="106">
        <f>SUMIF('Wholesale Predicted Monthly'!$B:$B,$B5,'Wholesale Predicted Monthly'!AE:AE)</f>
        <v>562522304.53868258</v>
      </c>
      <c r="E5" s="107">
        <f t="shared" ref="E5:E10" si="8">ABS((D5-C5)/C5)</f>
        <v>9.2176370694774625E-4</v>
      </c>
      <c r="F5" s="106"/>
      <c r="G5" s="106">
        <f>SUMIF('Combined Monthly Data'!$B:$B,$B5,'Combined Monthly Data'!I:I)</f>
        <v>206940793</v>
      </c>
      <c r="H5" s="107">
        <f t="shared" si="0"/>
        <v>0.36821925431444064</v>
      </c>
      <c r="I5" s="106">
        <f>SUMIF('Combined Monthly Data'!$B:$B,$B5,'Combined Monthly Data'!K:K)</f>
        <v>69974111.070000008</v>
      </c>
      <c r="J5" s="107">
        <f t="shared" si="1"/>
        <v>0.12450814856745644</v>
      </c>
      <c r="K5" s="106">
        <f>SUMIF('Combined Monthly Data'!$B:$B,$B5,'Combined Monthly Data'!M:M)</f>
        <v>249400831.51381469</v>
      </c>
      <c r="L5" s="107">
        <f t="shared" si="2"/>
        <v>0.44377035032149653</v>
      </c>
      <c r="M5" s="106">
        <f>SUMIF('Combined Monthly Data'!$B:$B,$B5,'Combined Monthly Data'!T:T)+SUMIF('Combined Monthly Data'!$B:$B,$B5,'Combined Monthly Data'!W:W)+SUMIF('Combined Monthly Data'!$B:$B,$B5,'Combined Monthly Data'!Z:Z)</f>
        <v>6187125.0258703828</v>
      </c>
      <c r="N5" s="108">
        <f t="shared" si="3"/>
        <v>29501408.790314913</v>
      </c>
      <c r="O5" s="111">
        <f t="shared" si="4"/>
        <v>29048638.635149881</v>
      </c>
      <c r="P5" s="108">
        <f t="shared" si="5"/>
        <v>452770.15516503155</v>
      </c>
      <c r="Q5" s="107">
        <f t="shared" si="6"/>
        <v>8.0563472524579284E-4</v>
      </c>
    </row>
    <row r="6" spans="1:17" x14ac:dyDescent="0.2">
      <c r="B6" s="40">
        <f t="shared" si="7"/>
        <v>2011</v>
      </c>
      <c r="C6" s="106">
        <f>SUMIF('Combined Monthly Data'!$B:$B,$B6,'Combined Monthly Data'!C:C)</f>
        <v>567403427.05999994</v>
      </c>
      <c r="D6" s="106">
        <f>SUMIF('Wholesale Predicted Monthly'!$B:$B,$B6,'Wholesale Predicted Monthly'!AE:AE)</f>
        <v>570183391.91447163</v>
      </c>
      <c r="E6" s="107">
        <f t="shared" si="8"/>
        <v>4.8994502357450811E-3</v>
      </c>
      <c r="F6" s="106"/>
      <c r="G6" s="106">
        <f>SUMIF('Combined Monthly Data'!$B:$B,$B6,'Combined Monthly Data'!I:I)</f>
        <v>206782727.40000001</v>
      </c>
      <c r="H6" s="107">
        <f t="shared" si="0"/>
        <v>0.3644368672065384</v>
      </c>
      <c r="I6" s="106">
        <f>SUMIF('Combined Monthly Data'!$B:$B,$B6,'Combined Monthly Data'!K:K)</f>
        <v>70933036.230000004</v>
      </c>
      <c r="J6" s="107">
        <f t="shared" si="1"/>
        <v>0.12501340818038309</v>
      </c>
      <c r="K6" s="106">
        <f>SUMIF('Combined Monthly Data'!$B:$B,$B6,'Combined Monthly Data'!M:M)</f>
        <v>239678971.84486073</v>
      </c>
      <c r="L6" s="107">
        <f t="shared" si="2"/>
        <v>0.42241368383472228</v>
      </c>
      <c r="M6" s="106">
        <f>SUMIF('Combined Monthly Data'!$B:$B,$B6,'Combined Monthly Data'!T:T)+SUMIF('Combined Monthly Data'!$B:$B,$B6,'Combined Monthly Data'!W:W)+SUMIF('Combined Monthly Data'!$B:$B,$B6,'Combined Monthly Data'!Z:Z)</f>
        <v>6764365.6607828997</v>
      </c>
      <c r="N6" s="108">
        <f t="shared" si="3"/>
        <v>43244325.924356341</v>
      </c>
      <c r="O6" s="111">
        <f t="shared" si="4"/>
        <v>29327708.009421688</v>
      </c>
      <c r="P6" s="108">
        <f t="shared" si="5"/>
        <v>13916617.914934654</v>
      </c>
      <c r="Q6" s="107">
        <f t="shared" si="6"/>
        <v>2.4526848537104524E-2</v>
      </c>
    </row>
    <row r="7" spans="1:17" x14ac:dyDescent="0.2">
      <c r="B7" s="40">
        <f t="shared" si="7"/>
        <v>2012</v>
      </c>
      <c r="C7" s="106">
        <f>SUMIF('Combined Monthly Data'!$B:$B,$B7,'Combined Monthly Data'!C:C)</f>
        <v>563484611.22000003</v>
      </c>
      <c r="D7" s="106">
        <f>SUMIF('Wholesale Predicted Monthly'!$B:$B,$B7,'Wholesale Predicted Monthly'!AE:AE)</f>
        <v>561943417.55930042</v>
      </c>
      <c r="E7" s="107">
        <f t="shared" si="8"/>
        <v>2.7351122462116028E-3</v>
      </c>
      <c r="F7" s="106"/>
      <c r="G7" s="106">
        <f>SUMIF('Combined Monthly Data'!$B:$B,$B7,'Combined Monthly Data'!I:I)</f>
        <v>202637712</v>
      </c>
      <c r="H7" s="107">
        <f t="shared" si="0"/>
        <v>0.35961534346300827</v>
      </c>
      <c r="I7" s="106">
        <f>SUMIF('Combined Monthly Data'!$B:$B,$B7,'Combined Monthly Data'!K:K)</f>
        <v>70882241.200000003</v>
      </c>
      <c r="J7" s="107">
        <f t="shared" si="1"/>
        <v>0.12579268322258691</v>
      </c>
      <c r="K7" s="106">
        <f>SUMIF('Combined Monthly Data'!$B:$B,$B7,'Combined Monthly Data'!M:M)</f>
        <v>257514290.19887257</v>
      </c>
      <c r="L7" s="107">
        <f t="shared" si="2"/>
        <v>0.45700323499754253</v>
      </c>
      <c r="M7" s="106">
        <f>SUMIF('Combined Monthly Data'!$B:$B,$B7,'Combined Monthly Data'!T:T)+SUMIF('Combined Monthly Data'!$B:$B,$B7,'Combined Monthly Data'!W:W)+SUMIF('Combined Monthly Data'!$B:$B,$B7,'Combined Monthly Data'!Z:Z)</f>
        <v>7074054.7562535079</v>
      </c>
      <c r="N7" s="108">
        <f t="shared" si="3"/>
        <v>25376313.064873934</v>
      </c>
      <c r="O7" s="111">
        <f t="shared" si="4"/>
        <v>29125153.916130915</v>
      </c>
      <c r="P7" s="108">
        <f t="shared" si="5"/>
        <v>-3748840.8512569815</v>
      </c>
      <c r="Q7" s="107">
        <f t="shared" si="6"/>
        <v>-6.652960483056262E-3</v>
      </c>
    </row>
    <row r="8" spans="1:17" x14ac:dyDescent="0.2">
      <c r="B8" s="40">
        <f t="shared" si="7"/>
        <v>2013</v>
      </c>
      <c r="C8" s="106">
        <f>SUMIF('Combined Monthly Data'!$B:$B,$B8,'Combined Monthly Data'!C:C)</f>
        <v>533215540</v>
      </c>
      <c r="D8" s="106">
        <f>SUMIF('Wholesale Predicted Monthly'!$B:$B,$B8,'Wholesale Predicted Monthly'!AE:AE)</f>
        <v>539847068.26173985</v>
      </c>
      <c r="E8" s="107">
        <f t="shared" si="8"/>
        <v>1.2436862327267975E-2</v>
      </c>
      <c r="F8" s="106"/>
      <c r="G8" s="106">
        <f>SUMIF('Combined Monthly Data'!$B:$B,$B8,'Combined Monthly Data'!I:I)</f>
        <v>206257081</v>
      </c>
      <c r="H8" s="107">
        <f t="shared" si="0"/>
        <v>0.38681746034633574</v>
      </c>
      <c r="I8" s="106">
        <f>SUMIF('Combined Monthly Data'!$B:$B,$B8,'Combined Monthly Data'!K:K)</f>
        <v>69535541</v>
      </c>
      <c r="J8" s="107">
        <f t="shared" si="1"/>
        <v>0.1304079415990014</v>
      </c>
      <c r="K8" s="106">
        <f>SUMIF('Combined Monthly Data'!$B:$B,$B8,'Combined Monthly Data'!M:M)</f>
        <v>219499506</v>
      </c>
      <c r="L8" s="107">
        <f t="shared" si="2"/>
        <v>0.41165249234859136</v>
      </c>
      <c r="M8" s="106">
        <f>SUMIF('Combined Monthly Data'!$B:$B,$B8,'Combined Monthly Data'!T:T)+SUMIF('Combined Monthly Data'!$B:$B,$B8,'Combined Monthly Data'!W:W)+SUMIF('Combined Monthly Data'!$B:$B,$B8,'Combined Monthly Data'!Z:Z)</f>
        <v>6658589</v>
      </c>
      <c r="N8" s="108">
        <f t="shared" si="3"/>
        <v>31264823</v>
      </c>
      <c r="O8" s="111">
        <f t="shared" si="4"/>
        <v>27560618.983629216</v>
      </c>
      <c r="P8" s="108">
        <f t="shared" si="5"/>
        <v>3704204.0163707845</v>
      </c>
      <c r="Q8" s="107">
        <f t="shared" si="6"/>
        <v>6.9469168441167045E-3</v>
      </c>
    </row>
    <row r="9" spans="1:17" x14ac:dyDescent="0.2">
      <c r="B9" s="40">
        <f t="shared" si="7"/>
        <v>2014</v>
      </c>
      <c r="C9" s="106">
        <f>SUMIF('Combined Monthly Data'!$B:$B,$B9,'Combined Monthly Data'!C:C)</f>
        <v>535322551</v>
      </c>
      <c r="D9" s="106">
        <f>SUMIF('Wholesale Predicted Monthly'!$B:$B,$B9,'Wholesale Predicted Monthly'!AE:AE)</f>
        <v>523317077.1544134</v>
      </c>
      <c r="E9" s="107">
        <f t="shared" si="8"/>
        <v>2.2426617042678253E-2</v>
      </c>
      <c r="F9" s="106"/>
      <c r="G9" s="106">
        <f>SUMIF('Combined Monthly Data'!$B:$B,$B9,'Combined Monthly Data'!I:I)</f>
        <v>203019188</v>
      </c>
      <c r="H9" s="107">
        <f t="shared" si="0"/>
        <v>0.37924647041443244</v>
      </c>
      <c r="I9" s="106">
        <f>SUMIF('Combined Monthly Data'!$B:$B,$B9,'Combined Monthly Data'!K:K)</f>
        <v>69999358</v>
      </c>
      <c r="J9" s="107">
        <f t="shared" si="1"/>
        <v>0.13076108575892967</v>
      </c>
      <c r="K9" s="106">
        <f>SUMIF('Combined Monthly Data'!$B:$B,$B9,'Combined Monthly Data'!M:M)</f>
        <v>231604485</v>
      </c>
      <c r="L9" s="107">
        <f t="shared" si="2"/>
        <v>0.43264473833085354</v>
      </c>
      <c r="M9" s="106">
        <f>SUMIF('Combined Monthly Data'!$B:$B,$B9,'Combined Monthly Data'!T:T)+SUMIF('Combined Monthly Data'!$B:$B,$B9,'Combined Monthly Data'!W:W)+SUMIF('Combined Monthly Data'!$B:$B,$B9,'Combined Monthly Data'!Z:Z)</f>
        <v>6531597</v>
      </c>
      <c r="N9" s="108">
        <f t="shared" si="3"/>
        <v>24167923</v>
      </c>
      <c r="O9" s="111">
        <f t="shared" si="4"/>
        <v>27669525.27575513</v>
      </c>
      <c r="P9" s="108">
        <f t="shared" si="5"/>
        <v>-3501602.2757551298</v>
      </c>
      <c r="Q9" s="107">
        <f t="shared" si="6"/>
        <v>-6.5411073552085978E-3</v>
      </c>
    </row>
    <row r="10" spans="1:17" x14ac:dyDescent="0.2">
      <c r="B10" s="40">
        <f t="shared" si="7"/>
        <v>2015</v>
      </c>
      <c r="C10" s="106">
        <f>SUMIF('Combined Monthly Data'!$B:$B,$B10,'Combined Monthly Data'!C:C)</f>
        <v>496797372</v>
      </c>
      <c r="D10" s="106">
        <f>SUMIF('Wholesale Predicted Monthly'!$B:$B,$B10,'Wholesale Predicted Monthly'!AE:AE)</f>
        <v>502171317.58384156</v>
      </c>
      <c r="E10" s="107">
        <f t="shared" si="8"/>
        <v>1.0817177961725535E-2</v>
      </c>
      <c r="F10" s="106"/>
      <c r="G10" s="106">
        <f>SUMIF('Combined Monthly Data'!$B:$B,$B10,'Combined Monthly Data'!I:I)</f>
        <v>199982619</v>
      </c>
      <c r="H10" s="107">
        <f>G10/$C10</f>
        <v>0.40254363302066742</v>
      </c>
      <c r="I10" s="106">
        <f>SUMIF('Combined Monthly Data'!$B:$B,$B10,'Combined Monthly Data'!K:K)</f>
        <v>69530292</v>
      </c>
      <c r="J10" s="107">
        <f>I10/$C10</f>
        <v>0.13995704470030892</v>
      </c>
      <c r="K10" s="106">
        <f>SUMIF('Combined Monthly Data'!$B:$B,$B10,'Combined Monthly Data'!M:M)</f>
        <v>198759828</v>
      </c>
      <c r="L10" s="107">
        <f>K10/$C10</f>
        <v>0.40008228545943275</v>
      </c>
      <c r="M10" s="106">
        <f>SUMIF('Combined Monthly Data'!$B:$B,$B10,'Combined Monthly Data'!T:T)+SUMIF('Combined Monthly Data'!$B:$B,$B10,'Combined Monthly Data'!W:W)+SUMIF('Combined Monthly Data'!$B:$B,$B10,'Combined Monthly Data'!Z:Z)</f>
        <v>5916930</v>
      </c>
      <c r="N10" s="108">
        <f t="shared" si="3"/>
        <v>22607703</v>
      </c>
      <c r="O10" s="111">
        <f t="shared" si="4"/>
        <v>25678252.141264122</v>
      </c>
      <c r="P10" s="108">
        <f t="shared" si="5"/>
        <v>-3070549.141264122</v>
      </c>
      <c r="Q10" s="107">
        <f t="shared" si="6"/>
        <v>-6.1806871660829198E-3</v>
      </c>
    </row>
    <row r="11" spans="1:17" x14ac:dyDescent="0.2">
      <c r="M11" s="40" t="s">
        <v>176</v>
      </c>
      <c r="N11" s="110">
        <f>SUM(N4:N10)/SUM(C4:C10)</f>
        <v>5.1687576441656627E-2</v>
      </c>
    </row>
    <row r="12" spans="1:17" x14ac:dyDescent="0.2">
      <c r="B12" s="40" t="s">
        <v>174</v>
      </c>
      <c r="E12" s="109">
        <f>AVERAGE(E4:E10)</f>
        <v>8.2064075835888289E-3</v>
      </c>
    </row>
    <row r="13" spans="1:17" x14ac:dyDescent="0.2">
      <c r="B13" s="40" t="s">
        <v>175</v>
      </c>
      <c r="E13" s="109">
        <f>'Wholesale Predicted Monthly'!AF86</f>
        <v>1.7008895667750344E-2</v>
      </c>
    </row>
  </sheetData>
  <mergeCells count="1">
    <mergeCell ref="C2:D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opLeftCell="M67" workbookViewId="0">
      <selection activeCell="U91" sqref="U91"/>
    </sheetView>
  </sheetViews>
  <sheetFormatPr defaultRowHeight="12.75" x14ac:dyDescent="0.2"/>
  <cols>
    <col min="1" max="1" width="10.33203125" bestFit="1" customWidth="1"/>
    <col min="2" max="2" width="5" bestFit="1" customWidth="1"/>
    <col min="3" max="3" width="12.6640625" bestFit="1" customWidth="1"/>
    <col min="4" max="4" width="8.33203125" bestFit="1" customWidth="1"/>
    <col min="5" max="5" width="8.1640625" bestFit="1" customWidth="1"/>
    <col min="6" max="6" width="10.83203125" bestFit="1" customWidth="1"/>
    <col min="7" max="7" width="5.33203125" bestFit="1" customWidth="1"/>
    <col min="8" max="8" width="8.5" bestFit="1" customWidth="1"/>
    <col min="9" max="9" width="12.6640625" bestFit="1" customWidth="1"/>
    <col min="10" max="10" width="17.1640625" bestFit="1" customWidth="1"/>
    <col min="11" max="11" width="3.5" bestFit="1" customWidth="1"/>
    <col min="12" max="12" width="4.1640625" bestFit="1" customWidth="1"/>
    <col min="13" max="13" width="3.1640625" bestFit="1" customWidth="1"/>
    <col min="14" max="14" width="4" bestFit="1" customWidth="1"/>
    <col min="15" max="15" width="4.1640625" bestFit="1" customWidth="1"/>
    <col min="17" max="17" width="11.83203125" bestFit="1" customWidth="1"/>
    <col min="18" max="18" width="11.83203125" customWidth="1"/>
    <col min="19" max="21" width="11.1640625" bestFit="1" customWidth="1"/>
    <col min="22" max="22" width="11.83203125" bestFit="1" customWidth="1"/>
    <col min="23" max="23" width="11.1640625" bestFit="1" customWidth="1"/>
    <col min="24" max="24" width="12.6640625" bestFit="1" customWidth="1"/>
    <col min="25" max="25" width="17.1640625" bestFit="1" customWidth="1"/>
    <col min="26" max="29" width="10.1640625" bestFit="1" customWidth="1"/>
    <col min="30" max="30" width="10.83203125" bestFit="1" customWidth="1"/>
    <col min="31" max="31" width="14" bestFit="1" customWidth="1"/>
  </cols>
  <sheetData>
    <row r="1" spans="1:31" x14ac:dyDescent="0.2">
      <c r="A1" t="str">
        <f>'Wholesale Predicted Monthly'!A1</f>
        <v>Date</v>
      </c>
      <c r="B1" t="str">
        <f>'Wholesale Predicted Monthly'!B1</f>
        <v>Year</v>
      </c>
      <c r="C1" t="str">
        <f>'Wholesale Predicted Monthly'!C1</f>
        <v>WholesalekWh</v>
      </c>
      <c r="D1" t="str">
        <f>'Wholesale Predicted Monthly'!D1</f>
        <v>PC_HDD</v>
      </c>
      <c r="E1" t="str">
        <f>'Wholesale Predicted Monthly'!E1</f>
        <v>PC_CDD</v>
      </c>
      <c r="F1" t="str">
        <f>'Wholesale Predicted Monthly'!F1</f>
        <v>Ontario_FTE</v>
      </c>
      <c r="G1" t="str">
        <f>'Wholesale Predicted Monthly'!G1</f>
        <v>Trend</v>
      </c>
      <c r="H1" t="str">
        <f>'Wholesale Predicted Monthly'!H1</f>
        <v>PeakDays</v>
      </c>
      <c r="I1" t="str">
        <f>'Wholesale Predicted Monthly'!I1</f>
        <v>LostCustomers</v>
      </c>
      <c r="J1" t="str">
        <f>'Wholesale Predicted Monthly'!J1</f>
        <v>LostCustomersTrend</v>
      </c>
      <c r="K1" t="str">
        <f>'Wholesale Predicted Monthly'!K1</f>
        <v>Jan</v>
      </c>
      <c r="L1" t="str">
        <f>'Wholesale Predicted Monthly'!L1</f>
        <v>Mar</v>
      </c>
      <c r="M1" t="str">
        <f>'Wholesale Predicted Monthly'!M1</f>
        <v>Jul</v>
      </c>
      <c r="N1" t="str">
        <f>'Wholesale Predicted Monthly'!N1</f>
        <v>Aug</v>
      </c>
      <c r="O1" t="str">
        <f>'Wholesale Predicted Monthly'!O1</f>
        <v>Nov</v>
      </c>
      <c r="Q1" t="str">
        <f>'Wholesale Predicted Monthly'!Q1</f>
        <v>const</v>
      </c>
      <c r="R1" t="str">
        <f>'Wholesale Predicted Monthly'!R1</f>
        <v>CDM Adjustment</v>
      </c>
      <c r="S1" t="str">
        <f>'Wholesale Predicted Monthly'!S1</f>
        <v>PC_HDD</v>
      </c>
      <c r="T1" t="str">
        <f>'Wholesale Predicted Monthly'!T1</f>
        <v>PC_CDD</v>
      </c>
      <c r="U1" t="str">
        <f>'Wholesale Predicted Monthly'!U1</f>
        <v>Ontario_FTE</v>
      </c>
      <c r="V1" t="str">
        <f>'Wholesale Predicted Monthly'!V1</f>
        <v>Trend</v>
      </c>
      <c r="W1" t="str">
        <f>'Wholesale Predicted Monthly'!W1</f>
        <v>PeakDays</v>
      </c>
      <c r="X1" t="str">
        <f>'Wholesale Predicted Monthly'!X1</f>
        <v>LostCustomers</v>
      </c>
      <c r="Y1" t="str">
        <f>'Wholesale Predicted Monthly'!Y1</f>
        <v>LostCustomersTrend</v>
      </c>
      <c r="Z1" t="str">
        <f>'Wholesale Predicted Monthly'!Z1</f>
        <v>Jan</v>
      </c>
      <c r="AA1" t="str">
        <f>'Wholesale Predicted Monthly'!AA1</f>
        <v>Mar</v>
      </c>
      <c r="AB1" t="str">
        <f>'Wholesale Predicted Monthly'!AB1</f>
        <v>Jul</v>
      </c>
      <c r="AC1" t="str">
        <f>'Wholesale Predicted Monthly'!AC1</f>
        <v>Aug</v>
      </c>
      <c r="AD1" t="str">
        <f>'Wholesale Predicted Monthly'!AD1</f>
        <v>Nov</v>
      </c>
      <c r="AE1" t="s">
        <v>162</v>
      </c>
    </row>
    <row r="2" spans="1:31" x14ac:dyDescent="0.2">
      <c r="A2" s="99">
        <f>'Wholesale Predicted Monthly'!A2</f>
        <v>39814</v>
      </c>
      <c r="B2">
        <f>'Wholesale Predicted Monthly'!B2</f>
        <v>2009</v>
      </c>
      <c r="C2">
        <f>'Wholesale Predicted Monthly'!C2</f>
        <v>55427768</v>
      </c>
      <c r="D2">
        <f ca="1">'Weather Data'!F$29</f>
        <v>685.8599999999999</v>
      </c>
      <c r="E2">
        <f ca="1">'Weather Data'!G$60</f>
        <v>0</v>
      </c>
      <c r="F2">
        <f>'Wholesale Predicted Monthly'!F2</f>
        <v>6506.5</v>
      </c>
      <c r="G2">
        <f>'Wholesale Predicted Monthly'!G2</f>
        <v>1</v>
      </c>
      <c r="H2">
        <f>'Wholesale Predicted Monthly'!H2</f>
        <v>21</v>
      </c>
      <c r="I2">
        <f>'Wholesale Predicted Monthly'!I2</f>
        <v>0</v>
      </c>
      <c r="J2">
        <f>'Wholesale Predicted Monthly'!J2</f>
        <v>0</v>
      </c>
      <c r="K2">
        <f>'Wholesale Predicted Monthly'!K2</f>
        <v>1</v>
      </c>
      <c r="L2">
        <f>'Wholesale Predicted Monthly'!L2</f>
        <v>0</v>
      </c>
      <c r="M2">
        <f>'Wholesale Predicted Monthly'!M2</f>
        <v>0</v>
      </c>
      <c r="N2">
        <f>'Wholesale Predicted Monthly'!N2</f>
        <v>0</v>
      </c>
      <c r="O2">
        <f>'Wholesale Predicted Monthly'!O2</f>
        <v>0</v>
      </c>
      <c r="Q2" s="8">
        <f>'Wholesale OLS model'!$B$5</f>
        <v>-50878161.758948997</v>
      </c>
      <c r="R2" s="8">
        <f>-'Combined Monthly Data'!G2</f>
        <v>-13202.422294172367</v>
      </c>
      <c r="S2" s="8">
        <f ca="1">'Wholesale OLS model'!$B$6*D2</f>
        <v>10876187.368258728</v>
      </c>
      <c r="T2" s="8">
        <f ca="1">'Wholesale OLS model'!$B$7*E2</f>
        <v>0</v>
      </c>
      <c r="U2" s="8">
        <f>'Wholesale OLS model'!$B$8*F2</f>
        <v>80946899.008273005</v>
      </c>
      <c r="V2" s="8">
        <f>'Wholesale OLS model'!$B$9*G2</f>
        <v>-56303.459166964698</v>
      </c>
      <c r="W2" s="8">
        <f>'Wholesale OLS model'!$B$10*H2</f>
        <v>9736578.4049444813</v>
      </c>
      <c r="X2" s="8">
        <f>'Wholesale OLS model'!$B$11*I2</f>
        <v>0</v>
      </c>
      <c r="Y2" s="8">
        <f>'Wholesale OLS model'!$B$12*J2</f>
        <v>0</v>
      </c>
      <c r="Z2" s="8">
        <f>'Wholesale OLS model'!$B$13*K2</f>
        <v>2647304.3437043098</v>
      </c>
      <c r="AA2" s="8">
        <f>'Wholesale OLS model'!$B$14*L2</f>
        <v>0</v>
      </c>
      <c r="AB2" s="8">
        <f>'Wholesale OLS model'!$B$15*M2</f>
        <v>0</v>
      </c>
      <c r="AC2" s="8">
        <f>'Wholesale OLS model'!$B$16*N2</f>
        <v>0</v>
      </c>
      <c r="AD2" s="8">
        <f>'Wholesale OLS model'!$B$17*O2</f>
        <v>0</v>
      </c>
      <c r="AE2" s="8">
        <f ca="1">SUM(Q2:AD2)</f>
        <v>53259301.484770395</v>
      </c>
    </row>
    <row r="3" spans="1:31" x14ac:dyDescent="0.2">
      <c r="A3" s="99">
        <f>'Wholesale Predicted Monthly'!A3</f>
        <v>39845</v>
      </c>
      <c r="B3">
        <f>'Wholesale Predicted Monthly'!B3</f>
        <v>2009</v>
      </c>
      <c r="C3">
        <f>'Wholesale Predicted Monthly'!C3</f>
        <v>47267492.5</v>
      </c>
      <c r="D3">
        <f ca="1">'Weather Data'!G$29</f>
        <v>660.08</v>
      </c>
      <c r="E3">
        <f ca="1">'Weather Data'!H$60</f>
        <v>0</v>
      </c>
      <c r="F3">
        <f>'Wholesale Predicted Monthly'!F3</f>
        <v>6436.2</v>
      </c>
      <c r="G3">
        <f>'Wholesale Predicted Monthly'!G3</f>
        <v>2</v>
      </c>
      <c r="H3">
        <f>'Wholesale Predicted Monthly'!H3</f>
        <v>19</v>
      </c>
      <c r="I3">
        <f>'Wholesale Predicted Monthly'!I3</f>
        <v>0</v>
      </c>
      <c r="J3">
        <f>'Wholesale Predicted Monthly'!J3</f>
        <v>0</v>
      </c>
      <c r="K3">
        <f>'Wholesale Predicted Monthly'!K3</f>
        <v>0</v>
      </c>
      <c r="L3">
        <f>'Wholesale Predicted Monthly'!L3</f>
        <v>0</v>
      </c>
      <c r="M3">
        <f>'Wholesale Predicted Monthly'!M3</f>
        <v>0</v>
      </c>
      <c r="N3">
        <f>'Wholesale Predicted Monthly'!N3</f>
        <v>0</v>
      </c>
      <c r="O3">
        <f>'Wholesale Predicted Monthly'!O3</f>
        <v>0</v>
      </c>
      <c r="Q3" s="8">
        <f>'Wholesale OLS model'!$B$5</f>
        <v>-50878161.758948997</v>
      </c>
      <c r="R3" s="8">
        <f>-'Combined Monthly Data'!G3</f>
        <v>-26404.844588344735</v>
      </c>
      <c r="S3" s="8">
        <f ca="1">'Wholesale OLS model'!$B$6*D3</f>
        <v>10467374.913306247</v>
      </c>
      <c r="T3" s="8">
        <f ca="1">'Wholesale OLS model'!$B$7*E3</f>
        <v>0</v>
      </c>
      <c r="U3" s="8">
        <f>'Wholesale OLS model'!$B$8*F3</f>
        <v>80072301.759324774</v>
      </c>
      <c r="V3" s="8">
        <f>'Wholesale OLS model'!$B$9*G3</f>
        <v>-112606.9183339294</v>
      </c>
      <c r="W3" s="8">
        <f>'Wholesale OLS model'!$B$10*H3</f>
        <v>8809285.2235211972</v>
      </c>
      <c r="X3" s="8">
        <f>'Wholesale OLS model'!$B$11*I3</f>
        <v>0</v>
      </c>
      <c r="Y3" s="8">
        <f>'Wholesale OLS model'!$B$12*J3</f>
        <v>0</v>
      </c>
      <c r="Z3" s="8">
        <f>'Wholesale OLS model'!$B$13*K3</f>
        <v>0</v>
      </c>
      <c r="AA3" s="8">
        <f>'Wholesale OLS model'!$B$14*L3</f>
        <v>0</v>
      </c>
      <c r="AB3" s="8">
        <f>'Wholesale OLS model'!$B$15*M3</f>
        <v>0</v>
      </c>
      <c r="AC3" s="8">
        <f>'Wholesale OLS model'!$B$16*N3</f>
        <v>0</v>
      </c>
      <c r="AD3" s="8">
        <f>'Wholesale OLS model'!$B$17*O3</f>
        <v>0</v>
      </c>
      <c r="AE3" s="8">
        <f t="shared" ref="AE3:AE66" ca="1" si="0">SUM(Q3:AD3)</f>
        <v>48331788.374280937</v>
      </c>
    </row>
    <row r="4" spans="1:31" x14ac:dyDescent="0.2">
      <c r="A4" s="99">
        <f>'Wholesale Predicted Monthly'!A4</f>
        <v>39873</v>
      </c>
      <c r="B4">
        <f>'Wholesale Predicted Monthly'!B4</f>
        <v>2009</v>
      </c>
      <c r="C4">
        <f>'Wholesale Predicted Monthly'!C4</f>
        <v>47464794.200000003</v>
      </c>
      <c r="D4">
        <f ca="1">'Weather Data'!H$29</f>
        <v>543.44000000000005</v>
      </c>
      <c r="E4">
        <f ca="1">'Weather Data'!I$60</f>
        <v>0.24</v>
      </c>
      <c r="F4">
        <f>'Wholesale Predicted Monthly'!F4</f>
        <v>6363.8</v>
      </c>
      <c r="G4">
        <f>'Wholesale Predicted Monthly'!G4</f>
        <v>3</v>
      </c>
      <c r="H4">
        <f>'Wholesale Predicted Monthly'!H4</f>
        <v>22</v>
      </c>
      <c r="I4">
        <f>'Wholesale Predicted Monthly'!I4</f>
        <v>0</v>
      </c>
      <c r="J4">
        <f>'Wholesale Predicted Monthly'!J4</f>
        <v>0</v>
      </c>
      <c r="K4">
        <f>'Wholesale Predicted Monthly'!K4</f>
        <v>0</v>
      </c>
      <c r="L4">
        <f>'Wholesale Predicted Monthly'!L4</f>
        <v>1</v>
      </c>
      <c r="M4">
        <f>'Wholesale Predicted Monthly'!M4</f>
        <v>0</v>
      </c>
      <c r="N4">
        <f>'Wholesale Predicted Monthly'!N4</f>
        <v>0</v>
      </c>
      <c r="O4">
        <f>'Wholesale Predicted Monthly'!O4</f>
        <v>0</v>
      </c>
      <c r="Q4" s="8">
        <f>'Wholesale OLS model'!$B$5</f>
        <v>-50878161.758948997</v>
      </c>
      <c r="R4" s="8">
        <f>-'Combined Monthly Data'!G4</f>
        <v>-39607.266882517099</v>
      </c>
      <c r="S4" s="8">
        <f ca="1">'Wholesale OLS model'!$B$6*D4</f>
        <v>8617728.4918300007</v>
      </c>
      <c r="T4" s="8">
        <f ca="1">'Wholesale OLS model'!$B$7*E4</f>
        <v>22639.977620703648</v>
      </c>
      <c r="U4" s="8">
        <f>'Wholesale OLS model'!$B$8*F4</f>
        <v>79171578.56126146</v>
      </c>
      <c r="V4" s="8">
        <f>'Wholesale OLS model'!$B$9*G4</f>
        <v>-168910.3775008941</v>
      </c>
      <c r="W4" s="8">
        <f>'Wholesale OLS model'!$B$10*H4</f>
        <v>10200224.995656123</v>
      </c>
      <c r="X4" s="8">
        <f>'Wholesale OLS model'!$B$11*I4</f>
        <v>0</v>
      </c>
      <c r="Y4" s="8">
        <f>'Wholesale OLS model'!$B$12*J4</f>
        <v>0</v>
      </c>
      <c r="Z4" s="8">
        <f>'Wholesale OLS model'!$B$13*K4</f>
        <v>0</v>
      </c>
      <c r="AA4" s="8">
        <f>'Wholesale OLS model'!$B$14*L4</f>
        <v>1640135.6856942801</v>
      </c>
      <c r="AB4" s="8">
        <f>'Wholesale OLS model'!$B$15*M4</f>
        <v>0</v>
      </c>
      <c r="AC4" s="8">
        <f>'Wholesale OLS model'!$B$16*N4</f>
        <v>0</v>
      </c>
      <c r="AD4" s="8">
        <f>'Wholesale OLS model'!$B$17*O4</f>
        <v>0</v>
      </c>
      <c r="AE4" s="8">
        <f t="shared" ca="1" si="0"/>
        <v>48565628.308730163</v>
      </c>
    </row>
    <row r="5" spans="1:31" x14ac:dyDescent="0.2">
      <c r="A5" s="99">
        <f>'Wholesale Predicted Monthly'!A5</f>
        <v>39904</v>
      </c>
      <c r="B5">
        <f>'Wholesale Predicted Monthly'!B5</f>
        <v>2009</v>
      </c>
      <c r="C5">
        <f>'Wholesale Predicted Monthly'!C5</f>
        <v>42184392.299999997</v>
      </c>
      <c r="D5">
        <f ca="1">'Weather Data'!I$29</f>
        <v>313.53000000000003</v>
      </c>
      <c r="E5">
        <f ca="1">'Weather Data'!J$60</f>
        <v>17.5</v>
      </c>
      <c r="F5">
        <f>'Wholesale Predicted Monthly'!F5</f>
        <v>6359.6</v>
      </c>
      <c r="G5">
        <f>'Wholesale Predicted Monthly'!G5</f>
        <v>4</v>
      </c>
      <c r="H5">
        <f>'Wholesale Predicted Monthly'!H5</f>
        <v>20</v>
      </c>
      <c r="I5">
        <f>'Wholesale Predicted Monthly'!I5</f>
        <v>0</v>
      </c>
      <c r="J5">
        <f>'Wholesale Predicted Monthly'!J5</f>
        <v>0</v>
      </c>
      <c r="K5">
        <f>'Wholesale Predicted Monthly'!K5</f>
        <v>0</v>
      </c>
      <c r="L5">
        <f>'Wholesale Predicted Monthly'!L5</f>
        <v>0</v>
      </c>
      <c r="M5">
        <f>'Wholesale Predicted Monthly'!M5</f>
        <v>0</v>
      </c>
      <c r="N5">
        <f>'Wholesale Predicted Monthly'!N5</f>
        <v>0</v>
      </c>
      <c r="O5">
        <f>'Wholesale Predicted Monthly'!O5</f>
        <v>0</v>
      </c>
      <c r="Q5" s="8">
        <f>'Wholesale OLS model'!$B$5</f>
        <v>-50878161.758948997</v>
      </c>
      <c r="R5" s="8">
        <f>-'Combined Monthly Data'!G5</f>
        <v>-52809.68917668947</v>
      </c>
      <c r="S5" s="8">
        <f ca="1">'Wholesale OLS model'!$B$6*D5</f>
        <v>4971876.2219259907</v>
      </c>
      <c r="T5" s="8">
        <f ca="1">'Wholesale OLS model'!$B$7*E5</f>
        <v>1650831.701509641</v>
      </c>
      <c r="U5" s="8">
        <f>'Wholesale OLS model'!$B$8*F5</f>
        <v>79119326.66303128</v>
      </c>
      <c r="V5" s="8">
        <f>'Wholesale OLS model'!$B$9*G5</f>
        <v>-225213.83666785879</v>
      </c>
      <c r="W5" s="8">
        <f>'Wholesale OLS model'!$B$10*H5</f>
        <v>9272931.8142328393</v>
      </c>
      <c r="X5" s="8">
        <f>'Wholesale OLS model'!$B$11*I5</f>
        <v>0</v>
      </c>
      <c r="Y5" s="8">
        <f>'Wholesale OLS model'!$B$12*J5</f>
        <v>0</v>
      </c>
      <c r="Z5" s="8">
        <f>'Wholesale OLS model'!$B$13*K5</f>
        <v>0</v>
      </c>
      <c r="AA5" s="8">
        <f>'Wholesale OLS model'!$B$14*L5</f>
        <v>0</v>
      </c>
      <c r="AB5" s="8">
        <f>'Wholesale OLS model'!$B$15*M5</f>
        <v>0</v>
      </c>
      <c r="AC5" s="8">
        <f>'Wholesale OLS model'!$B$16*N5</f>
        <v>0</v>
      </c>
      <c r="AD5" s="8">
        <f>'Wholesale OLS model'!$B$17*O5</f>
        <v>0</v>
      </c>
      <c r="AE5" s="8">
        <f t="shared" ca="1" si="0"/>
        <v>43858781.115906209</v>
      </c>
    </row>
    <row r="6" spans="1:31" x14ac:dyDescent="0.2">
      <c r="A6" s="99">
        <f>'Wholesale Predicted Monthly'!A6</f>
        <v>39934</v>
      </c>
      <c r="B6">
        <f>'Wholesale Predicted Monthly'!B6</f>
        <v>2009</v>
      </c>
      <c r="C6">
        <f>'Wholesale Predicted Monthly'!C6</f>
        <v>40052922.200000003</v>
      </c>
      <c r="D6">
        <f ca="1">'Weather Data'!J$29</f>
        <v>134.15000000000003</v>
      </c>
      <c r="E6">
        <f ca="1">'Weather Data'!K$60</f>
        <v>73.010000000000019</v>
      </c>
      <c r="F6">
        <f>'Wholesale Predicted Monthly'!F6</f>
        <v>6382.1</v>
      </c>
      <c r="G6">
        <f>'Wholesale Predicted Monthly'!G6</f>
        <v>5</v>
      </c>
      <c r="H6">
        <f>'Wholesale Predicted Monthly'!H6</f>
        <v>20</v>
      </c>
      <c r="I6">
        <f>'Wholesale Predicted Monthly'!I6</f>
        <v>0</v>
      </c>
      <c r="J6">
        <f>'Wholesale Predicted Monthly'!J6</f>
        <v>0</v>
      </c>
      <c r="K6">
        <f>'Wholesale Predicted Monthly'!K6</f>
        <v>0</v>
      </c>
      <c r="L6">
        <f>'Wholesale Predicted Monthly'!L6</f>
        <v>0</v>
      </c>
      <c r="M6">
        <f>'Wholesale Predicted Monthly'!M6</f>
        <v>0</v>
      </c>
      <c r="N6">
        <f>'Wholesale Predicted Monthly'!N6</f>
        <v>0</v>
      </c>
      <c r="O6">
        <f>'Wholesale Predicted Monthly'!O6</f>
        <v>0</v>
      </c>
      <c r="Q6" s="8">
        <f>'Wholesale OLS model'!$B$5</f>
        <v>-50878161.758948997</v>
      </c>
      <c r="R6" s="8">
        <f>-'Combined Monthly Data'!G6</f>
        <v>-66012.111470861841</v>
      </c>
      <c r="S6" s="8">
        <f ca="1">'Wholesale OLS model'!$B$6*D6</f>
        <v>2127315.3930130186</v>
      </c>
      <c r="T6" s="8">
        <f ca="1">'Wholesale OLS model'!$B$7*E6</f>
        <v>6887269.8586982237</v>
      </c>
      <c r="U6" s="8">
        <f>'Wholesale OLS model'!$B$8*F6</f>
        <v>79399247.546407312</v>
      </c>
      <c r="V6" s="8">
        <f>'Wholesale OLS model'!$B$9*G6</f>
        <v>-281517.29583482351</v>
      </c>
      <c r="W6" s="8">
        <f>'Wholesale OLS model'!$B$10*H6</f>
        <v>9272931.8142328393</v>
      </c>
      <c r="X6" s="8">
        <f>'Wholesale OLS model'!$B$11*I6</f>
        <v>0</v>
      </c>
      <c r="Y6" s="8">
        <f>'Wholesale OLS model'!$B$12*J6</f>
        <v>0</v>
      </c>
      <c r="Z6" s="8">
        <f>'Wholesale OLS model'!$B$13*K6</f>
        <v>0</v>
      </c>
      <c r="AA6" s="8">
        <f>'Wholesale OLS model'!$B$14*L6</f>
        <v>0</v>
      </c>
      <c r="AB6" s="8">
        <f>'Wholesale OLS model'!$B$15*M6</f>
        <v>0</v>
      </c>
      <c r="AC6" s="8">
        <f>'Wholesale OLS model'!$B$16*N6</f>
        <v>0</v>
      </c>
      <c r="AD6" s="8">
        <f>'Wholesale OLS model'!$B$17*O6</f>
        <v>0</v>
      </c>
      <c r="AE6" s="8">
        <f t="shared" ca="1" si="0"/>
        <v>46461073.446096711</v>
      </c>
    </row>
    <row r="7" spans="1:31" x14ac:dyDescent="0.2">
      <c r="A7" s="99">
        <f>'Wholesale Predicted Monthly'!A7</f>
        <v>39965</v>
      </c>
      <c r="B7">
        <f>'Wholesale Predicted Monthly'!B7</f>
        <v>2009</v>
      </c>
      <c r="C7">
        <f>'Wholesale Predicted Monthly'!C7</f>
        <v>41781955.399999999</v>
      </c>
      <c r="D7">
        <f ca="1">'Weather Data'!K$29</f>
        <v>28.409999999999997</v>
      </c>
      <c r="E7">
        <f ca="1">'Weather Data'!L$60</f>
        <v>106.29</v>
      </c>
      <c r="F7">
        <f>'Wholesale Predicted Monthly'!F7</f>
        <v>6429.4</v>
      </c>
      <c r="G7">
        <f>'Wholesale Predicted Monthly'!G7</f>
        <v>6</v>
      </c>
      <c r="H7">
        <f>'Wholesale Predicted Monthly'!H7</f>
        <v>22</v>
      </c>
      <c r="I7">
        <f>'Wholesale Predicted Monthly'!I7</f>
        <v>0</v>
      </c>
      <c r="J7">
        <f>'Wholesale Predicted Monthly'!J7</f>
        <v>0</v>
      </c>
      <c r="K7">
        <f>'Wholesale Predicted Monthly'!K7</f>
        <v>0</v>
      </c>
      <c r="L7">
        <f>'Wholesale Predicted Monthly'!L7</f>
        <v>0</v>
      </c>
      <c r="M7">
        <f>'Wholesale Predicted Monthly'!M7</f>
        <v>0</v>
      </c>
      <c r="N7">
        <f>'Wholesale Predicted Monthly'!N7</f>
        <v>0</v>
      </c>
      <c r="O7">
        <f>'Wholesale Predicted Monthly'!O7</f>
        <v>0</v>
      </c>
      <c r="Q7" s="8">
        <f>'Wholesale OLS model'!$B$5</f>
        <v>-50878161.758948997</v>
      </c>
      <c r="R7" s="8">
        <f>-'Combined Monthly Data'!G7</f>
        <v>-79214.533765034197</v>
      </c>
      <c r="S7" s="8">
        <f ca="1">'Wholesale OLS model'!$B$6*D7</f>
        <v>450518.30276183254</v>
      </c>
      <c r="T7" s="8">
        <f ca="1">'Wholesale OLS model'!$B$7*E7</f>
        <v>10026680.088769129</v>
      </c>
      <c r="U7" s="8">
        <f>'Wholesale OLS model'!$B$8*F7</f>
        <v>79987703.447904468</v>
      </c>
      <c r="V7" s="8">
        <f>'Wholesale OLS model'!$B$9*G7</f>
        <v>-337820.7550017882</v>
      </c>
      <c r="W7" s="8">
        <f>'Wholesale OLS model'!$B$10*H7</f>
        <v>10200224.995656123</v>
      </c>
      <c r="X7" s="8">
        <f>'Wholesale OLS model'!$B$11*I7</f>
        <v>0</v>
      </c>
      <c r="Y7" s="8">
        <f>'Wholesale OLS model'!$B$12*J7</f>
        <v>0</v>
      </c>
      <c r="Z7" s="8">
        <f>'Wholesale OLS model'!$B$13*K7</f>
        <v>0</v>
      </c>
      <c r="AA7" s="8">
        <f>'Wholesale OLS model'!$B$14*L7</f>
        <v>0</v>
      </c>
      <c r="AB7" s="8">
        <f>'Wholesale OLS model'!$B$15*M7</f>
        <v>0</v>
      </c>
      <c r="AC7" s="8">
        <f>'Wholesale OLS model'!$B$16*N7</f>
        <v>0</v>
      </c>
      <c r="AD7" s="8">
        <f>'Wholesale OLS model'!$B$17*O7</f>
        <v>0</v>
      </c>
      <c r="AE7" s="8">
        <f t="shared" ca="1" si="0"/>
        <v>49369929.787375733</v>
      </c>
    </row>
    <row r="8" spans="1:31" x14ac:dyDescent="0.2">
      <c r="A8" s="99">
        <f>'Wholesale Predicted Monthly'!A8</f>
        <v>39995</v>
      </c>
      <c r="B8">
        <f>'Wholesale Predicted Monthly'!B8</f>
        <v>2009</v>
      </c>
      <c r="C8">
        <f>'Wholesale Predicted Monthly'!C8</f>
        <v>45791702.700000003</v>
      </c>
      <c r="D8">
        <f ca="1">'Weather Data'!L$29</f>
        <v>5.84</v>
      </c>
      <c r="E8">
        <f ca="1">'Weather Data'!M$60</f>
        <v>81.070000000000007</v>
      </c>
      <c r="F8">
        <f>'Wholesale Predicted Monthly'!F8</f>
        <v>6467</v>
      </c>
      <c r="G8">
        <f>'Wholesale Predicted Monthly'!G8</f>
        <v>7</v>
      </c>
      <c r="H8">
        <f>'Wholesale Predicted Monthly'!H8</f>
        <v>22</v>
      </c>
      <c r="I8">
        <f>'Wholesale Predicted Monthly'!I8</f>
        <v>0</v>
      </c>
      <c r="J8">
        <f>'Wholesale Predicted Monthly'!J8</f>
        <v>0</v>
      </c>
      <c r="K8">
        <f>'Wholesale Predicted Monthly'!K8</f>
        <v>0</v>
      </c>
      <c r="L8">
        <f>'Wholesale Predicted Monthly'!L8</f>
        <v>0</v>
      </c>
      <c r="M8">
        <f>'Wholesale Predicted Monthly'!M8</f>
        <v>1</v>
      </c>
      <c r="N8">
        <f>'Wholesale Predicted Monthly'!N8</f>
        <v>0</v>
      </c>
      <c r="O8">
        <f>'Wholesale Predicted Monthly'!O8</f>
        <v>0</v>
      </c>
      <c r="Q8" s="8">
        <f>'Wholesale OLS model'!$B$5</f>
        <v>-50878161.758948997</v>
      </c>
      <c r="R8" s="8">
        <f>-'Combined Monthly Data'!G8</f>
        <v>-92416.956059206568</v>
      </c>
      <c r="S8" s="8">
        <f ca="1">'Wholesale OLS model'!$B$6*D8</f>
        <v>92609.182968289417</v>
      </c>
      <c r="T8" s="8">
        <f ca="1">'Wholesale OLS model'!$B$7*E8</f>
        <v>7647595.7737935204</v>
      </c>
      <c r="U8" s="8">
        <f>'Wholesale OLS model'!$B$8*F8</f>
        <v>80455482.346346185</v>
      </c>
      <c r="V8" s="8">
        <f>'Wholesale OLS model'!$B$9*G8</f>
        <v>-394124.21416875289</v>
      </c>
      <c r="W8" s="8">
        <f>'Wholesale OLS model'!$B$10*H8</f>
        <v>10200224.995656123</v>
      </c>
      <c r="X8" s="8">
        <f>'Wholesale OLS model'!$B$11*I8</f>
        <v>0</v>
      </c>
      <c r="Y8" s="8">
        <f>'Wholesale OLS model'!$B$12*J8</f>
        <v>0</v>
      </c>
      <c r="Z8" s="8">
        <f>'Wholesale OLS model'!$B$13*K8</f>
        <v>0</v>
      </c>
      <c r="AA8" s="8">
        <f>'Wholesale OLS model'!$B$14*L8</f>
        <v>0</v>
      </c>
      <c r="AB8" s="8">
        <f>'Wholesale OLS model'!$B$15*M8</f>
        <v>2370057.8473386201</v>
      </c>
      <c r="AC8" s="8">
        <f>'Wholesale OLS model'!$B$16*N8</f>
        <v>0</v>
      </c>
      <c r="AD8" s="8">
        <f>'Wholesale OLS model'!$B$17*O8</f>
        <v>0</v>
      </c>
      <c r="AE8" s="8">
        <f t="shared" ca="1" si="0"/>
        <v>49401267.216925777</v>
      </c>
    </row>
    <row r="9" spans="1:31" x14ac:dyDescent="0.2">
      <c r="A9" s="99">
        <f>'Wholesale Predicted Monthly'!A9</f>
        <v>40026</v>
      </c>
      <c r="B9">
        <f>'Wholesale Predicted Monthly'!B9</f>
        <v>2009</v>
      </c>
      <c r="C9">
        <f>'Wholesale Predicted Monthly'!C9</f>
        <v>50621404.299999997</v>
      </c>
      <c r="D9">
        <f ca="1">'Weather Data'!M$29</f>
        <v>10.420000000000002</v>
      </c>
      <c r="E9">
        <f ca="1">'Weather Data'!N$60</f>
        <v>31.57</v>
      </c>
      <c r="F9">
        <f>'Wholesale Predicted Monthly'!F9</f>
        <v>6487.6</v>
      </c>
      <c r="G9">
        <f>'Wholesale Predicted Monthly'!G9</f>
        <v>8</v>
      </c>
      <c r="H9">
        <f>'Wholesale Predicted Monthly'!H9</f>
        <v>20</v>
      </c>
      <c r="I9">
        <f>'Wholesale Predicted Monthly'!I9</f>
        <v>0</v>
      </c>
      <c r="J9">
        <f>'Wholesale Predicted Monthly'!J9</f>
        <v>0</v>
      </c>
      <c r="K9">
        <f>'Wholesale Predicted Monthly'!K9</f>
        <v>0</v>
      </c>
      <c r="L9">
        <f>'Wholesale Predicted Monthly'!L9</f>
        <v>0</v>
      </c>
      <c r="M9">
        <f>'Wholesale Predicted Monthly'!M9</f>
        <v>0</v>
      </c>
      <c r="N9">
        <f>'Wholesale Predicted Monthly'!N9</f>
        <v>1</v>
      </c>
      <c r="O9">
        <f>'Wholesale Predicted Monthly'!O9</f>
        <v>0</v>
      </c>
      <c r="Q9" s="8">
        <f>'Wholesale OLS model'!$B$5</f>
        <v>-50878161.758948997</v>
      </c>
      <c r="R9" s="8">
        <f>-'Combined Monthly Data'!G9</f>
        <v>-105619.37835337894</v>
      </c>
      <c r="S9" s="8">
        <f ca="1">'Wholesale OLS model'!$B$6*D9</f>
        <v>165237.61755643424</v>
      </c>
      <c r="T9" s="8">
        <f ca="1">'Wholesale OLS model'!$B$7*E9</f>
        <v>2978100.3895233925</v>
      </c>
      <c r="U9" s="8">
        <f>'Wholesale OLS model'!$B$8*F9</f>
        <v>80711765.466237143</v>
      </c>
      <c r="V9" s="8">
        <f>'Wholesale OLS model'!$B$9*G9</f>
        <v>-450427.67333571758</v>
      </c>
      <c r="W9" s="8">
        <f>'Wholesale OLS model'!$B$10*H9</f>
        <v>9272931.8142328393</v>
      </c>
      <c r="X9" s="8">
        <f>'Wholesale OLS model'!$B$11*I9</f>
        <v>0</v>
      </c>
      <c r="Y9" s="8">
        <f>'Wholesale OLS model'!$B$12*J9</f>
        <v>0</v>
      </c>
      <c r="Z9" s="8">
        <f>'Wholesale OLS model'!$B$13*K9</f>
        <v>0</v>
      </c>
      <c r="AA9" s="8">
        <f>'Wholesale OLS model'!$B$14*L9</f>
        <v>0</v>
      </c>
      <c r="AB9" s="8">
        <f>'Wholesale OLS model'!$B$15*M9</f>
        <v>0</v>
      </c>
      <c r="AC9" s="8">
        <f>'Wholesale OLS model'!$B$16*N9</f>
        <v>3743904.46078429</v>
      </c>
      <c r="AD9" s="8">
        <f>'Wholesale OLS model'!$B$17*O9</f>
        <v>0</v>
      </c>
      <c r="AE9" s="8">
        <f t="shared" ca="1" si="0"/>
        <v>45437730.93769601</v>
      </c>
    </row>
    <row r="10" spans="1:31" x14ac:dyDescent="0.2">
      <c r="A10" s="99">
        <f>'Wholesale Predicted Monthly'!A10</f>
        <v>40057</v>
      </c>
      <c r="B10">
        <f>'Wholesale Predicted Monthly'!B10</f>
        <v>2009</v>
      </c>
      <c r="C10">
        <f>'Wholesale Predicted Monthly'!C10</f>
        <v>42351764.200000003</v>
      </c>
      <c r="D10">
        <f ca="1">'Weather Data'!N$29</f>
        <v>69.52000000000001</v>
      </c>
      <c r="E10">
        <f ca="1">'Weather Data'!O$60</f>
        <v>3.6300000000000003</v>
      </c>
      <c r="F10">
        <f>'Wholesale Predicted Monthly'!F10</f>
        <v>6470.2</v>
      </c>
      <c r="G10">
        <f>'Wholesale Predicted Monthly'!G10</f>
        <v>9</v>
      </c>
      <c r="H10">
        <f>'Wholesale Predicted Monthly'!H10</f>
        <v>21</v>
      </c>
      <c r="I10">
        <f>'Wholesale Predicted Monthly'!I10</f>
        <v>0</v>
      </c>
      <c r="J10">
        <f>'Wholesale Predicted Monthly'!J10</f>
        <v>0</v>
      </c>
      <c r="K10">
        <f>'Wholesale Predicted Monthly'!K10</f>
        <v>0</v>
      </c>
      <c r="L10">
        <f>'Wholesale Predicted Monthly'!L10</f>
        <v>0</v>
      </c>
      <c r="M10">
        <f>'Wholesale Predicted Monthly'!M10</f>
        <v>0</v>
      </c>
      <c r="N10">
        <f>'Wholesale Predicted Monthly'!N10</f>
        <v>0</v>
      </c>
      <c r="O10">
        <f>'Wholesale Predicted Monthly'!O10</f>
        <v>0</v>
      </c>
      <c r="Q10" s="8">
        <f>'Wholesale OLS model'!$B$5</f>
        <v>-50878161.758948997</v>
      </c>
      <c r="R10" s="8">
        <f>-'Combined Monthly Data'!G10</f>
        <v>-118821.8006475513</v>
      </c>
      <c r="S10" s="8">
        <f ca="1">'Wholesale OLS model'!$B$6*D10</f>
        <v>1102429.8630060756</v>
      </c>
      <c r="T10" s="8">
        <f ca="1">'Wholesale OLS model'!$B$7*E10</f>
        <v>342429.6615131427</v>
      </c>
      <c r="U10" s="8">
        <f>'Wholesale OLS model'!$B$8*F10</f>
        <v>80495293.316426337</v>
      </c>
      <c r="V10" s="8">
        <f>'Wholesale OLS model'!$B$9*G10</f>
        <v>-506731.13250268227</v>
      </c>
      <c r="W10" s="8">
        <f>'Wholesale OLS model'!$B$10*H10</f>
        <v>9736578.4049444813</v>
      </c>
      <c r="X10" s="8">
        <f>'Wholesale OLS model'!$B$11*I10</f>
        <v>0</v>
      </c>
      <c r="Y10" s="8">
        <f>'Wholesale OLS model'!$B$12*J10</f>
        <v>0</v>
      </c>
      <c r="Z10" s="8">
        <f>'Wholesale OLS model'!$B$13*K10</f>
        <v>0</v>
      </c>
      <c r="AA10" s="8">
        <f>'Wholesale OLS model'!$B$14*L10</f>
        <v>0</v>
      </c>
      <c r="AB10" s="8">
        <f>'Wholesale OLS model'!$B$15*M10</f>
        <v>0</v>
      </c>
      <c r="AC10" s="8">
        <f>'Wholesale OLS model'!$B$16*N10</f>
        <v>0</v>
      </c>
      <c r="AD10" s="8">
        <f>'Wholesale OLS model'!$B$17*O10</f>
        <v>0</v>
      </c>
      <c r="AE10" s="8">
        <f t="shared" ca="1" si="0"/>
        <v>40173016.553790808</v>
      </c>
    </row>
    <row r="11" spans="1:31" x14ac:dyDescent="0.2">
      <c r="A11" s="99">
        <f>'Wholesale Predicted Monthly'!A11</f>
        <v>40087</v>
      </c>
      <c r="B11">
        <f>'Wholesale Predicted Monthly'!B11</f>
        <v>2009</v>
      </c>
      <c r="C11">
        <f>'Wholesale Predicted Monthly'!C11</f>
        <v>42902013.399999999</v>
      </c>
      <c r="D11">
        <f ca="1">'Weather Data'!O$29</f>
        <v>236.61000000000004</v>
      </c>
      <c r="E11">
        <f ca="1">'Weather Data'!P$60</f>
        <v>0</v>
      </c>
      <c r="F11">
        <f>'Wholesale Predicted Monthly'!F11</f>
        <v>6472.1</v>
      </c>
      <c r="G11">
        <f>'Wholesale Predicted Monthly'!G11</f>
        <v>10</v>
      </c>
      <c r="H11">
        <f>'Wholesale Predicted Monthly'!H11</f>
        <v>21</v>
      </c>
      <c r="I11">
        <f>'Wholesale Predicted Monthly'!I11</f>
        <v>0</v>
      </c>
      <c r="J11">
        <f>'Wholesale Predicted Monthly'!J11</f>
        <v>0</v>
      </c>
      <c r="K11">
        <f>'Wholesale Predicted Monthly'!K11</f>
        <v>0</v>
      </c>
      <c r="L11">
        <f>'Wholesale Predicted Monthly'!L11</f>
        <v>0</v>
      </c>
      <c r="M11">
        <f>'Wholesale Predicted Monthly'!M11</f>
        <v>0</v>
      </c>
      <c r="N11">
        <f>'Wholesale Predicted Monthly'!N11</f>
        <v>0</v>
      </c>
      <c r="O11">
        <f>'Wholesale Predicted Monthly'!O11</f>
        <v>0</v>
      </c>
      <c r="Q11" s="8">
        <f>'Wholesale OLS model'!$B$5</f>
        <v>-50878161.758948997</v>
      </c>
      <c r="R11" s="8">
        <f>-'Combined Monthly Data'!G11</f>
        <v>-132024.22294172368</v>
      </c>
      <c r="S11" s="8">
        <f ca="1">'Wholesale OLS model'!$B$6*D11</f>
        <v>3752099.10652859</v>
      </c>
      <c r="T11" s="8">
        <f ca="1">'Wholesale OLS model'!$B$7*E11</f>
        <v>0</v>
      </c>
      <c r="U11" s="8">
        <f>'Wholesale OLS model'!$B$8*F11</f>
        <v>80518931.079911426</v>
      </c>
      <c r="V11" s="8">
        <f>'Wholesale OLS model'!$B$9*G11</f>
        <v>-563034.59166964702</v>
      </c>
      <c r="W11" s="8">
        <f>'Wholesale OLS model'!$B$10*H11</f>
        <v>9736578.4049444813</v>
      </c>
      <c r="X11" s="8">
        <f>'Wholesale OLS model'!$B$11*I11</f>
        <v>0</v>
      </c>
      <c r="Y11" s="8">
        <f>'Wholesale OLS model'!$B$12*J11</f>
        <v>0</v>
      </c>
      <c r="Z11" s="8">
        <f>'Wholesale OLS model'!$B$13*K11</f>
        <v>0</v>
      </c>
      <c r="AA11" s="8">
        <f>'Wholesale OLS model'!$B$14*L11</f>
        <v>0</v>
      </c>
      <c r="AB11" s="8">
        <f>'Wholesale OLS model'!$B$15*M11</f>
        <v>0</v>
      </c>
      <c r="AC11" s="8">
        <f>'Wholesale OLS model'!$B$16*N11</f>
        <v>0</v>
      </c>
      <c r="AD11" s="8">
        <f>'Wholesale OLS model'!$B$17*O11</f>
        <v>0</v>
      </c>
      <c r="AE11" s="8">
        <f t="shared" ca="1" si="0"/>
        <v>42434388.017824121</v>
      </c>
    </row>
    <row r="12" spans="1:31" x14ac:dyDescent="0.2">
      <c r="A12" s="99">
        <f>'Wholesale Predicted Monthly'!A12</f>
        <v>40118</v>
      </c>
      <c r="B12">
        <f>'Wholesale Predicted Monthly'!B12</f>
        <v>2009</v>
      </c>
      <c r="C12">
        <f>'Wholesale Predicted Monthly'!C12</f>
        <v>42262625.200000003</v>
      </c>
      <c r="D12">
        <f ca="1">'Weather Data'!P$29</f>
        <v>398.34999999999997</v>
      </c>
      <c r="E12">
        <f ca="1">'Weather Data'!Q$60</f>
        <v>0</v>
      </c>
      <c r="F12">
        <f>'Wholesale Predicted Monthly'!F12</f>
        <v>6465.6</v>
      </c>
      <c r="G12">
        <f>'Wholesale Predicted Monthly'!G12</f>
        <v>11</v>
      </c>
      <c r="H12">
        <f>'Wholesale Predicted Monthly'!H12</f>
        <v>21</v>
      </c>
      <c r="I12">
        <f>'Wholesale Predicted Monthly'!I12</f>
        <v>0</v>
      </c>
      <c r="J12">
        <f>'Wholesale Predicted Monthly'!J12</f>
        <v>0</v>
      </c>
      <c r="K12">
        <f>'Wholesale Predicted Monthly'!K12</f>
        <v>0</v>
      </c>
      <c r="L12">
        <f>'Wholesale Predicted Monthly'!L12</f>
        <v>0</v>
      </c>
      <c r="M12">
        <f>'Wholesale Predicted Monthly'!M12</f>
        <v>0</v>
      </c>
      <c r="N12">
        <f>'Wholesale Predicted Monthly'!N12</f>
        <v>0</v>
      </c>
      <c r="O12">
        <f>'Wholesale Predicted Monthly'!O12</f>
        <v>1</v>
      </c>
      <c r="Q12" s="8">
        <f>'Wholesale OLS model'!$B$5</f>
        <v>-50878161.758948997</v>
      </c>
      <c r="R12" s="8">
        <f>-'Combined Monthly Data'!G12</f>
        <v>-145226.64523589602</v>
      </c>
      <c r="S12" s="8">
        <f ca="1">'Wholesale OLS model'!$B$6*D12</f>
        <v>6316929.4581195358</v>
      </c>
      <c r="T12" s="8">
        <f ca="1">'Wholesale OLS model'!$B$7*E12</f>
        <v>0</v>
      </c>
      <c r="U12" s="8">
        <f>'Wholesale OLS model'!$B$8*F12</f>
        <v>80438065.046936125</v>
      </c>
      <c r="V12" s="8">
        <f>'Wholesale OLS model'!$B$9*G12</f>
        <v>-619338.05083661166</v>
      </c>
      <c r="W12" s="8">
        <f>'Wholesale OLS model'!$B$10*H12</f>
        <v>9736578.4049444813</v>
      </c>
      <c r="X12" s="8">
        <f>'Wholesale OLS model'!$B$11*I12</f>
        <v>0</v>
      </c>
      <c r="Y12" s="8">
        <f>'Wholesale OLS model'!$B$12*J12</f>
        <v>0</v>
      </c>
      <c r="Z12" s="8">
        <f>'Wholesale OLS model'!$B$13*K12</f>
        <v>0</v>
      </c>
      <c r="AA12" s="8">
        <f>'Wholesale OLS model'!$B$14*L12</f>
        <v>0</v>
      </c>
      <c r="AB12" s="8">
        <f>'Wholesale OLS model'!$B$15*M12</f>
        <v>0</v>
      </c>
      <c r="AC12" s="8">
        <f>'Wholesale OLS model'!$B$16*N12</f>
        <v>0</v>
      </c>
      <c r="AD12" s="8">
        <f>'Wholesale OLS model'!$B$17*O12</f>
        <v>-1766353.8816768799</v>
      </c>
      <c r="AE12" s="8">
        <f t="shared" ca="1" si="0"/>
        <v>43082492.573301747</v>
      </c>
    </row>
    <row r="13" spans="1:31" x14ac:dyDescent="0.2">
      <c r="A13" s="99">
        <f>'Wholesale Predicted Monthly'!A13</f>
        <v>40148</v>
      </c>
      <c r="B13">
        <f>'Wholesale Predicted Monthly'!B13</f>
        <v>2009</v>
      </c>
      <c r="C13">
        <f>'Wholesale Predicted Monthly'!C13</f>
        <v>49546329.600000001</v>
      </c>
      <c r="D13">
        <f ca="1">'Weather Data'!Q$29</f>
        <v>558.68999999999994</v>
      </c>
      <c r="E13">
        <f>'Weather Data'!R$60</f>
        <v>0</v>
      </c>
      <c r="F13">
        <f>'Wholesale Predicted Monthly'!F13</f>
        <v>6467.5</v>
      </c>
      <c r="G13">
        <f>'Wholesale Predicted Monthly'!G13</f>
        <v>12</v>
      </c>
      <c r="H13">
        <f>'Wholesale Predicted Monthly'!H13</f>
        <v>21</v>
      </c>
      <c r="I13">
        <f>'Wholesale Predicted Monthly'!I13</f>
        <v>0</v>
      </c>
      <c r="J13">
        <f>'Wholesale Predicted Monthly'!J13</f>
        <v>0</v>
      </c>
      <c r="K13">
        <f>'Wholesale Predicted Monthly'!K13</f>
        <v>0</v>
      </c>
      <c r="L13">
        <f>'Wholesale Predicted Monthly'!L13</f>
        <v>0</v>
      </c>
      <c r="M13">
        <f>'Wholesale Predicted Monthly'!M13</f>
        <v>0</v>
      </c>
      <c r="N13">
        <f>'Wholesale Predicted Monthly'!N13</f>
        <v>0</v>
      </c>
      <c r="O13">
        <f>'Wholesale Predicted Monthly'!O13</f>
        <v>0</v>
      </c>
      <c r="Q13" s="8">
        <f>'Wholesale OLS model'!$B$5</f>
        <v>-50878161.758948997</v>
      </c>
      <c r="R13" s="8">
        <f>-'Combined Monthly Data'!G13</f>
        <v>-158429.06753006839</v>
      </c>
      <c r="S13" s="8">
        <f ca="1">'Wholesale OLS model'!$B$6*D13</f>
        <v>8859558.9781769887</v>
      </c>
      <c r="T13" s="8">
        <f>'Wholesale OLS model'!$B$7*E13</f>
        <v>0</v>
      </c>
      <c r="U13" s="8">
        <f>'Wholesale OLS model'!$B$8*F13</f>
        <v>80461702.810421214</v>
      </c>
      <c r="V13" s="8">
        <f>'Wholesale OLS model'!$B$9*G13</f>
        <v>-675641.5100035764</v>
      </c>
      <c r="W13" s="8">
        <f>'Wholesale OLS model'!$B$10*H13</f>
        <v>9736578.4049444813</v>
      </c>
      <c r="X13" s="8">
        <f>'Wholesale OLS model'!$B$11*I13</f>
        <v>0</v>
      </c>
      <c r="Y13" s="8">
        <f>'Wholesale OLS model'!$B$12*J13</f>
        <v>0</v>
      </c>
      <c r="Z13" s="8">
        <f>'Wholesale OLS model'!$B$13*K13</f>
        <v>0</v>
      </c>
      <c r="AA13" s="8">
        <f>'Wholesale OLS model'!$B$14*L13</f>
        <v>0</v>
      </c>
      <c r="AB13" s="8">
        <f>'Wholesale OLS model'!$B$15*M13</f>
        <v>0</v>
      </c>
      <c r="AC13" s="8">
        <f>'Wholesale OLS model'!$B$16*N13</f>
        <v>0</v>
      </c>
      <c r="AD13" s="8">
        <f>'Wholesale OLS model'!$B$17*O13</f>
        <v>0</v>
      </c>
      <c r="AE13" s="8">
        <f t="shared" ca="1" si="0"/>
        <v>47345607.857060045</v>
      </c>
    </row>
    <row r="14" spans="1:31" x14ac:dyDescent="0.2">
      <c r="A14" s="99">
        <f>'Wholesale Predicted Monthly'!A14</f>
        <v>40179</v>
      </c>
      <c r="B14">
        <f>'Wholesale Predicted Monthly'!B14</f>
        <v>2010</v>
      </c>
      <c r="C14">
        <f>'Wholesale Predicted Monthly'!C14</f>
        <v>51090364.299999997</v>
      </c>
      <c r="D14">
        <f t="shared" ref="D14:D45" ca="1" si="1">D2</f>
        <v>685.8599999999999</v>
      </c>
      <c r="E14">
        <f t="shared" ref="E14:E77" ca="1" si="2">E2</f>
        <v>0</v>
      </c>
      <c r="F14">
        <f>'Wholesale Predicted Monthly'!F14</f>
        <v>6434.5</v>
      </c>
      <c r="G14">
        <f>'Wholesale Predicted Monthly'!G14</f>
        <v>13</v>
      </c>
      <c r="H14">
        <f>'Wholesale Predicted Monthly'!H14</f>
        <v>20</v>
      </c>
      <c r="I14">
        <f>'Wholesale Predicted Monthly'!I14</f>
        <v>0</v>
      </c>
      <c r="J14">
        <f>'Wholesale Predicted Monthly'!J14</f>
        <v>0</v>
      </c>
      <c r="K14">
        <f>'Wholesale Predicted Monthly'!K14</f>
        <v>1</v>
      </c>
      <c r="L14">
        <f>'Wholesale Predicted Monthly'!L14</f>
        <v>0</v>
      </c>
      <c r="M14">
        <f>'Wholesale Predicted Monthly'!M14</f>
        <v>0</v>
      </c>
      <c r="N14">
        <f>'Wholesale Predicted Monthly'!N14</f>
        <v>0</v>
      </c>
      <c r="O14">
        <f>'Wholesale Predicted Monthly'!O14</f>
        <v>0</v>
      </c>
      <c r="Q14" s="8">
        <f>'Wholesale OLS model'!$B$5</f>
        <v>-50878161.758948997</v>
      </c>
      <c r="R14" s="8">
        <f>-'Combined Monthly Data'!G14</f>
        <v>-156506.7332529815</v>
      </c>
      <c r="S14" s="8">
        <f ca="1">'Wholesale OLS model'!$B$6*D14</f>
        <v>10876187.368258728</v>
      </c>
      <c r="T14" s="8">
        <f ca="1">'Wholesale OLS model'!$B$7*E14</f>
        <v>0</v>
      </c>
      <c r="U14" s="8">
        <f>'Wholesale OLS model'!$B$8*F14</f>
        <v>80051152.181469694</v>
      </c>
      <c r="V14" s="8">
        <f>'Wholesale OLS model'!$B$9*G14</f>
        <v>-731944.96917054104</v>
      </c>
      <c r="W14" s="8">
        <f>'Wholesale OLS model'!$B$10*H14</f>
        <v>9272931.8142328393</v>
      </c>
      <c r="X14" s="8">
        <f>'Wholesale OLS model'!$B$11*I14</f>
        <v>0</v>
      </c>
      <c r="Y14" s="8">
        <f>'Wholesale OLS model'!$B$12*J14</f>
        <v>0</v>
      </c>
      <c r="Z14" s="8">
        <f>'Wholesale OLS model'!$B$13*K14</f>
        <v>2647304.3437043098</v>
      </c>
      <c r="AA14" s="8">
        <f>'Wholesale OLS model'!$B$14*L14</f>
        <v>0</v>
      </c>
      <c r="AB14" s="8">
        <f>'Wholesale OLS model'!$B$15*M14</f>
        <v>0</v>
      </c>
      <c r="AC14" s="8">
        <f>'Wholesale OLS model'!$B$16*N14</f>
        <v>0</v>
      </c>
      <c r="AD14" s="8">
        <f>'Wholesale OLS model'!$B$17*O14</f>
        <v>0</v>
      </c>
      <c r="AE14" s="8">
        <f t="shared" ca="1" si="0"/>
        <v>51080962.24629306</v>
      </c>
    </row>
    <row r="15" spans="1:31" x14ac:dyDescent="0.2">
      <c r="A15" s="99">
        <f>'Wholesale Predicted Monthly'!A15</f>
        <v>40210</v>
      </c>
      <c r="B15">
        <f>'Wholesale Predicted Monthly'!B15</f>
        <v>2010</v>
      </c>
      <c r="C15">
        <f>'Wholesale Predicted Monthly'!C15</f>
        <v>46540089.599999994</v>
      </c>
      <c r="D15">
        <f t="shared" ca="1" si="1"/>
        <v>660.08</v>
      </c>
      <c r="E15">
        <f t="shared" ca="1" si="2"/>
        <v>0</v>
      </c>
      <c r="F15">
        <f>'Wholesale Predicted Monthly'!F15</f>
        <v>6404.1</v>
      </c>
      <c r="G15">
        <f>'Wholesale Predicted Monthly'!G15</f>
        <v>14</v>
      </c>
      <c r="H15">
        <f>'Wholesale Predicted Monthly'!H15</f>
        <v>19</v>
      </c>
      <c r="I15">
        <f>'Wholesale Predicted Monthly'!I15</f>
        <v>0</v>
      </c>
      <c r="J15">
        <f>'Wholesale Predicted Monthly'!J15</f>
        <v>0</v>
      </c>
      <c r="K15">
        <f>'Wholesale Predicted Monthly'!K15</f>
        <v>0</v>
      </c>
      <c r="L15">
        <f>'Wholesale Predicted Monthly'!L15</f>
        <v>0</v>
      </c>
      <c r="M15">
        <f>'Wholesale Predicted Monthly'!M15</f>
        <v>0</v>
      </c>
      <c r="N15">
        <f>'Wholesale Predicted Monthly'!N15</f>
        <v>0</v>
      </c>
      <c r="O15">
        <f>'Wholesale Predicted Monthly'!O15</f>
        <v>0</v>
      </c>
      <c r="Q15" s="8">
        <f>'Wholesale OLS model'!$B$5</f>
        <v>-50878161.758948997</v>
      </c>
      <c r="R15" s="8">
        <f>-'Combined Monthly Data'!G15</f>
        <v>-172253.91931230421</v>
      </c>
      <c r="S15" s="8">
        <f ca="1">'Wholesale OLS model'!$B$6*D15</f>
        <v>10467374.913306247</v>
      </c>
      <c r="T15" s="8">
        <f ca="1">'Wholesale OLS model'!$B$7*E15</f>
        <v>0</v>
      </c>
      <c r="U15" s="8">
        <f>'Wholesale OLS model'!$B$8*F15</f>
        <v>79672947.965708315</v>
      </c>
      <c r="V15" s="8">
        <f>'Wholesale OLS model'!$B$9*G15</f>
        <v>-788248.42833750579</v>
      </c>
      <c r="W15" s="8">
        <f>'Wholesale OLS model'!$B$10*H15</f>
        <v>8809285.2235211972</v>
      </c>
      <c r="X15" s="8">
        <f>'Wholesale OLS model'!$B$11*I15</f>
        <v>0</v>
      </c>
      <c r="Y15" s="8">
        <f>'Wholesale OLS model'!$B$12*J15</f>
        <v>0</v>
      </c>
      <c r="Z15" s="8">
        <f>'Wholesale OLS model'!$B$13*K15</f>
        <v>0</v>
      </c>
      <c r="AA15" s="8">
        <f>'Wholesale OLS model'!$B$14*L15</f>
        <v>0</v>
      </c>
      <c r="AB15" s="8">
        <f>'Wholesale OLS model'!$B$15*M15</f>
        <v>0</v>
      </c>
      <c r="AC15" s="8">
        <f>'Wholesale OLS model'!$B$16*N15</f>
        <v>0</v>
      </c>
      <c r="AD15" s="8">
        <f>'Wholesale OLS model'!$B$17*O15</f>
        <v>0</v>
      </c>
      <c r="AE15" s="8">
        <f t="shared" ca="1" si="0"/>
        <v>47110943.995936945</v>
      </c>
    </row>
    <row r="16" spans="1:31" x14ac:dyDescent="0.2">
      <c r="A16" s="99">
        <f>'Wholesale Predicted Monthly'!A16</f>
        <v>40238</v>
      </c>
      <c r="B16">
        <f>'Wholesale Predicted Monthly'!B16</f>
        <v>2010</v>
      </c>
      <c r="C16">
        <f>'Wholesale Predicted Monthly'!C16</f>
        <v>46977747.5</v>
      </c>
      <c r="D16">
        <f t="shared" ca="1" si="1"/>
        <v>543.44000000000005</v>
      </c>
      <c r="E16">
        <f t="shared" ca="1" si="2"/>
        <v>0.24</v>
      </c>
      <c r="F16">
        <f>'Wholesale Predicted Monthly'!F16</f>
        <v>6377.2</v>
      </c>
      <c r="G16">
        <f>'Wholesale Predicted Monthly'!G16</f>
        <v>15</v>
      </c>
      <c r="H16">
        <f>'Wholesale Predicted Monthly'!H16</f>
        <v>23</v>
      </c>
      <c r="I16">
        <f>'Wholesale Predicted Monthly'!I16</f>
        <v>0</v>
      </c>
      <c r="J16">
        <f>'Wholesale Predicted Monthly'!J16</f>
        <v>0</v>
      </c>
      <c r="K16">
        <f>'Wholesale Predicted Monthly'!K16</f>
        <v>0</v>
      </c>
      <c r="L16">
        <f>'Wholesale Predicted Monthly'!L16</f>
        <v>1</v>
      </c>
      <c r="M16">
        <f>'Wholesale Predicted Monthly'!M16</f>
        <v>0</v>
      </c>
      <c r="N16">
        <f>'Wholesale Predicted Monthly'!N16</f>
        <v>0</v>
      </c>
      <c r="O16">
        <f>'Wholesale Predicted Monthly'!O16</f>
        <v>0</v>
      </c>
      <c r="Q16" s="8">
        <f>'Wholesale OLS model'!$B$5</f>
        <v>-50878161.758948997</v>
      </c>
      <c r="R16" s="8">
        <f>-'Combined Monthly Data'!G16</f>
        <v>-188001.10537162694</v>
      </c>
      <c r="S16" s="8">
        <f ca="1">'Wholesale OLS model'!$B$6*D16</f>
        <v>8617728.4918300007</v>
      </c>
      <c r="T16" s="8">
        <f ca="1">'Wholesale OLS model'!$B$7*E16</f>
        <v>22639.977620703648</v>
      </c>
      <c r="U16" s="8">
        <f>'Wholesale OLS model'!$B$8*F16</f>
        <v>79338286.99847208</v>
      </c>
      <c r="V16" s="8">
        <f>'Wholesale OLS model'!$B$9*G16</f>
        <v>-844551.88750447042</v>
      </c>
      <c r="W16" s="8">
        <f>'Wholesale OLS model'!$B$10*H16</f>
        <v>10663871.586367765</v>
      </c>
      <c r="X16" s="8">
        <f>'Wholesale OLS model'!$B$11*I16</f>
        <v>0</v>
      </c>
      <c r="Y16" s="8">
        <f>'Wholesale OLS model'!$B$12*J16</f>
        <v>0</v>
      </c>
      <c r="Z16" s="8">
        <f>'Wholesale OLS model'!$B$13*K16</f>
        <v>0</v>
      </c>
      <c r="AA16" s="8">
        <f>'Wholesale OLS model'!$B$14*L16</f>
        <v>1640135.6856942801</v>
      </c>
      <c r="AB16" s="8">
        <f>'Wholesale OLS model'!$B$15*M16</f>
        <v>0</v>
      </c>
      <c r="AC16" s="8">
        <f>'Wholesale OLS model'!$B$16*N16</f>
        <v>0</v>
      </c>
      <c r="AD16" s="8">
        <f>'Wholesale OLS model'!$B$17*O16</f>
        <v>0</v>
      </c>
      <c r="AE16" s="8">
        <f t="shared" ca="1" si="0"/>
        <v>48371947.988159731</v>
      </c>
    </row>
    <row r="17" spans="1:31" x14ac:dyDescent="0.2">
      <c r="A17" s="99">
        <f>'Wholesale Predicted Monthly'!A17</f>
        <v>40269</v>
      </c>
      <c r="B17">
        <f>'Wholesale Predicted Monthly'!B17</f>
        <v>2010</v>
      </c>
      <c r="C17">
        <f>'Wholesale Predicted Monthly'!C17</f>
        <v>39694110.600000001</v>
      </c>
      <c r="D17">
        <f t="shared" ca="1" si="1"/>
        <v>313.53000000000003</v>
      </c>
      <c r="E17">
        <f t="shared" ca="1" si="2"/>
        <v>17.5</v>
      </c>
      <c r="F17">
        <f>'Wholesale Predicted Monthly'!F17</f>
        <v>6401.7</v>
      </c>
      <c r="G17">
        <f>'Wholesale Predicted Monthly'!G17</f>
        <v>16</v>
      </c>
      <c r="H17">
        <f>'Wholesale Predicted Monthly'!H17</f>
        <v>20</v>
      </c>
      <c r="I17">
        <f>'Wholesale Predicted Monthly'!I17</f>
        <v>0</v>
      </c>
      <c r="J17">
        <f>'Wholesale Predicted Monthly'!J17</f>
        <v>0</v>
      </c>
      <c r="K17">
        <f>'Wholesale Predicted Monthly'!K17</f>
        <v>0</v>
      </c>
      <c r="L17">
        <f>'Wholesale Predicted Monthly'!L17</f>
        <v>0</v>
      </c>
      <c r="M17">
        <f>'Wholesale Predicted Monthly'!M17</f>
        <v>0</v>
      </c>
      <c r="N17">
        <f>'Wholesale Predicted Monthly'!N17</f>
        <v>0</v>
      </c>
      <c r="O17">
        <f>'Wholesale Predicted Monthly'!O17</f>
        <v>0</v>
      </c>
      <c r="Q17" s="8">
        <f>'Wholesale OLS model'!$B$5</f>
        <v>-50878161.758948997</v>
      </c>
      <c r="R17" s="8">
        <f>-'Combined Monthly Data'!G17</f>
        <v>-203748.29143094967</v>
      </c>
      <c r="S17" s="8">
        <f ca="1">'Wholesale OLS model'!$B$6*D17</f>
        <v>4971876.2219259907</v>
      </c>
      <c r="T17" s="8">
        <f ca="1">'Wholesale OLS model'!$B$7*E17</f>
        <v>1650831.701509641</v>
      </c>
      <c r="U17" s="8">
        <f>'Wholesale OLS model'!$B$8*F17</f>
        <v>79643089.738148198</v>
      </c>
      <c r="V17" s="8">
        <f>'Wholesale OLS model'!$B$9*G17</f>
        <v>-900855.34667143517</v>
      </c>
      <c r="W17" s="8">
        <f>'Wholesale OLS model'!$B$10*H17</f>
        <v>9272931.8142328393</v>
      </c>
      <c r="X17" s="8">
        <f>'Wholesale OLS model'!$B$11*I17</f>
        <v>0</v>
      </c>
      <c r="Y17" s="8">
        <f>'Wholesale OLS model'!$B$12*J17</f>
        <v>0</v>
      </c>
      <c r="Z17" s="8">
        <f>'Wholesale OLS model'!$B$13*K17</f>
        <v>0</v>
      </c>
      <c r="AA17" s="8">
        <f>'Wholesale OLS model'!$B$14*L17</f>
        <v>0</v>
      </c>
      <c r="AB17" s="8">
        <f>'Wholesale OLS model'!$B$15*M17</f>
        <v>0</v>
      </c>
      <c r="AC17" s="8">
        <f>'Wholesale OLS model'!$B$16*N17</f>
        <v>0</v>
      </c>
      <c r="AD17" s="8">
        <f>'Wholesale OLS model'!$B$17*O17</f>
        <v>0</v>
      </c>
      <c r="AE17" s="8">
        <f t="shared" ca="1" si="0"/>
        <v>43555964.078765288</v>
      </c>
    </row>
    <row r="18" spans="1:31" x14ac:dyDescent="0.2">
      <c r="A18" s="99">
        <f>'Wholesale Predicted Monthly'!A18</f>
        <v>40299</v>
      </c>
      <c r="B18">
        <f>'Wholesale Predicted Monthly'!B18</f>
        <v>2010</v>
      </c>
      <c r="C18">
        <f>'Wholesale Predicted Monthly'!C18</f>
        <v>42117970.700000003</v>
      </c>
      <c r="D18">
        <f t="shared" ca="1" si="1"/>
        <v>134.15000000000003</v>
      </c>
      <c r="E18">
        <f t="shared" ca="1" si="2"/>
        <v>73.010000000000019</v>
      </c>
      <c r="F18">
        <f>'Wholesale Predicted Monthly'!F18</f>
        <v>6468.9</v>
      </c>
      <c r="G18">
        <f>'Wholesale Predicted Monthly'!G18</f>
        <v>17</v>
      </c>
      <c r="H18">
        <f>'Wholesale Predicted Monthly'!H18</f>
        <v>20</v>
      </c>
      <c r="I18">
        <f>'Wholesale Predicted Monthly'!I18</f>
        <v>0</v>
      </c>
      <c r="J18">
        <f>'Wholesale Predicted Monthly'!J18</f>
        <v>0</v>
      </c>
      <c r="K18">
        <f>'Wholesale Predicted Monthly'!K18</f>
        <v>0</v>
      </c>
      <c r="L18">
        <f>'Wholesale Predicted Monthly'!L18</f>
        <v>0</v>
      </c>
      <c r="M18">
        <f>'Wholesale Predicted Monthly'!M18</f>
        <v>0</v>
      </c>
      <c r="N18">
        <f>'Wholesale Predicted Monthly'!N18</f>
        <v>0</v>
      </c>
      <c r="O18">
        <f>'Wholesale Predicted Monthly'!O18</f>
        <v>0</v>
      </c>
      <c r="Q18" s="8">
        <f>'Wholesale OLS model'!$B$5</f>
        <v>-50878161.758948997</v>
      </c>
      <c r="R18" s="8">
        <f>-'Combined Monthly Data'!G18</f>
        <v>-219495.47749027237</v>
      </c>
      <c r="S18" s="8">
        <f ca="1">'Wholesale OLS model'!$B$6*D18</f>
        <v>2127315.3930130186</v>
      </c>
      <c r="T18" s="8">
        <f ca="1">'Wholesale OLS model'!$B$7*E18</f>
        <v>6887269.8586982237</v>
      </c>
      <c r="U18" s="8">
        <f>'Wholesale OLS model'!$B$8*F18</f>
        <v>80479120.109831274</v>
      </c>
      <c r="V18" s="8">
        <f>'Wholesale OLS model'!$B$9*G18</f>
        <v>-957158.80583839992</v>
      </c>
      <c r="W18" s="8">
        <f>'Wholesale OLS model'!$B$10*H18</f>
        <v>9272931.8142328393</v>
      </c>
      <c r="X18" s="8">
        <f>'Wholesale OLS model'!$B$11*I18</f>
        <v>0</v>
      </c>
      <c r="Y18" s="8">
        <f>'Wholesale OLS model'!$B$12*J18</f>
        <v>0</v>
      </c>
      <c r="Z18" s="8">
        <f>'Wholesale OLS model'!$B$13*K18</f>
        <v>0</v>
      </c>
      <c r="AA18" s="8">
        <f>'Wholesale OLS model'!$B$14*L18</f>
        <v>0</v>
      </c>
      <c r="AB18" s="8">
        <f>'Wholesale OLS model'!$B$15*M18</f>
        <v>0</v>
      </c>
      <c r="AC18" s="8">
        <f>'Wholesale OLS model'!$B$16*N18</f>
        <v>0</v>
      </c>
      <c r="AD18" s="8">
        <f>'Wholesale OLS model'!$B$17*O18</f>
        <v>0</v>
      </c>
      <c r="AE18" s="8">
        <f t="shared" ca="1" si="0"/>
        <v>46711821.133497685</v>
      </c>
    </row>
    <row r="19" spans="1:31" x14ac:dyDescent="0.2">
      <c r="A19" s="99">
        <f>'Wholesale Predicted Monthly'!A19</f>
        <v>40330</v>
      </c>
      <c r="B19">
        <f>'Wholesale Predicted Monthly'!B19</f>
        <v>2010</v>
      </c>
      <c r="C19">
        <f>'Wholesale Predicted Monthly'!C19</f>
        <v>45921610.299999997</v>
      </c>
      <c r="D19">
        <f t="shared" ca="1" si="1"/>
        <v>28.409999999999997</v>
      </c>
      <c r="E19">
        <f t="shared" ca="1" si="2"/>
        <v>106.29</v>
      </c>
      <c r="F19">
        <f>'Wholesale Predicted Monthly'!F19</f>
        <v>6578.9</v>
      </c>
      <c r="G19">
        <f>'Wholesale Predicted Monthly'!G19</f>
        <v>18</v>
      </c>
      <c r="H19">
        <f>'Wholesale Predicted Monthly'!H19</f>
        <v>22</v>
      </c>
      <c r="I19">
        <f>'Wholesale Predicted Monthly'!I19</f>
        <v>0</v>
      </c>
      <c r="J19">
        <f>'Wholesale Predicted Monthly'!J19</f>
        <v>0</v>
      </c>
      <c r="K19">
        <f>'Wholesale Predicted Monthly'!K19</f>
        <v>0</v>
      </c>
      <c r="L19">
        <f>'Wholesale Predicted Monthly'!L19</f>
        <v>0</v>
      </c>
      <c r="M19">
        <f>'Wholesale Predicted Monthly'!M19</f>
        <v>0</v>
      </c>
      <c r="N19">
        <f>'Wholesale Predicted Monthly'!N19</f>
        <v>0</v>
      </c>
      <c r="O19">
        <f>'Wholesale Predicted Monthly'!O19</f>
        <v>0</v>
      </c>
      <c r="Q19" s="8">
        <f>'Wholesale OLS model'!$B$5</f>
        <v>-50878161.758948997</v>
      </c>
      <c r="R19" s="8">
        <f>-'Combined Monthly Data'!G19</f>
        <v>-235242.66354959513</v>
      </c>
      <c r="S19" s="8">
        <f ca="1">'Wholesale OLS model'!$B$6*D19</f>
        <v>450518.30276183254</v>
      </c>
      <c r="T19" s="8">
        <f ca="1">'Wholesale OLS model'!$B$7*E19</f>
        <v>10026680.088769129</v>
      </c>
      <c r="U19" s="8">
        <f>'Wholesale OLS model'!$B$8*F19</f>
        <v>81847622.206336305</v>
      </c>
      <c r="V19" s="8">
        <f>'Wholesale OLS model'!$B$9*G19</f>
        <v>-1013462.2650053645</v>
      </c>
      <c r="W19" s="8">
        <f>'Wholesale OLS model'!$B$10*H19</f>
        <v>10200224.995656123</v>
      </c>
      <c r="X19" s="8">
        <f>'Wholesale OLS model'!$B$11*I19</f>
        <v>0</v>
      </c>
      <c r="Y19" s="8">
        <f>'Wholesale OLS model'!$B$12*J19</f>
        <v>0</v>
      </c>
      <c r="Z19" s="8">
        <f>'Wholesale OLS model'!$B$13*K19</f>
        <v>0</v>
      </c>
      <c r="AA19" s="8">
        <f>'Wholesale OLS model'!$B$14*L19</f>
        <v>0</v>
      </c>
      <c r="AB19" s="8">
        <f>'Wholesale OLS model'!$B$15*M19</f>
        <v>0</v>
      </c>
      <c r="AC19" s="8">
        <f>'Wholesale OLS model'!$B$16*N19</f>
        <v>0</v>
      </c>
      <c r="AD19" s="8">
        <f>'Wholesale OLS model'!$B$17*O19</f>
        <v>0</v>
      </c>
      <c r="AE19" s="8">
        <f t="shared" ca="1" si="0"/>
        <v>50398178.906019434</v>
      </c>
    </row>
    <row r="20" spans="1:31" x14ac:dyDescent="0.2">
      <c r="A20" s="99">
        <f>'Wholesale Predicted Monthly'!A20</f>
        <v>40360</v>
      </c>
      <c r="B20">
        <f>'Wholesale Predicted Monthly'!B20</f>
        <v>2010</v>
      </c>
      <c r="C20">
        <f>'Wholesale Predicted Monthly'!C20</f>
        <v>55531120.200000003</v>
      </c>
      <c r="D20">
        <f t="shared" ca="1" si="1"/>
        <v>5.84</v>
      </c>
      <c r="E20">
        <f t="shared" ca="1" si="2"/>
        <v>81.070000000000007</v>
      </c>
      <c r="F20">
        <f>'Wholesale Predicted Monthly'!F20</f>
        <v>6640.9</v>
      </c>
      <c r="G20">
        <f>'Wholesale Predicted Monthly'!G20</f>
        <v>19</v>
      </c>
      <c r="H20">
        <f>'Wholesale Predicted Monthly'!H20</f>
        <v>21</v>
      </c>
      <c r="I20">
        <f>'Wholesale Predicted Monthly'!I20</f>
        <v>0</v>
      </c>
      <c r="J20">
        <f>'Wholesale Predicted Monthly'!J20</f>
        <v>0</v>
      </c>
      <c r="K20">
        <f>'Wholesale Predicted Monthly'!K20</f>
        <v>0</v>
      </c>
      <c r="L20">
        <f>'Wholesale Predicted Monthly'!L20</f>
        <v>0</v>
      </c>
      <c r="M20">
        <f>'Wholesale Predicted Monthly'!M20</f>
        <v>1</v>
      </c>
      <c r="N20">
        <f>'Wholesale Predicted Monthly'!N20</f>
        <v>0</v>
      </c>
      <c r="O20">
        <f>'Wholesale Predicted Monthly'!O20</f>
        <v>0</v>
      </c>
      <c r="Q20" s="8">
        <f>'Wholesale OLS model'!$B$5</f>
        <v>-50878161.758948997</v>
      </c>
      <c r="R20" s="8">
        <f>-'Combined Monthly Data'!G20</f>
        <v>-250989.84960891784</v>
      </c>
      <c r="S20" s="8">
        <f ca="1">'Wholesale OLS model'!$B$6*D20</f>
        <v>92609.182968289417</v>
      </c>
      <c r="T20" s="8">
        <f ca="1">'Wholesale OLS model'!$B$7*E20</f>
        <v>7647595.7737935204</v>
      </c>
      <c r="U20" s="8">
        <f>'Wholesale OLS model'!$B$8*F20</f>
        <v>82618959.751639143</v>
      </c>
      <c r="V20" s="8">
        <f>'Wholesale OLS model'!$B$9*G20</f>
        <v>-1069765.7241723293</v>
      </c>
      <c r="W20" s="8">
        <f>'Wholesale OLS model'!$B$10*H20</f>
        <v>9736578.4049444813</v>
      </c>
      <c r="X20" s="8">
        <f>'Wholesale OLS model'!$B$11*I20</f>
        <v>0</v>
      </c>
      <c r="Y20" s="8">
        <f>'Wholesale OLS model'!$B$12*J20</f>
        <v>0</v>
      </c>
      <c r="Z20" s="8">
        <f>'Wholesale OLS model'!$B$13*K20</f>
        <v>0</v>
      </c>
      <c r="AA20" s="8">
        <f>'Wholesale OLS model'!$B$14*L20</f>
        <v>0</v>
      </c>
      <c r="AB20" s="8">
        <f>'Wholesale OLS model'!$B$15*M20</f>
        <v>2370057.8473386201</v>
      </c>
      <c r="AC20" s="8">
        <f>'Wholesale OLS model'!$B$16*N20</f>
        <v>0</v>
      </c>
      <c r="AD20" s="8">
        <f>'Wholesale OLS model'!$B$17*O20</f>
        <v>0</v>
      </c>
      <c r="AE20" s="8">
        <f t="shared" ca="1" si="0"/>
        <v>50266883.627953798</v>
      </c>
    </row>
    <row r="21" spans="1:31" x14ac:dyDescent="0.2">
      <c r="A21" s="99">
        <f>'Wholesale Predicted Monthly'!A21</f>
        <v>40391</v>
      </c>
      <c r="B21">
        <f>'Wholesale Predicted Monthly'!B21</f>
        <v>2010</v>
      </c>
      <c r="C21">
        <f>'Wholesale Predicted Monthly'!C21</f>
        <v>54409471.399999999</v>
      </c>
      <c r="D21">
        <f t="shared" ca="1" si="1"/>
        <v>10.420000000000002</v>
      </c>
      <c r="E21">
        <f t="shared" ca="1" si="2"/>
        <v>31.57</v>
      </c>
      <c r="F21">
        <f>'Wholesale Predicted Monthly'!F21</f>
        <v>6662.6</v>
      </c>
      <c r="G21">
        <f>'Wholesale Predicted Monthly'!G21</f>
        <v>20</v>
      </c>
      <c r="H21">
        <f>'Wholesale Predicted Monthly'!H21</f>
        <v>21</v>
      </c>
      <c r="I21">
        <f>'Wholesale Predicted Monthly'!I21</f>
        <v>0</v>
      </c>
      <c r="J21">
        <f>'Wholesale Predicted Monthly'!J21</f>
        <v>0</v>
      </c>
      <c r="K21">
        <f>'Wholesale Predicted Monthly'!K21</f>
        <v>0</v>
      </c>
      <c r="L21">
        <f>'Wholesale Predicted Monthly'!L21</f>
        <v>0</v>
      </c>
      <c r="M21">
        <f>'Wholesale Predicted Monthly'!M21</f>
        <v>0</v>
      </c>
      <c r="N21">
        <f>'Wholesale Predicted Monthly'!N21</f>
        <v>1</v>
      </c>
      <c r="O21">
        <f>'Wholesale Predicted Monthly'!O21</f>
        <v>0</v>
      </c>
      <c r="Q21" s="8">
        <f>'Wholesale OLS model'!$B$5</f>
        <v>-50878161.758948997</v>
      </c>
      <c r="R21" s="8">
        <f>-'Combined Monthly Data'!G21</f>
        <v>-266737.03566824057</v>
      </c>
      <c r="S21" s="8">
        <f ca="1">'Wholesale OLS model'!$B$6*D21</f>
        <v>165237.61755643424</v>
      </c>
      <c r="T21" s="8">
        <f ca="1">'Wholesale OLS model'!$B$7*E21</f>
        <v>2978100.3895233925</v>
      </c>
      <c r="U21" s="8">
        <f>'Wholesale OLS model'!$B$8*F21</f>
        <v>82888927.892495155</v>
      </c>
      <c r="V21" s="8">
        <f>'Wholesale OLS model'!$B$9*G21</f>
        <v>-1126069.183339294</v>
      </c>
      <c r="W21" s="8">
        <f>'Wholesale OLS model'!$B$10*H21</f>
        <v>9736578.4049444813</v>
      </c>
      <c r="X21" s="8">
        <f>'Wholesale OLS model'!$B$11*I21</f>
        <v>0</v>
      </c>
      <c r="Y21" s="8">
        <f>'Wholesale OLS model'!$B$12*J21</f>
        <v>0</v>
      </c>
      <c r="Z21" s="8">
        <f>'Wholesale OLS model'!$B$13*K21</f>
        <v>0</v>
      </c>
      <c r="AA21" s="8">
        <f>'Wholesale OLS model'!$B$14*L21</f>
        <v>0</v>
      </c>
      <c r="AB21" s="8">
        <f>'Wholesale OLS model'!$B$15*M21</f>
        <v>0</v>
      </c>
      <c r="AC21" s="8">
        <f>'Wholesale OLS model'!$B$16*N21</f>
        <v>3743904.46078429</v>
      </c>
      <c r="AD21" s="8">
        <f>'Wholesale OLS model'!$B$17*O21</f>
        <v>0</v>
      </c>
      <c r="AE21" s="8">
        <f t="shared" ca="1" si="0"/>
        <v>47241780.787347227</v>
      </c>
    </row>
    <row r="22" spans="1:31" x14ac:dyDescent="0.2">
      <c r="A22" s="99">
        <f>'Wholesale Predicted Monthly'!A22</f>
        <v>40422</v>
      </c>
      <c r="B22">
        <f>'Wholesale Predicted Monthly'!B22</f>
        <v>2010</v>
      </c>
      <c r="C22">
        <f>'Wholesale Predicted Monthly'!C22</f>
        <v>43721214.200000003</v>
      </c>
      <c r="D22">
        <f t="shared" ca="1" si="1"/>
        <v>69.52000000000001</v>
      </c>
      <c r="E22">
        <f t="shared" ca="1" si="2"/>
        <v>3.6300000000000003</v>
      </c>
      <c r="F22">
        <f>'Wholesale Predicted Monthly'!F22</f>
        <v>6611.2</v>
      </c>
      <c r="G22">
        <f>'Wholesale Predicted Monthly'!G22</f>
        <v>21</v>
      </c>
      <c r="H22">
        <f>'Wholesale Predicted Monthly'!H22</f>
        <v>21</v>
      </c>
      <c r="I22">
        <f>'Wholesale Predicted Monthly'!I22</f>
        <v>0</v>
      </c>
      <c r="J22">
        <f>'Wholesale Predicted Monthly'!J22</f>
        <v>0</v>
      </c>
      <c r="K22">
        <f>'Wholesale Predicted Monthly'!K22</f>
        <v>0</v>
      </c>
      <c r="L22">
        <f>'Wholesale Predicted Monthly'!L22</f>
        <v>0</v>
      </c>
      <c r="M22">
        <f>'Wholesale Predicted Monthly'!M22</f>
        <v>0</v>
      </c>
      <c r="N22">
        <f>'Wholesale Predicted Monthly'!N22</f>
        <v>0</v>
      </c>
      <c r="O22">
        <f>'Wholesale Predicted Monthly'!O22</f>
        <v>0</v>
      </c>
      <c r="Q22" s="8">
        <f>'Wholesale OLS model'!$B$5</f>
        <v>-50878161.758948997</v>
      </c>
      <c r="R22" s="8">
        <f>-'Combined Monthly Data'!G22</f>
        <v>-282484.2217275633</v>
      </c>
      <c r="S22" s="8">
        <f ca="1">'Wholesale OLS model'!$B$6*D22</f>
        <v>1102429.8630060756</v>
      </c>
      <c r="T22" s="8">
        <f ca="1">'Wholesale OLS model'!$B$7*E22</f>
        <v>342429.6615131427</v>
      </c>
      <c r="U22" s="8">
        <f>'Wholesale OLS model'!$B$8*F22</f>
        <v>82249464.185582787</v>
      </c>
      <c r="V22" s="8">
        <f>'Wholesale OLS model'!$B$9*G22</f>
        <v>-1182372.6425062586</v>
      </c>
      <c r="W22" s="8">
        <f>'Wholesale OLS model'!$B$10*H22</f>
        <v>9736578.4049444813</v>
      </c>
      <c r="X22" s="8">
        <f>'Wholesale OLS model'!$B$11*I22</f>
        <v>0</v>
      </c>
      <c r="Y22" s="8">
        <f>'Wholesale OLS model'!$B$12*J22</f>
        <v>0</v>
      </c>
      <c r="Z22" s="8">
        <f>'Wholesale OLS model'!$B$13*K22</f>
        <v>0</v>
      </c>
      <c r="AA22" s="8">
        <f>'Wholesale OLS model'!$B$14*L22</f>
        <v>0</v>
      </c>
      <c r="AB22" s="8">
        <f>'Wholesale OLS model'!$B$15*M22</f>
        <v>0</v>
      </c>
      <c r="AC22" s="8">
        <f>'Wholesale OLS model'!$B$16*N22</f>
        <v>0</v>
      </c>
      <c r="AD22" s="8">
        <f>'Wholesale OLS model'!$B$17*O22</f>
        <v>0</v>
      </c>
      <c r="AE22" s="8">
        <f t="shared" ca="1" si="0"/>
        <v>41087883.491863668</v>
      </c>
    </row>
    <row r="23" spans="1:31" x14ac:dyDescent="0.2">
      <c r="A23" s="99">
        <f>'Wholesale Predicted Monthly'!A23</f>
        <v>40452</v>
      </c>
      <c r="B23">
        <f>'Wholesale Predicted Monthly'!B23</f>
        <v>2010</v>
      </c>
      <c r="C23">
        <f>'Wholesale Predicted Monthly'!C23</f>
        <v>42849260.199999996</v>
      </c>
      <c r="D23">
        <f t="shared" ca="1" si="1"/>
        <v>236.61000000000004</v>
      </c>
      <c r="E23">
        <f t="shared" ca="1" si="2"/>
        <v>0</v>
      </c>
      <c r="F23">
        <f>'Wholesale Predicted Monthly'!F23</f>
        <v>6587.1</v>
      </c>
      <c r="G23">
        <f>'Wholesale Predicted Monthly'!G23</f>
        <v>22</v>
      </c>
      <c r="H23">
        <f>'Wholesale Predicted Monthly'!H23</f>
        <v>20</v>
      </c>
      <c r="I23">
        <f>'Wholesale Predicted Monthly'!I23</f>
        <v>0</v>
      </c>
      <c r="J23">
        <f>'Wholesale Predicted Monthly'!J23</f>
        <v>0</v>
      </c>
      <c r="K23">
        <f>'Wholesale Predicted Monthly'!K23</f>
        <v>0</v>
      </c>
      <c r="L23">
        <f>'Wholesale Predicted Monthly'!L23</f>
        <v>0</v>
      </c>
      <c r="M23">
        <f>'Wholesale Predicted Monthly'!M23</f>
        <v>0</v>
      </c>
      <c r="N23">
        <f>'Wholesale Predicted Monthly'!N23</f>
        <v>0</v>
      </c>
      <c r="O23">
        <f>'Wholesale Predicted Monthly'!O23</f>
        <v>0</v>
      </c>
      <c r="Q23" s="8">
        <f>'Wholesale OLS model'!$B$5</f>
        <v>-50878161.758948997</v>
      </c>
      <c r="R23" s="8">
        <f>-'Combined Monthly Data'!G23</f>
        <v>-298231.40778688603</v>
      </c>
      <c r="S23" s="8">
        <f ca="1">'Wholesale OLS model'!$B$6*D23</f>
        <v>3752099.10652859</v>
      </c>
      <c r="T23" s="8">
        <f ca="1">'Wholesale OLS model'!$B$7*E23</f>
        <v>0</v>
      </c>
      <c r="U23" s="8">
        <f>'Wholesale OLS model'!$B$8*F23</f>
        <v>81949637.817166701</v>
      </c>
      <c r="V23" s="8">
        <f>'Wholesale OLS model'!$B$9*G23</f>
        <v>-1238676.1016732233</v>
      </c>
      <c r="W23" s="8">
        <f>'Wholesale OLS model'!$B$10*H23</f>
        <v>9272931.8142328393</v>
      </c>
      <c r="X23" s="8">
        <f>'Wholesale OLS model'!$B$11*I23</f>
        <v>0</v>
      </c>
      <c r="Y23" s="8">
        <f>'Wholesale OLS model'!$B$12*J23</f>
        <v>0</v>
      </c>
      <c r="Z23" s="8">
        <f>'Wholesale OLS model'!$B$13*K23</f>
        <v>0</v>
      </c>
      <c r="AA23" s="8">
        <f>'Wholesale OLS model'!$B$14*L23</f>
        <v>0</v>
      </c>
      <c r="AB23" s="8">
        <f>'Wholesale OLS model'!$B$15*M23</f>
        <v>0</v>
      </c>
      <c r="AC23" s="8">
        <f>'Wholesale OLS model'!$B$16*N23</f>
        <v>0</v>
      </c>
      <c r="AD23" s="8">
        <f>'Wholesale OLS model'!$B$17*O23</f>
        <v>0</v>
      </c>
      <c r="AE23" s="8">
        <f t="shared" ca="1" si="0"/>
        <v>42559599.469519027</v>
      </c>
    </row>
    <row r="24" spans="1:31" x14ac:dyDescent="0.2">
      <c r="A24" s="99">
        <f>'Wholesale Predicted Monthly'!A24</f>
        <v>40483</v>
      </c>
      <c r="B24">
        <f>'Wholesale Predicted Monthly'!B24</f>
        <v>2010</v>
      </c>
      <c r="C24">
        <f>'Wholesale Predicted Monthly'!C24</f>
        <v>43470906.5</v>
      </c>
      <c r="D24">
        <f t="shared" ca="1" si="1"/>
        <v>398.34999999999997</v>
      </c>
      <c r="E24">
        <f t="shared" ca="1" si="2"/>
        <v>0</v>
      </c>
      <c r="F24">
        <f>'Wholesale Predicted Monthly'!F24</f>
        <v>6566.6</v>
      </c>
      <c r="G24">
        <f>'Wholesale Predicted Monthly'!G24</f>
        <v>23</v>
      </c>
      <c r="H24">
        <f>'Wholesale Predicted Monthly'!H24</f>
        <v>22</v>
      </c>
      <c r="I24">
        <f>'Wholesale Predicted Monthly'!I24</f>
        <v>0</v>
      </c>
      <c r="J24">
        <f>'Wholesale Predicted Monthly'!J24</f>
        <v>0</v>
      </c>
      <c r="K24">
        <f>'Wholesale Predicted Monthly'!K24</f>
        <v>0</v>
      </c>
      <c r="L24">
        <f>'Wholesale Predicted Monthly'!L24</f>
        <v>0</v>
      </c>
      <c r="M24">
        <f>'Wholesale Predicted Monthly'!M24</f>
        <v>0</v>
      </c>
      <c r="N24">
        <f>'Wholesale Predicted Monthly'!N24</f>
        <v>0</v>
      </c>
      <c r="O24">
        <f>'Wholesale Predicted Monthly'!O24</f>
        <v>1</v>
      </c>
      <c r="Q24" s="8">
        <f>'Wholesale OLS model'!$B$5</f>
        <v>-50878161.758948997</v>
      </c>
      <c r="R24" s="8">
        <f>-'Combined Monthly Data'!G24</f>
        <v>-313978.59384620877</v>
      </c>
      <c r="S24" s="8">
        <f ca="1">'Wholesale OLS model'!$B$6*D24</f>
        <v>6316929.4581195358</v>
      </c>
      <c r="T24" s="8">
        <f ca="1">'Wholesale OLS model'!$B$7*E24</f>
        <v>0</v>
      </c>
      <c r="U24" s="8">
        <f>'Wholesale OLS model'!$B$8*F24</f>
        <v>81694598.790090755</v>
      </c>
      <c r="V24" s="8">
        <f>'Wholesale OLS model'!$B$9*G24</f>
        <v>-1294979.5608401881</v>
      </c>
      <c r="W24" s="8">
        <f>'Wholesale OLS model'!$B$10*H24</f>
        <v>10200224.995656123</v>
      </c>
      <c r="X24" s="8">
        <f>'Wholesale OLS model'!$B$11*I24</f>
        <v>0</v>
      </c>
      <c r="Y24" s="8">
        <f>'Wholesale OLS model'!$B$12*J24</f>
        <v>0</v>
      </c>
      <c r="Z24" s="8">
        <f>'Wholesale OLS model'!$B$13*K24</f>
        <v>0</v>
      </c>
      <c r="AA24" s="8">
        <f>'Wholesale OLS model'!$B$14*L24</f>
        <v>0</v>
      </c>
      <c r="AB24" s="8">
        <f>'Wholesale OLS model'!$B$15*M24</f>
        <v>0</v>
      </c>
      <c r="AC24" s="8">
        <f>'Wholesale OLS model'!$B$16*N24</f>
        <v>0</v>
      </c>
      <c r="AD24" s="8">
        <f>'Wholesale OLS model'!$B$17*O24</f>
        <v>-1766353.8816768799</v>
      </c>
      <c r="AE24" s="8">
        <f t="shared" ca="1" si="0"/>
        <v>43958279.448554136</v>
      </c>
    </row>
    <row r="25" spans="1:31" x14ac:dyDescent="0.2">
      <c r="A25" s="99">
        <f>'Wholesale Predicted Monthly'!A25</f>
        <v>40513</v>
      </c>
      <c r="B25">
        <f>'Wholesale Predicted Monthly'!B25</f>
        <v>2010</v>
      </c>
      <c r="C25">
        <f>'Wholesale Predicted Monthly'!C25</f>
        <v>49680403.900000006</v>
      </c>
      <c r="D25">
        <f t="shared" ca="1" si="1"/>
        <v>558.68999999999994</v>
      </c>
      <c r="E25">
        <f t="shared" si="2"/>
        <v>0</v>
      </c>
      <c r="F25">
        <f>'Wholesale Predicted Monthly'!F25</f>
        <v>6584.1</v>
      </c>
      <c r="G25">
        <f>'Wholesale Predicted Monthly'!G25</f>
        <v>24</v>
      </c>
      <c r="H25">
        <f>'Wholesale Predicted Monthly'!H25</f>
        <v>21</v>
      </c>
      <c r="I25">
        <f>'Wholesale Predicted Monthly'!I25</f>
        <v>0</v>
      </c>
      <c r="J25">
        <f>'Wholesale Predicted Monthly'!J25</f>
        <v>0</v>
      </c>
      <c r="K25">
        <f>'Wholesale Predicted Monthly'!K25</f>
        <v>0</v>
      </c>
      <c r="L25">
        <f>'Wholesale Predicted Monthly'!L25</f>
        <v>0</v>
      </c>
      <c r="M25">
        <f>'Wholesale Predicted Monthly'!M25</f>
        <v>0</v>
      </c>
      <c r="N25">
        <f>'Wholesale Predicted Monthly'!N25</f>
        <v>0</v>
      </c>
      <c r="O25">
        <f>'Wholesale Predicted Monthly'!O25</f>
        <v>0</v>
      </c>
      <c r="Q25" s="8">
        <f>'Wholesale OLS model'!$B$5</f>
        <v>-50878161.758948997</v>
      </c>
      <c r="R25" s="8">
        <f>-'Combined Monthly Data'!G25</f>
        <v>-329725.77990553144</v>
      </c>
      <c r="S25" s="8">
        <f ca="1">'Wholesale OLS model'!$B$6*D25</f>
        <v>8859558.9781769887</v>
      </c>
      <c r="T25" s="8">
        <f>'Wholesale OLS model'!$B$7*E25</f>
        <v>0</v>
      </c>
      <c r="U25" s="8">
        <f>'Wholesale OLS model'!$B$8*F25</f>
        <v>81912315.032716557</v>
      </c>
      <c r="V25" s="8">
        <f>'Wholesale OLS model'!$B$9*G25</f>
        <v>-1351283.0200071528</v>
      </c>
      <c r="W25" s="8">
        <f>'Wholesale OLS model'!$B$10*H25</f>
        <v>9736578.4049444813</v>
      </c>
      <c r="X25" s="8">
        <f>'Wholesale OLS model'!$B$11*I25</f>
        <v>0</v>
      </c>
      <c r="Y25" s="8">
        <f>'Wholesale OLS model'!$B$12*J25</f>
        <v>0</v>
      </c>
      <c r="Z25" s="8">
        <f>'Wholesale OLS model'!$B$13*K25</f>
        <v>0</v>
      </c>
      <c r="AA25" s="8">
        <f>'Wholesale OLS model'!$B$14*L25</f>
        <v>0</v>
      </c>
      <c r="AB25" s="8">
        <f>'Wholesale OLS model'!$B$15*M25</f>
        <v>0</v>
      </c>
      <c r="AC25" s="8">
        <f>'Wholesale OLS model'!$B$16*N25</f>
        <v>0</v>
      </c>
      <c r="AD25" s="8">
        <f>'Wholesale OLS model'!$B$17*O25</f>
        <v>0</v>
      </c>
      <c r="AE25" s="8">
        <f t="shared" ca="1" si="0"/>
        <v>47949281.856976345</v>
      </c>
    </row>
    <row r="26" spans="1:31" x14ac:dyDescent="0.2">
      <c r="A26" s="99">
        <f>'Wholesale Predicted Monthly'!A26</f>
        <v>40544</v>
      </c>
      <c r="B26">
        <f>'Wholesale Predicted Monthly'!B26</f>
        <v>2011</v>
      </c>
      <c r="C26">
        <f>'Wholesale Predicted Monthly'!C26</f>
        <v>52303781.079999998</v>
      </c>
      <c r="D26">
        <f t="shared" ca="1" si="1"/>
        <v>685.8599999999999</v>
      </c>
      <c r="E26">
        <f t="shared" ca="1" si="2"/>
        <v>0</v>
      </c>
      <c r="F26">
        <f>'Wholesale Predicted Monthly'!F26</f>
        <v>6571.2</v>
      </c>
      <c r="G26">
        <f>'Wholesale Predicted Monthly'!G26</f>
        <v>25</v>
      </c>
      <c r="H26">
        <f>'Wholesale Predicted Monthly'!H26</f>
        <v>20</v>
      </c>
      <c r="I26">
        <f>'Wholesale Predicted Monthly'!I26</f>
        <v>0</v>
      </c>
      <c r="J26">
        <f>'Wholesale Predicted Monthly'!J26</f>
        <v>0</v>
      </c>
      <c r="K26">
        <f>'Wholesale Predicted Monthly'!K26</f>
        <v>1</v>
      </c>
      <c r="L26">
        <f>'Wholesale Predicted Monthly'!L26</f>
        <v>0</v>
      </c>
      <c r="M26">
        <f>'Wholesale Predicted Monthly'!M26</f>
        <v>0</v>
      </c>
      <c r="N26">
        <f>'Wholesale Predicted Monthly'!N26</f>
        <v>0</v>
      </c>
      <c r="O26">
        <f>'Wholesale Predicted Monthly'!O26</f>
        <v>0</v>
      </c>
      <c r="Q26" s="8">
        <f>'Wholesale OLS model'!$B$5</f>
        <v>-50878161.758948997</v>
      </c>
      <c r="R26" s="8">
        <f>-'Combined Monthly Data'!G26</f>
        <v>-314388.04606639408</v>
      </c>
      <c r="S26" s="8">
        <f ca="1">'Wholesale OLS model'!$B$6*D26</f>
        <v>10876187.368258728</v>
      </c>
      <c r="T26" s="8">
        <f ca="1">'Wholesale OLS model'!$B$7*E26</f>
        <v>0</v>
      </c>
      <c r="U26" s="8">
        <f>'Wholesale OLS model'!$B$8*F26</f>
        <v>81751827.059580952</v>
      </c>
      <c r="V26" s="8">
        <f>'Wholesale OLS model'!$B$9*G26</f>
        <v>-1407586.4791741176</v>
      </c>
      <c r="W26" s="8">
        <f>'Wholesale OLS model'!$B$10*H26</f>
        <v>9272931.8142328393</v>
      </c>
      <c r="X26" s="8">
        <f>'Wholesale OLS model'!$B$11*I26</f>
        <v>0</v>
      </c>
      <c r="Y26" s="8">
        <f>'Wholesale OLS model'!$B$12*J26</f>
        <v>0</v>
      </c>
      <c r="Z26" s="8">
        <f>'Wholesale OLS model'!$B$13*K26</f>
        <v>2647304.3437043098</v>
      </c>
      <c r="AA26" s="8">
        <f>'Wholesale OLS model'!$B$14*L26</f>
        <v>0</v>
      </c>
      <c r="AB26" s="8">
        <f>'Wholesale OLS model'!$B$15*M26</f>
        <v>0</v>
      </c>
      <c r="AC26" s="8">
        <f>'Wholesale OLS model'!$B$16*N26</f>
        <v>0</v>
      </c>
      <c r="AD26" s="8">
        <f>'Wholesale OLS model'!$B$17*O26</f>
        <v>0</v>
      </c>
      <c r="AE26" s="8">
        <f t="shared" ca="1" si="0"/>
        <v>51948114.301587328</v>
      </c>
    </row>
    <row r="27" spans="1:31" x14ac:dyDescent="0.2">
      <c r="A27" s="99">
        <f>'Wholesale Predicted Monthly'!A27</f>
        <v>40575</v>
      </c>
      <c r="B27">
        <f>'Wholesale Predicted Monthly'!B27</f>
        <v>2011</v>
      </c>
      <c r="C27">
        <f>'Wholesale Predicted Monthly'!C27</f>
        <v>47592238.090000004</v>
      </c>
      <c r="D27">
        <f t="shared" ca="1" si="1"/>
        <v>660.08</v>
      </c>
      <c r="E27">
        <f t="shared" ca="1" si="2"/>
        <v>0</v>
      </c>
      <c r="F27">
        <f>'Wholesale Predicted Monthly'!F27</f>
        <v>6548.1</v>
      </c>
      <c r="G27">
        <f>'Wholesale Predicted Monthly'!G27</f>
        <v>26</v>
      </c>
      <c r="H27">
        <f>'Wholesale Predicted Monthly'!H27</f>
        <v>19</v>
      </c>
      <c r="I27">
        <f>'Wholesale Predicted Monthly'!I27</f>
        <v>0</v>
      </c>
      <c r="J27">
        <f>'Wholesale Predicted Monthly'!J27</f>
        <v>0</v>
      </c>
      <c r="K27">
        <f>'Wholesale Predicted Monthly'!K27</f>
        <v>0</v>
      </c>
      <c r="L27">
        <f>'Wholesale Predicted Monthly'!L27</f>
        <v>0</v>
      </c>
      <c r="M27">
        <f>'Wholesale Predicted Monthly'!M27</f>
        <v>0</v>
      </c>
      <c r="N27">
        <f>'Wholesale Predicted Monthly'!N27</f>
        <v>0</v>
      </c>
      <c r="O27">
        <f>'Wholesale Predicted Monthly'!O27</f>
        <v>0</v>
      </c>
      <c r="Q27" s="8">
        <f>'Wholesale OLS model'!$B$5</f>
        <v>-50878161.758948997</v>
      </c>
      <c r="R27" s="8">
        <f>-'Combined Monthly Data'!G27</f>
        <v>-329956.08506654529</v>
      </c>
      <c r="S27" s="8">
        <f ca="1">'Wholesale OLS model'!$B$6*D27</f>
        <v>10467374.913306247</v>
      </c>
      <c r="T27" s="8">
        <f ca="1">'Wholesale OLS model'!$B$7*E27</f>
        <v>0</v>
      </c>
      <c r="U27" s="8">
        <f>'Wholesale OLS model'!$B$8*F27</f>
        <v>81464441.619314909</v>
      </c>
      <c r="V27" s="8">
        <f>'Wholesale OLS model'!$B$9*G27</f>
        <v>-1463889.9383410821</v>
      </c>
      <c r="W27" s="8">
        <f>'Wholesale OLS model'!$B$10*H27</f>
        <v>8809285.2235211972</v>
      </c>
      <c r="X27" s="8">
        <f>'Wholesale OLS model'!$B$11*I27</f>
        <v>0</v>
      </c>
      <c r="Y27" s="8">
        <f>'Wholesale OLS model'!$B$12*J27</f>
        <v>0</v>
      </c>
      <c r="Z27" s="8">
        <f>'Wholesale OLS model'!$B$13*K27</f>
        <v>0</v>
      </c>
      <c r="AA27" s="8">
        <f>'Wholesale OLS model'!$B$14*L27</f>
        <v>0</v>
      </c>
      <c r="AB27" s="8">
        <f>'Wholesale OLS model'!$B$15*M27</f>
        <v>0</v>
      </c>
      <c r="AC27" s="8">
        <f>'Wholesale OLS model'!$B$16*N27</f>
        <v>0</v>
      </c>
      <c r="AD27" s="8">
        <f>'Wholesale OLS model'!$B$17*O27</f>
        <v>0</v>
      </c>
      <c r="AE27" s="8">
        <f t="shared" ca="1" si="0"/>
        <v>48069093.973785736</v>
      </c>
    </row>
    <row r="28" spans="1:31" x14ac:dyDescent="0.2">
      <c r="A28" s="99">
        <f>'Wholesale Predicted Monthly'!A28</f>
        <v>40603</v>
      </c>
      <c r="B28">
        <f>'Wholesale Predicted Monthly'!B28</f>
        <v>2011</v>
      </c>
      <c r="C28">
        <f>'Wholesale Predicted Monthly'!C28</f>
        <v>49786411.509999998</v>
      </c>
      <c r="D28">
        <f t="shared" ca="1" si="1"/>
        <v>543.44000000000005</v>
      </c>
      <c r="E28">
        <f t="shared" ca="1" si="2"/>
        <v>0.24</v>
      </c>
      <c r="F28">
        <f>'Wholesale Predicted Monthly'!F28</f>
        <v>6523.7</v>
      </c>
      <c r="G28">
        <f>'Wholesale Predicted Monthly'!G28</f>
        <v>27</v>
      </c>
      <c r="H28">
        <f>'Wholesale Predicted Monthly'!H28</f>
        <v>23</v>
      </c>
      <c r="I28">
        <f>'Wholesale Predicted Monthly'!I28</f>
        <v>0</v>
      </c>
      <c r="J28">
        <f>'Wholesale Predicted Monthly'!J28</f>
        <v>0</v>
      </c>
      <c r="K28">
        <f>'Wholesale Predicted Monthly'!K28</f>
        <v>0</v>
      </c>
      <c r="L28">
        <f>'Wholesale Predicted Monthly'!L28</f>
        <v>1</v>
      </c>
      <c r="M28">
        <f>'Wholesale Predicted Monthly'!M28</f>
        <v>0</v>
      </c>
      <c r="N28">
        <f>'Wholesale Predicted Monthly'!N28</f>
        <v>0</v>
      </c>
      <c r="O28">
        <f>'Wholesale Predicted Monthly'!O28</f>
        <v>0</v>
      </c>
      <c r="Q28" s="8">
        <f>'Wholesale OLS model'!$B$5</f>
        <v>-50878161.758948997</v>
      </c>
      <c r="R28" s="8">
        <f>-'Combined Monthly Data'!G28</f>
        <v>-345524.12406669656</v>
      </c>
      <c r="S28" s="8">
        <f ca="1">'Wholesale OLS model'!$B$6*D28</f>
        <v>8617728.4918300007</v>
      </c>
      <c r="T28" s="8">
        <f ca="1">'Wholesale OLS model'!$B$7*E28</f>
        <v>22639.977620703648</v>
      </c>
      <c r="U28" s="8">
        <f>'Wholesale OLS model'!$B$8*F28</f>
        <v>81160882.972453788</v>
      </c>
      <c r="V28" s="8">
        <f>'Wholesale OLS model'!$B$9*G28</f>
        <v>-1520193.3975080468</v>
      </c>
      <c r="W28" s="8">
        <f>'Wholesale OLS model'!$B$10*H28</f>
        <v>10663871.586367765</v>
      </c>
      <c r="X28" s="8">
        <f>'Wholesale OLS model'!$B$11*I28</f>
        <v>0</v>
      </c>
      <c r="Y28" s="8">
        <f>'Wholesale OLS model'!$B$12*J28</f>
        <v>0</v>
      </c>
      <c r="Z28" s="8">
        <f>'Wholesale OLS model'!$B$13*K28</f>
        <v>0</v>
      </c>
      <c r="AA28" s="8">
        <f>'Wholesale OLS model'!$B$14*L28</f>
        <v>1640135.6856942801</v>
      </c>
      <c r="AB28" s="8">
        <f>'Wholesale OLS model'!$B$15*M28</f>
        <v>0</v>
      </c>
      <c r="AC28" s="8">
        <f>'Wholesale OLS model'!$B$16*N28</f>
        <v>0</v>
      </c>
      <c r="AD28" s="8">
        <f>'Wholesale OLS model'!$B$17*O28</f>
        <v>0</v>
      </c>
      <c r="AE28" s="8">
        <f t="shared" ca="1" si="0"/>
        <v>49361379.433442794</v>
      </c>
    </row>
    <row r="29" spans="1:31" x14ac:dyDescent="0.2">
      <c r="A29" s="99">
        <f>'Wholesale Predicted Monthly'!A29</f>
        <v>40634</v>
      </c>
      <c r="B29">
        <f>'Wholesale Predicted Monthly'!B29</f>
        <v>2011</v>
      </c>
      <c r="C29">
        <f>'Wholesale Predicted Monthly'!C29</f>
        <v>43724823.849999994</v>
      </c>
      <c r="D29">
        <f t="shared" ca="1" si="1"/>
        <v>313.53000000000003</v>
      </c>
      <c r="E29">
        <f t="shared" ca="1" si="2"/>
        <v>17.5</v>
      </c>
      <c r="F29">
        <f>'Wholesale Predicted Monthly'!F29</f>
        <v>6550</v>
      </c>
      <c r="G29">
        <f>'Wholesale Predicted Monthly'!G29</f>
        <v>28</v>
      </c>
      <c r="H29">
        <f>'Wholesale Predicted Monthly'!H29</f>
        <v>19</v>
      </c>
      <c r="I29">
        <f>'Wholesale Predicted Monthly'!I29</f>
        <v>0</v>
      </c>
      <c r="J29">
        <f>'Wholesale Predicted Monthly'!J29</f>
        <v>0</v>
      </c>
      <c r="K29">
        <f>'Wholesale Predicted Monthly'!K29</f>
        <v>0</v>
      </c>
      <c r="L29">
        <f>'Wholesale Predicted Monthly'!L29</f>
        <v>0</v>
      </c>
      <c r="M29">
        <f>'Wholesale Predicted Monthly'!M29</f>
        <v>0</v>
      </c>
      <c r="N29">
        <f>'Wholesale Predicted Monthly'!N29</f>
        <v>0</v>
      </c>
      <c r="O29">
        <f>'Wholesale Predicted Monthly'!O29</f>
        <v>0</v>
      </c>
      <c r="Q29" s="8">
        <f>'Wholesale OLS model'!$B$5</f>
        <v>-50878161.758948997</v>
      </c>
      <c r="R29" s="8">
        <f>-'Combined Monthly Data'!G29</f>
        <v>-361092.16306684777</v>
      </c>
      <c r="S29" s="8">
        <f ca="1">'Wholesale OLS model'!$B$6*D29</f>
        <v>4971876.2219259907</v>
      </c>
      <c r="T29" s="8">
        <f ca="1">'Wholesale OLS model'!$B$7*E29</f>
        <v>1650831.701509641</v>
      </c>
      <c r="U29" s="8">
        <f>'Wholesale OLS model'!$B$8*F29</f>
        <v>81488079.382799983</v>
      </c>
      <c r="V29" s="8">
        <f>'Wholesale OLS model'!$B$9*G29</f>
        <v>-1576496.8566750116</v>
      </c>
      <c r="W29" s="8">
        <f>'Wholesale OLS model'!$B$10*H29</f>
        <v>8809285.2235211972</v>
      </c>
      <c r="X29" s="8">
        <f>'Wholesale OLS model'!$B$11*I29</f>
        <v>0</v>
      </c>
      <c r="Y29" s="8">
        <f>'Wholesale OLS model'!$B$12*J29</f>
        <v>0</v>
      </c>
      <c r="Z29" s="8">
        <f>'Wholesale OLS model'!$B$13*K29</f>
        <v>0</v>
      </c>
      <c r="AA29" s="8">
        <f>'Wholesale OLS model'!$B$14*L29</f>
        <v>0</v>
      </c>
      <c r="AB29" s="8">
        <f>'Wholesale OLS model'!$B$15*M29</f>
        <v>0</v>
      </c>
      <c r="AC29" s="8">
        <f>'Wholesale OLS model'!$B$16*N29</f>
        <v>0</v>
      </c>
      <c r="AD29" s="8">
        <f>'Wholesale OLS model'!$B$17*O29</f>
        <v>0</v>
      </c>
      <c r="AE29" s="8">
        <f t="shared" ca="1" si="0"/>
        <v>44104321.751065947</v>
      </c>
    </row>
    <row r="30" spans="1:31" x14ac:dyDescent="0.2">
      <c r="A30" s="99">
        <f>'Wholesale Predicted Monthly'!A30</f>
        <v>40664</v>
      </c>
      <c r="B30">
        <f>'Wholesale Predicted Monthly'!B30</f>
        <v>2011</v>
      </c>
      <c r="C30">
        <f>'Wholesale Predicted Monthly'!C30</f>
        <v>42930546.329999998</v>
      </c>
      <c r="D30">
        <f t="shared" ca="1" si="1"/>
        <v>134.15000000000003</v>
      </c>
      <c r="E30">
        <f t="shared" ca="1" si="2"/>
        <v>73.010000000000019</v>
      </c>
      <c r="F30">
        <f>'Wholesale Predicted Monthly'!F30</f>
        <v>6612</v>
      </c>
      <c r="G30">
        <f>'Wholesale Predicted Monthly'!G30</f>
        <v>29</v>
      </c>
      <c r="H30">
        <f>'Wholesale Predicted Monthly'!H30</f>
        <v>21</v>
      </c>
      <c r="I30">
        <f>'Wholesale Predicted Monthly'!I30</f>
        <v>0</v>
      </c>
      <c r="J30">
        <f>'Wholesale Predicted Monthly'!J30</f>
        <v>0</v>
      </c>
      <c r="K30">
        <f>'Wholesale Predicted Monthly'!K30</f>
        <v>0</v>
      </c>
      <c r="L30">
        <f>'Wholesale Predicted Monthly'!L30</f>
        <v>0</v>
      </c>
      <c r="M30">
        <f>'Wholesale Predicted Monthly'!M30</f>
        <v>0</v>
      </c>
      <c r="N30">
        <f>'Wholesale Predicted Monthly'!N30</f>
        <v>0</v>
      </c>
      <c r="O30">
        <f>'Wholesale Predicted Monthly'!O30</f>
        <v>0</v>
      </c>
      <c r="Q30" s="8">
        <f>'Wholesale OLS model'!$B$5</f>
        <v>-50878161.758948997</v>
      </c>
      <c r="R30" s="8">
        <f>-'Combined Monthly Data'!G30</f>
        <v>-376660.20206699899</v>
      </c>
      <c r="S30" s="8">
        <f ca="1">'Wholesale OLS model'!$B$6*D30</f>
        <v>2127315.3930130186</v>
      </c>
      <c r="T30" s="8">
        <f ca="1">'Wholesale OLS model'!$B$7*E30</f>
        <v>6887269.8586982237</v>
      </c>
      <c r="U30" s="8">
        <f>'Wholesale OLS model'!$B$8*F30</f>
        <v>82259416.928102836</v>
      </c>
      <c r="V30" s="8">
        <f>'Wholesale OLS model'!$B$9*G30</f>
        <v>-1632800.3158419763</v>
      </c>
      <c r="W30" s="8">
        <f>'Wholesale OLS model'!$B$10*H30</f>
        <v>9736578.4049444813</v>
      </c>
      <c r="X30" s="8">
        <f>'Wholesale OLS model'!$B$11*I30</f>
        <v>0</v>
      </c>
      <c r="Y30" s="8">
        <f>'Wholesale OLS model'!$B$12*J30</f>
        <v>0</v>
      </c>
      <c r="Z30" s="8">
        <f>'Wholesale OLS model'!$B$13*K30</f>
        <v>0</v>
      </c>
      <c r="AA30" s="8">
        <f>'Wholesale OLS model'!$B$14*L30</f>
        <v>0</v>
      </c>
      <c r="AB30" s="8">
        <f>'Wholesale OLS model'!$B$15*M30</f>
        <v>0</v>
      </c>
      <c r="AC30" s="8">
        <f>'Wholesale OLS model'!$B$16*N30</f>
        <v>0</v>
      </c>
      <c r="AD30" s="8">
        <f>'Wholesale OLS model'!$B$17*O30</f>
        <v>0</v>
      </c>
      <c r="AE30" s="8">
        <f t="shared" ca="1" si="0"/>
        <v>48122958.307900585</v>
      </c>
    </row>
    <row r="31" spans="1:31" x14ac:dyDescent="0.2">
      <c r="A31" s="99">
        <f>'Wholesale Predicted Monthly'!A31</f>
        <v>40695</v>
      </c>
      <c r="B31">
        <f>'Wholesale Predicted Monthly'!B31</f>
        <v>2011</v>
      </c>
      <c r="C31">
        <f>'Wholesale Predicted Monthly'!C31</f>
        <v>45240261.659999996</v>
      </c>
      <c r="D31">
        <f t="shared" ca="1" si="1"/>
        <v>28.409999999999997</v>
      </c>
      <c r="E31">
        <f t="shared" ca="1" si="2"/>
        <v>106.29</v>
      </c>
      <c r="F31">
        <f>'Wholesale Predicted Monthly'!F31</f>
        <v>6706.8</v>
      </c>
      <c r="G31">
        <f>'Wholesale Predicted Monthly'!G31</f>
        <v>30</v>
      </c>
      <c r="H31">
        <f>'Wholesale Predicted Monthly'!H31</f>
        <v>22</v>
      </c>
      <c r="I31">
        <f>'Wholesale Predicted Monthly'!I31</f>
        <v>0</v>
      </c>
      <c r="J31">
        <f>'Wholesale Predicted Monthly'!J31</f>
        <v>0</v>
      </c>
      <c r="K31">
        <f>'Wholesale Predicted Monthly'!K31</f>
        <v>0</v>
      </c>
      <c r="L31">
        <f>'Wholesale Predicted Monthly'!L31</f>
        <v>0</v>
      </c>
      <c r="M31">
        <f>'Wholesale Predicted Monthly'!M31</f>
        <v>0</v>
      </c>
      <c r="N31">
        <f>'Wholesale Predicted Monthly'!N31</f>
        <v>0</v>
      </c>
      <c r="O31">
        <f>'Wholesale Predicted Monthly'!O31</f>
        <v>0</v>
      </c>
      <c r="Q31" s="8">
        <f>'Wholesale OLS model'!$B$5</f>
        <v>-50878161.758948997</v>
      </c>
      <c r="R31" s="8">
        <f>-'Combined Monthly Data'!G31</f>
        <v>-392228.24106715026</v>
      </c>
      <c r="S31" s="8">
        <f ca="1">'Wholesale OLS model'!$B$6*D31</f>
        <v>450518.30276183254</v>
      </c>
      <c r="T31" s="8">
        <f ca="1">'Wholesale OLS model'!$B$7*E31</f>
        <v>10026680.088769129</v>
      </c>
      <c r="U31" s="8">
        <f>'Wholesale OLS model'!$B$8*F31</f>
        <v>83438816.91672717</v>
      </c>
      <c r="V31" s="8">
        <f>'Wholesale OLS model'!$B$9*G31</f>
        <v>-1689103.7750089408</v>
      </c>
      <c r="W31" s="8">
        <f>'Wholesale OLS model'!$B$10*H31</f>
        <v>10200224.995656123</v>
      </c>
      <c r="X31" s="8">
        <f>'Wholesale OLS model'!$B$11*I31</f>
        <v>0</v>
      </c>
      <c r="Y31" s="8">
        <f>'Wholesale OLS model'!$B$12*J31</f>
        <v>0</v>
      </c>
      <c r="Z31" s="8">
        <f>'Wholesale OLS model'!$B$13*K31</f>
        <v>0</v>
      </c>
      <c r="AA31" s="8">
        <f>'Wholesale OLS model'!$B$14*L31</f>
        <v>0</v>
      </c>
      <c r="AB31" s="8">
        <f>'Wholesale OLS model'!$B$15*M31</f>
        <v>0</v>
      </c>
      <c r="AC31" s="8">
        <f>'Wholesale OLS model'!$B$16*N31</f>
        <v>0</v>
      </c>
      <c r="AD31" s="8">
        <f>'Wholesale OLS model'!$B$17*O31</f>
        <v>0</v>
      </c>
      <c r="AE31" s="8">
        <f t="shared" ca="1" si="0"/>
        <v>51156746.528889172</v>
      </c>
    </row>
    <row r="32" spans="1:31" x14ac:dyDescent="0.2">
      <c r="A32" s="99">
        <f>'Wholesale Predicted Monthly'!A32</f>
        <v>40725</v>
      </c>
      <c r="B32">
        <f>'Wholesale Predicted Monthly'!B32</f>
        <v>2011</v>
      </c>
      <c r="C32">
        <f>'Wholesale Predicted Monthly'!C32</f>
        <v>56133024.959999993</v>
      </c>
      <c r="D32">
        <f t="shared" ca="1" si="1"/>
        <v>5.84</v>
      </c>
      <c r="E32">
        <f t="shared" ca="1" si="2"/>
        <v>81.070000000000007</v>
      </c>
      <c r="F32">
        <f>'Wholesale Predicted Monthly'!F32</f>
        <v>6755.3</v>
      </c>
      <c r="G32">
        <f>'Wholesale Predicted Monthly'!G32</f>
        <v>31</v>
      </c>
      <c r="H32">
        <f>'Wholesale Predicted Monthly'!H32</f>
        <v>20</v>
      </c>
      <c r="I32">
        <f>'Wholesale Predicted Monthly'!I32</f>
        <v>0</v>
      </c>
      <c r="J32">
        <f>'Wholesale Predicted Monthly'!J32</f>
        <v>0</v>
      </c>
      <c r="K32">
        <f>'Wholesale Predicted Monthly'!K32</f>
        <v>0</v>
      </c>
      <c r="L32">
        <f>'Wholesale Predicted Monthly'!L32</f>
        <v>0</v>
      </c>
      <c r="M32">
        <f>'Wholesale Predicted Monthly'!M32</f>
        <v>1</v>
      </c>
      <c r="N32">
        <f>'Wholesale Predicted Monthly'!N32</f>
        <v>0</v>
      </c>
      <c r="O32">
        <f>'Wholesale Predicted Monthly'!O32</f>
        <v>0</v>
      </c>
      <c r="Q32" s="8">
        <f>'Wholesale OLS model'!$B$5</f>
        <v>-50878161.758948997</v>
      </c>
      <c r="R32" s="8">
        <f>-'Combined Monthly Data'!G32</f>
        <v>-407796.28006730147</v>
      </c>
      <c r="S32" s="8">
        <f ca="1">'Wholesale OLS model'!$B$6*D32</f>
        <v>92609.182968289417</v>
      </c>
      <c r="T32" s="8">
        <f ca="1">'Wholesale OLS model'!$B$7*E32</f>
        <v>7647595.7737935204</v>
      </c>
      <c r="U32" s="8">
        <f>'Wholesale OLS model'!$B$8*F32</f>
        <v>84042201.932004392</v>
      </c>
      <c r="V32" s="8">
        <f>'Wholesale OLS model'!$B$9*G32</f>
        <v>-1745407.2341759056</v>
      </c>
      <c r="W32" s="8">
        <f>'Wholesale OLS model'!$B$10*H32</f>
        <v>9272931.8142328393</v>
      </c>
      <c r="X32" s="8">
        <f>'Wholesale OLS model'!$B$11*I32</f>
        <v>0</v>
      </c>
      <c r="Y32" s="8">
        <f>'Wholesale OLS model'!$B$12*J32</f>
        <v>0</v>
      </c>
      <c r="Z32" s="8">
        <f>'Wholesale OLS model'!$B$13*K32</f>
        <v>0</v>
      </c>
      <c r="AA32" s="8">
        <f>'Wholesale OLS model'!$B$14*L32</f>
        <v>0</v>
      </c>
      <c r="AB32" s="8">
        <f>'Wholesale OLS model'!$B$15*M32</f>
        <v>2370057.8473386201</v>
      </c>
      <c r="AC32" s="8">
        <f>'Wholesale OLS model'!$B$16*N32</f>
        <v>0</v>
      </c>
      <c r="AD32" s="8">
        <f>'Wholesale OLS model'!$B$17*O32</f>
        <v>0</v>
      </c>
      <c r="AE32" s="8">
        <f t="shared" ca="1" si="0"/>
        <v>50394031.277145453</v>
      </c>
    </row>
    <row r="33" spans="1:31" x14ac:dyDescent="0.2">
      <c r="A33" s="99">
        <f>'Wholesale Predicted Monthly'!A33</f>
        <v>40756</v>
      </c>
      <c r="B33">
        <f>'Wholesale Predicted Monthly'!B33</f>
        <v>2011</v>
      </c>
      <c r="C33">
        <f>'Wholesale Predicted Monthly'!C33</f>
        <v>52792264.950000003</v>
      </c>
      <c r="D33">
        <f t="shared" ca="1" si="1"/>
        <v>10.420000000000002</v>
      </c>
      <c r="E33">
        <f t="shared" ca="1" si="2"/>
        <v>31.57</v>
      </c>
      <c r="F33">
        <f>'Wholesale Predicted Monthly'!F33</f>
        <v>6778</v>
      </c>
      <c r="G33">
        <f>'Wholesale Predicted Monthly'!G33</f>
        <v>32</v>
      </c>
      <c r="H33">
        <f>'Wholesale Predicted Monthly'!H33</f>
        <v>22</v>
      </c>
      <c r="I33">
        <f>'Wholesale Predicted Monthly'!I33</f>
        <v>0</v>
      </c>
      <c r="J33">
        <f>'Wholesale Predicted Monthly'!J33</f>
        <v>0</v>
      </c>
      <c r="K33">
        <f>'Wholesale Predicted Monthly'!K33</f>
        <v>0</v>
      </c>
      <c r="L33">
        <f>'Wholesale Predicted Monthly'!L33</f>
        <v>0</v>
      </c>
      <c r="M33">
        <f>'Wholesale Predicted Monthly'!M33</f>
        <v>0</v>
      </c>
      <c r="N33">
        <f>'Wholesale Predicted Monthly'!N33</f>
        <v>1</v>
      </c>
      <c r="O33">
        <f>'Wholesale Predicted Monthly'!O33</f>
        <v>0</v>
      </c>
      <c r="Q33" s="8">
        <f>'Wholesale OLS model'!$B$5</f>
        <v>-50878161.758948997</v>
      </c>
      <c r="R33" s="8">
        <f>-'Combined Monthly Data'!G33</f>
        <v>-423364.31906745268</v>
      </c>
      <c r="S33" s="8">
        <f ca="1">'Wholesale OLS model'!$B$6*D33</f>
        <v>165237.61755643424</v>
      </c>
      <c r="T33" s="8">
        <f ca="1">'Wholesale OLS model'!$B$7*E33</f>
        <v>2978100.3895233925</v>
      </c>
      <c r="U33" s="8">
        <f>'Wholesale OLS model'!$B$8*F33</f>
        <v>84324611.001010433</v>
      </c>
      <c r="V33" s="8">
        <f>'Wholesale OLS model'!$B$9*G33</f>
        <v>-1801710.6933428703</v>
      </c>
      <c r="W33" s="8">
        <f>'Wholesale OLS model'!$B$10*H33</f>
        <v>10200224.995656123</v>
      </c>
      <c r="X33" s="8">
        <f>'Wholesale OLS model'!$B$11*I33</f>
        <v>0</v>
      </c>
      <c r="Y33" s="8">
        <f>'Wholesale OLS model'!$B$12*J33</f>
        <v>0</v>
      </c>
      <c r="Z33" s="8">
        <f>'Wholesale OLS model'!$B$13*K33</f>
        <v>0</v>
      </c>
      <c r="AA33" s="8">
        <f>'Wholesale OLS model'!$B$14*L33</f>
        <v>0</v>
      </c>
      <c r="AB33" s="8">
        <f>'Wholesale OLS model'!$B$15*M33</f>
        <v>0</v>
      </c>
      <c r="AC33" s="8">
        <f>'Wholesale OLS model'!$B$16*N33</f>
        <v>3743904.46078429</v>
      </c>
      <c r="AD33" s="8">
        <f>'Wholesale OLS model'!$B$17*O33</f>
        <v>0</v>
      </c>
      <c r="AE33" s="8">
        <f t="shared" ca="1" si="0"/>
        <v>48308841.693171352</v>
      </c>
    </row>
    <row r="34" spans="1:31" x14ac:dyDescent="0.2">
      <c r="A34" s="99">
        <f>'Wholesale Predicted Monthly'!A34</f>
        <v>40787</v>
      </c>
      <c r="B34">
        <f>'Wholesale Predicted Monthly'!B34</f>
        <v>2011</v>
      </c>
      <c r="C34">
        <f>'Wholesale Predicted Monthly'!C34</f>
        <v>45672904.43</v>
      </c>
      <c r="D34">
        <f t="shared" ca="1" si="1"/>
        <v>69.52000000000001</v>
      </c>
      <c r="E34">
        <f t="shared" ca="1" si="2"/>
        <v>3.6300000000000003</v>
      </c>
      <c r="F34">
        <f>'Wholesale Predicted Monthly'!F34</f>
        <v>6734.6</v>
      </c>
      <c r="G34">
        <f>'Wholesale Predicted Monthly'!G34</f>
        <v>33</v>
      </c>
      <c r="H34">
        <f>'Wholesale Predicted Monthly'!H34</f>
        <v>21</v>
      </c>
      <c r="I34">
        <f>'Wholesale Predicted Monthly'!I34</f>
        <v>0</v>
      </c>
      <c r="J34">
        <f>'Wholesale Predicted Monthly'!J34</f>
        <v>0</v>
      </c>
      <c r="K34">
        <f>'Wholesale Predicted Monthly'!K34</f>
        <v>0</v>
      </c>
      <c r="L34">
        <f>'Wholesale Predicted Monthly'!L34</f>
        <v>0</v>
      </c>
      <c r="M34">
        <f>'Wholesale Predicted Monthly'!M34</f>
        <v>0</v>
      </c>
      <c r="N34">
        <f>'Wholesale Predicted Monthly'!N34</f>
        <v>0</v>
      </c>
      <c r="O34">
        <f>'Wholesale Predicted Monthly'!O34</f>
        <v>0</v>
      </c>
      <c r="Q34" s="8">
        <f>'Wholesale OLS model'!$B$5</f>
        <v>-50878161.758948997</v>
      </c>
      <c r="R34" s="8">
        <f>-'Combined Monthly Data'!G34</f>
        <v>-438932.3580676039</v>
      </c>
      <c r="S34" s="8">
        <f ca="1">'Wholesale OLS model'!$B$6*D34</f>
        <v>1102429.8630060756</v>
      </c>
      <c r="T34" s="8">
        <f ca="1">'Wholesale OLS model'!$B$7*E34</f>
        <v>342429.6615131427</v>
      </c>
      <c r="U34" s="8">
        <f>'Wholesale OLS model'!$B$8*F34</f>
        <v>83784674.719298452</v>
      </c>
      <c r="V34" s="8">
        <f>'Wholesale OLS model'!$B$9*G34</f>
        <v>-1858014.1525098351</v>
      </c>
      <c r="W34" s="8">
        <f>'Wholesale OLS model'!$B$10*H34</f>
        <v>9736578.4049444813</v>
      </c>
      <c r="X34" s="8">
        <f>'Wholesale OLS model'!$B$11*I34</f>
        <v>0</v>
      </c>
      <c r="Y34" s="8">
        <f>'Wholesale OLS model'!$B$12*J34</f>
        <v>0</v>
      </c>
      <c r="Z34" s="8">
        <f>'Wholesale OLS model'!$B$13*K34</f>
        <v>0</v>
      </c>
      <c r="AA34" s="8">
        <f>'Wholesale OLS model'!$B$14*L34</f>
        <v>0</v>
      </c>
      <c r="AB34" s="8">
        <f>'Wholesale OLS model'!$B$15*M34</f>
        <v>0</v>
      </c>
      <c r="AC34" s="8">
        <f>'Wholesale OLS model'!$B$16*N34</f>
        <v>0</v>
      </c>
      <c r="AD34" s="8">
        <f>'Wholesale OLS model'!$B$17*O34</f>
        <v>0</v>
      </c>
      <c r="AE34" s="8">
        <f t="shared" ca="1" si="0"/>
        <v>41791004.379235722</v>
      </c>
    </row>
    <row r="35" spans="1:31" x14ac:dyDescent="0.2">
      <c r="A35" s="99">
        <f>'Wholesale Predicted Monthly'!A35</f>
        <v>40817</v>
      </c>
      <c r="B35">
        <f>'Wholesale Predicted Monthly'!B35</f>
        <v>2011</v>
      </c>
      <c r="C35">
        <f>'Wholesale Predicted Monthly'!C35</f>
        <v>43177328.170000002</v>
      </c>
      <c r="D35">
        <f t="shared" ca="1" si="1"/>
        <v>236.61000000000004</v>
      </c>
      <c r="E35">
        <f t="shared" ca="1" si="2"/>
        <v>0</v>
      </c>
      <c r="F35">
        <f>'Wholesale Predicted Monthly'!F35</f>
        <v>6702.2</v>
      </c>
      <c r="G35">
        <f>'Wholesale Predicted Monthly'!G35</f>
        <v>34</v>
      </c>
      <c r="H35">
        <f>'Wholesale Predicted Monthly'!H35</f>
        <v>20</v>
      </c>
      <c r="I35">
        <f>'Wholesale Predicted Monthly'!I35</f>
        <v>0</v>
      </c>
      <c r="J35">
        <f>'Wholesale Predicted Monthly'!J35</f>
        <v>0</v>
      </c>
      <c r="K35">
        <f>'Wholesale Predicted Monthly'!K35</f>
        <v>0</v>
      </c>
      <c r="L35">
        <f>'Wholesale Predicted Monthly'!L35</f>
        <v>0</v>
      </c>
      <c r="M35">
        <f>'Wholesale Predicted Monthly'!M35</f>
        <v>0</v>
      </c>
      <c r="N35">
        <f>'Wholesale Predicted Monthly'!N35</f>
        <v>0</v>
      </c>
      <c r="O35">
        <f>'Wholesale Predicted Monthly'!O35</f>
        <v>0</v>
      </c>
      <c r="Q35" s="8">
        <f>'Wholesale OLS model'!$B$5</f>
        <v>-50878161.758948997</v>
      </c>
      <c r="R35" s="8">
        <f>-'Combined Monthly Data'!G35</f>
        <v>-454500.39706775517</v>
      </c>
      <c r="S35" s="8">
        <f ca="1">'Wholesale OLS model'!$B$6*D35</f>
        <v>3752099.10652859</v>
      </c>
      <c r="T35" s="8">
        <f ca="1">'Wholesale OLS model'!$B$7*E35</f>
        <v>0</v>
      </c>
      <c r="U35" s="8">
        <f>'Wholesale OLS model'!$B$8*F35</f>
        <v>83381588.647236958</v>
      </c>
      <c r="V35" s="8">
        <f>'Wholesale OLS model'!$B$9*G35</f>
        <v>-1914317.6116767998</v>
      </c>
      <c r="W35" s="8">
        <f>'Wholesale OLS model'!$B$10*H35</f>
        <v>9272931.8142328393</v>
      </c>
      <c r="X35" s="8">
        <f>'Wholesale OLS model'!$B$11*I35</f>
        <v>0</v>
      </c>
      <c r="Y35" s="8">
        <f>'Wholesale OLS model'!$B$12*J35</f>
        <v>0</v>
      </c>
      <c r="Z35" s="8">
        <f>'Wholesale OLS model'!$B$13*K35</f>
        <v>0</v>
      </c>
      <c r="AA35" s="8">
        <f>'Wholesale OLS model'!$B$14*L35</f>
        <v>0</v>
      </c>
      <c r="AB35" s="8">
        <f>'Wholesale OLS model'!$B$15*M35</f>
        <v>0</v>
      </c>
      <c r="AC35" s="8">
        <f>'Wholesale OLS model'!$B$16*N35</f>
        <v>0</v>
      </c>
      <c r="AD35" s="8">
        <f>'Wholesale OLS model'!$B$17*O35</f>
        <v>0</v>
      </c>
      <c r="AE35" s="8">
        <f t="shared" ca="1" si="0"/>
        <v>43159639.800304838</v>
      </c>
    </row>
    <row r="36" spans="1:31" x14ac:dyDescent="0.2">
      <c r="A36" s="99">
        <f>'Wholesale Predicted Monthly'!A36</f>
        <v>40848</v>
      </c>
      <c r="B36">
        <f>'Wholesale Predicted Monthly'!B36</f>
        <v>2011</v>
      </c>
      <c r="C36">
        <f>'Wholesale Predicted Monthly'!C36</f>
        <v>42120131.339999996</v>
      </c>
      <c r="D36">
        <f t="shared" ca="1" si="1"/>
        <v>398.34999999999997</v>
      </c>
      <c r="E36">
        <f t="shared" ca="1" si="2"/>
        <v>0</v>
      </c>
      <c r="F36">
        <f>'Wholesale Predicted Monthly'!F36</f>
        <v>6669.4</v>
      </c>
      <c r="G36">
        <f>'Wholesale Predicted Monthly'!G36</f>
        <v>35</v>
      </c>
      <c r="H36">
        <f>'Wholesale Predicted Monthly'!H36</f>
        <v>22</v>
      </c>
      <c r="I36">
        <f>'Wholesale Predicted Monthly'!I36</f>
        <v>0</v>
      </c>
      <c r="J36">
        <f>'Wholesale Predicted Monthly'!J36</f>
        <v>0</v>
      </c>
      <c r="K36">
        <f>'Wholesale Predicted Monthly'!K36</f>
        <v>0</v>
      </c>
      <c r="L36">
        <f>'Wholesale Predicted Monthly'!L36</f>
        <v>0</v>
      </c>
      <c r="M36">
        <f>'Wholesale Predicted Monthly'!M36</f>
        <v>0</v>
      </c>
      <c r="N36">
        <f>'Wholesale Predicted Monthly'!N36</f>
        <v>0</v>
      </c>
      <c r="O36">
        <f>'Wholesale Predicted Monthly'!O36</f>
        <v>1</v>
      </c>
      <c r="Q36" s="8">
        <f>'Wholesale OLS model'!$B$5</f>
        <v>-50878161.758948997</v>
      </c>
      <c r="R36" s="8">
        <f>-'Combined Monthly Data'!G36</f>
        <v>-470068.43606790644</v>
      </c>
      <c r="S36" s="8">
        <f ca="1">'Wholesale OLS model'!$B$6*D36</f>
        <v>6316929.4581195358</v>
      </c>
      <c r="T36" s="8">
        <f ca="1">'Wholesale OLS model'!$B$7*E36</f>
        <v>0</v>
      </c>
      <c r="U36" s="8">
        <f>'Wholesale OLS model'!$B$8*F36</f>
        <v>82973526.203915447</v>
      </c>
      <c r="V36" s="8">
        <f>'Wholesale OLS model'!$B$9*G36</f>
        <v>-1970621.0708437643</v>
      </c>
      <c r="W36" s="8">
        <f>'Wholesale OLS model'!$B$10*H36</f>
        <v>10200224.995656123</v>
      </c>
      <c r="X36" s="8">
        <f>'Wholesale OLS model'!$B$11*I36</f>
        <v>0</v>
      </c>
      <c r="Y36" s="8">
        <f>'Wholesale OLS model'!$B$12*J36</f>
        <v>0</v>
      </c>
      <c r="Z36" s="8">
        <f>'Wholesale OLS model'!$B$13*K36</f>
        <v>0</v>
      </c>
      <c r="AA36" s="8">
        <f>'Wholesale OLS model'!$B$14*L36</f>
        <v>0</v>
      </c>
      <c r="AB36" s="8">
        <f>'Wholesale OLS model'!$B$15*M36</f>
        <v>0</v>
      </c>
      <c r="AC36" s="8">
        <f>'Wholesale OLS model'!$B$16*N36</f>
        <v>0</v>
      </c>
      <c r="AD36" s="8">
        <f>'Wholesale OLS model'!$B$17*O36</f>
        <v>-1766353.8816768799</v>
      </c>
      <c r="AE36" s="8">
        <f t="shared" ca="1" si="0"/>
        <v>44405475.510153554</v>
      </c>
    </row>
    <row r="37" spans="1:31" x14ac:dyDescent="0.2">
      <c r="A37" s="99">
        <f>'Wholesale Predicted Monthly'!A37</f>
        <v>40878</v>
      </c>
      <c r="B37">
        <f>'Wholesale Predicted Monthly'!B37</f>
        <v>2011</v>
      </c>
      <c r="C37">
        <f>'Wholesale Predicted Monthly'!C37</f>
        <v>45929710.689999998</v>
      </c>
      <c r="D37">
        <f t="shared" ca="1" si="1"/>
        <v>558.68999999999994</v>
      </c>
      <c r="E37">
        <f t="shared" si="2"/>
        <v>0</v>
      </c>
      <c r="F37">
        <f>'Wholesale Predicted Monthly'!F37</f>
        <v>6668.3</v>
      </c>
      <c r="G37">
        <f>'Wholesale Predicted Monthly'!G37</f>
        <v>36</v>
      </c>
      <c r="H37">
        <f>'Wholesale Predicted Monthly'!H37</f>
        <v>20</v>
      </c>
      <c r="I37">
        <f>'Wholesale Predicted Monthly'!I37</f>
        <v>0</v>
      </c>
      <c r="J37">
        <f>'Wholesale Predicted Monthly'!J37</f>
        <v>0</v>
      </c>
      <c r="K37">
        <f>'Wholesale Predicted Monthly'!K37</f>
        <v>0</v>
      </c>
      <c r="L37">
        <f>'Wholesale Predicted Monthly'!L37</f>
        <v>0</v>
      </c>
      <c r="M37">
        <f>'Wholesale Predicted Monthly'!M37</f>
        <v>0</v>
      </c>
      <c r="N37">
        <f>'Wholesale Predicted Monthly'!N37</f>
        <v>0</v>
      </c>
      <c r="O37">
        <f>'Wholesale Predicted Monthly'!O37</f>
        <v>0</v>
      </c>
      <c r="Q37" s="8">
        <f>'Wholesale OLS model'!$B$5</f>
        <v>-50878161.758948997</v>
      </c>
      <c r="R37" s="8">
        <f>-'Combined Monthly Data'!G37</f>
        <v>-485636.4750680576</v>
      </c>
      <c r="S37" s="8">
        <f ca="1">'Wholesale OLS model'!$B$6*D37</f>
        <v>8859558.9781769887</v>
      </c>
      <c r="T37" s="8">
        <f>'Wholesale OLS model'!$B$7*E37</f>
        <v>0</v>
      </c>
      <c r="U37" s="8">
        <f>'Wholesale OLS model'!$B$8*F37</f>
        <v>82959841.182950407</v>
      </c>
      <c r="V37" s="8">
        <f>'Wholesale OLS model'!$B$9*G37</f>
        <v>-2026924.5300107291</v>
      </c>
      <c r="W37" s="8">
        <f>'Wholesale OLS model'!$B$10*H37</f>
        <v>9272931.8142328393</v>
      </c>
      <c r="X37" s="8">
        <f>'Wholesale OLS model'!$B$11*I37</f>
        <v>0</v>
      </c>
      <c r="Y37" s="8">
        <f>'Wholesale OLS model'!$B$12*J37</f>
        <v>0</v>
      </c>
      <c r="Z37" s="8">
        <f>'Wholesale OLS model'!$B$13*K37</f>
        <v>0</v>
      </c>
      <c r="AA37" s="8">
        <f>'Wholesale OLS model'!$B$14*L37</f>
        <v>0</v>
      </c>
      <c r="AB37" s="8">
        <f>'Wholesale OLS model'!$B$15*M37</f>
        <v>0</v>
      </c>
      <c r="AC37" s="8">
        <f>'Wholesale OLS model'!$B$16*N37</f>
        <v>0</v>
      </c>
      <c r="AD37" s="8">
        <f>'Wholesale OLS model'!$B$17*O37</f>
        <v>0</v>
      </c>
      <c r="AE37" s="8">
        <f t="shared" ca="1" si="0"/>
        <v>47701609.211332455</v>
      </c>
    </row>
    <row r="38" spans="1:31" x14ac:dyDescent="0.2">
      <c r="A38" s="99">
        <f>'Wholesale Predicted Monthly'!A38</f>
        <v>40909</v>
      </c>
      <c r="B38">
        <f>'Wholesale Predicted Monthly'!B38</f>
        <v>2012</v>
      </c>
      <c r="C38">
        <f>'Wholesale Predicted Monthly'!C38</f>
        <v>49800957.219999999</v>
      </c>
      <c r="D38">
        <f t="shared" ca="1" si="1"/>
        <v>685.8599999999999</v>
      </c>
      <c r="E38">
        <f t="shared" ca="1" si="2"/>
        <v>0</v>
      </c>
      <c r="F38">
        <f>'Wholesale Predicted Monthly'!F38</f>
        <v>6635.9</v>
      </c>
      <c r="G38">
        <f>'Wholesale Predicted Monthly'!G38</f>
        <v>37</v>
      </c>
      <c r="H38">
        <f>'Wholesale Predicted Monthly'!H38</f>
        <v>21</v>
      </c>
      <c r="I38">
        <f>'Wholesale Predicted Monthly'!I38</f>
        <v>0</v>
      </c>
      <c r="J38">
        <f>'Wholesale Predicted Monthly'!J38</f>
        <v>0</v>
      </c>
      <c r="K38">
        <f>'Wholesale Predicted Monthly'!K38</f>
        <v>1</v>
      </c>
      <c r="L38">
        <f>'Wholesale Predicted Monthly'!L38</f>
        <v>0</v>
      </c>
      <c r="M38">
        <f>'Wholesale Predicted Monthly'!M38</f>
        <v>0</v>
      </c>
      <c r="N38">
        <f>'Wholesale Predicted Monthly'!N38</f>
        <v>0</v>
      </c>
      <c r="O38">
        <f>'Wholesale Predicted Monthly'!O38</f>
        <v>0</v>
      </c>
      <c r="Q38" s="8">
        <f>'Wholesale OLS model'!$B$5</f>
        <v>-50878161.758948997</v>
      </c>
      <c r="R38" s="8">
        <f>-'Combined Monthly Data'!G38</f>
        <v>-471387.31542698713</v>
      </c>
      <c r="S38" s="8">
        <f ca="1">'Wholesale OLS model'!$B$6*D38</f>
        <v>10876187.368258728</v>
      </c>
      <c r="T38" s="8">
        <f ca="1">'Wholesale OLS model'!$B$7*E38</f>
        <v>0</v>
      </c>
      <c r="U38" s="8">
        <f>'Wholesale OLS model'!$B$8*F38</f>
        <v>82556755.110888913</v>
      </c>
      <c r="V38" s="8">
        <f>'Wholesale OLS model'!$B$9*G38</f>
        <v>-2083227.9891776938</v>
      </c>
      <c r="W38" s="8">
        <f>'Wholesale OLS model'!$B$10*H38</f>
        <v>9736578.4049444813</v>
      </c>
      <c r="X38" s="8">
        <f>'Wholesale OLS model'!$B$11*I38</f>
        <v>0</v>
      </c>
      <c r="Y38" s="8">
        <f>'Wholesale OLS model'!$B$12*J38</f>
        <v>0</v>
      </c>
      <c r="Z38" s="8">
        <f>'Wholesale OLS model'!$B$13*K38</f>
        <v>2647304.3437043098</v>
      </c>
      <c r="AA38" s="8">
        <f>'Wholesale OLS model'!$B$14*L38</f>
        <v>0</v>
      </c>
      <c r="AB38" s="8">
        <f>'Wholesale OLS model'!$B$15*M38</f>
        <v>0</v>
      </c>
      <c r="AC38" s="8">
        <f>'Wholesale OLS model'!$B$16*N38</f>
        <v>0</v>
      </c>
      <c r="AD38" s="8">
        <f>'Wholesale OLS model'!$B$17*O38</f>
        <v>0</v>
      </c>
      <c r="AE38" s="8">
        <f t="shared" ca="1" si="0"/>
        <v>52384048.164242752</v>
      </c>
    </row>
    <row r="39" spans="1:31" x14ac:dyDescent="0.2">
      <c r="A39" s="99">
        <f>'Wholesale Predicted Monthly'!A39</f>
        <v>40940</v>
      </c>
      <c r="B39">
        <f>'Wholesale Predicted Monthly'!B39</f>
        <v>2012</v>
      </c>
      <c r="C39">
        <f>'Wholesale Predicted Monthly'!C39</f>
        <v>46640086</v>
      </c>
      <c r="D39">
        <f t="shared" ca="1" si="1"/>
        <v>660.08</v>
      </c>
      <c r="E39">
        <f t="shared" ca="1" si="2"/>
        <v>0</v>
      </c>
      <c r="F39">
        <f>'Wholesale Predicted Monthly'!F39</f>
        <v>6598</v>
      </c>
      <c r="G39">
        <f>'Wholesale Predicted Monthly'!G39</f>
        <v>38</v>
      </c>
      <c r="H39">
        <f>'Wholesale Predicted Monthly'!H39</f>
        <v>20</v>
      </c>
      <c r="I39">
        <f>'Wholesale Predicted Monthly'!I39</f>
        <v>0</v>
      </c>
      <c r="J39">
        <f>'Wholesale Predicted Monthly'!J39</f>
        <v>0</v>
      </c>
      <c r="K39">
        <f>'Wholesale Predicted Monthly'!K39</f>
        <v>0</v>
      </c>
      <c r="L39">
        <f>'Wholesale Predicted Monthly'!L39</f>
        <v>0</v>
      </c>
      <c r="M39">
        <f>'Wholesale Predicted Monthly'!M39</f>
        <v>0</v>
      </c>
      <c r="N39">
        <f>'Wholesale Predicted Monthly'!N39</f>
        <v>0</v>
      </c>
      <c r="O39">
        <f>'Wholesale Predicted Monthly'!O39</f>
        <v>0</v>
      </c>
      <c r="Q39" s="8">
        <f>'Wholesale OLS model'!$B$5</f>
        <v>-50878161.758948997</v>
      </c>
      <c r="R39" s="8">
        <f>-'Combined Monthly Data'!G39</f>
        <v>-485148.13972894981</v>
      </c>
      <c r="S39" s="8">
        <f ca="1">'Wholesale OLS model'!$B$6*D39</f>
        <v>10467374.913306247</v>
      </c>
      <c r="T39" s="8">
        <f ca="1">'Wholesale OLS model'!$B$7*E39</f>
        <v>0</v>
      </c>
      <c r="U39" s="8">
        <f>'Wholesale OLS model'!$B$8*F39</f>
        <v>82085243.934002191</v>
      </c>
      <c r="V39" s="8">
        <f>'Wholesale OLS model'!$B$9*G39</f>
        <v>-2139531.4483446586</v>
      </c>
      <c r="W39" s="8">
        <f>'Wholesale OLS model'!$B$10*H39</f>
        <v>9272931.8142328393</v>
      </c>
      <c r="X39" s="8">
        <f>'Wholesale OLS model'!$B$11*I39</f>
        <v>0</v>
      </c>
      <c r="Y39" s="8">
        <f>'Wholesale OLS model'!$B$12*J39</f>
        <v>0</v>
      </c>
      <c r="Z39" s="8">
        <f>'Wholesale OLS model'!$B$13*K39</f>
        <v>0</v>
      </c>
      <c r="AA39" s="8">
        <f>'Wholesale OLS model'!$B$14*L39</f>
        <v>0</v>
      </c>
      <c r="AB39" s="8">
        <f>'Wholesale OLS model'!$B$15*M39</f>
        <v>0</v>
      </c>
      <c r="AC39" s="8">
        <f>'Wholesale OLS model'!$B$16*N39</f>
        <v>0</v>
      </c>
      <c r="AD39" s="8">
        <f>'Wholesale OLS model'!$B$17*O39</f>
        <v>0</v>
      </c>
      <c r="AE39" s="8">
        <f t="shared" ca="1" si="0"/>
        <v>48322709.314518683</v>
      </c>
    </row>
    <row r="40" spans="1:31" x14ac:dyDescent="0.2">
      <c r="A40" s="99">
        <f>'Wholesale Predicted Monthly'!A40</f>
        <v>40969</v>
      </c>
      <c r="B40">
        <f>'Wholesale Predicted Monthly'!B40</f>
        <v>2012</v>
      </c>
      <c r="C40">
        <f>'Wholesale Predicted Monthly'!C40</f>
        <v>45723583</v>
      </c>
      <c r="D40">
        <f t="shared" ca="1" si="1"/>
        <v>543.44000000000005</v>
      </c>
      <c r="E40">
        <f t="shared" ca="1" si="2"/>
        <v>0.24</v>
      </c>
      <c r="F40">
        <f>'Wholesale Predicted Monthly'!F40</f>
        <v>6569.8</v>
      </c>
      <c r="G40">
        <f>'Wholesale Predicted Monthly'!G40</f>
        <v>39</v>
      </c>
      <c r="H40">
        <f>'Wholesale Predicted Monthly'!H40</f>
        <v>22</v>
      </c>
      <c r="I40">
        <f>'Wholesale Predicted Monthly'!I40</f>
        <v>0</v>
      </c>
      <c r="J40">
        <f>'Wholesale Predicted Monthly'!J40</f>
        <v>0</v>
      </c>
      <c r="K40">
        <f>'Wholesale Predicted Monthly'!K40</f>
        <v>0</v>
      </c>
      <c r="L40">
        <f>'Wholesale Predicted Monthly'!L40</f>
        <v>1</v>
      </c>
      <c r="M40">
        <f>'Wholesale Predicted Monthly'!M40</f>
        <v>0</v>
      </c>
      <c r="N40">
        <f>'Wholesale Predicted Monthly'!N40</f>
        <v>0</v>
      </c>
      <c r="O40">
        <f>'Wholesale Predicted Monthly'!O40</f>
        <v>0</v>
      </c>
      <c r="Q40" s="8">
        <f>'Wholesale OLS model'!$B$5</f>
        <v>-50878161.758948997</v>
      </c>
      <c r="R40" s="8">
        <f>-'Combined Monthly Data'!G40</f>
        <v>-498908.96403091244</v>
      </c>
      <c r="S40" s="8">
        <f ca="1">'Wholesale OLS model'!$B$6*D40</f>
        <v>8617728.4918300007</v>
      </c>
      <c r="T40" s="8">
        <f ca="1">'Wholesale OLS model'!$B$7*E40</f>
        <v>22639.977620703648</v>
      </c>
      <c r="U40" s="8">
        <f>'Wholesale OLS model'!$B$8*F40</f>
        <v>81734409.760170907</v>
      </c>
      <c r="V40" s="8">
        <f>'Wholesale OLS model'!$B$9*G40</f>
        <v>-2195834.9075116231</v>
      </c>
      <c r="W40" s="8">
        <f>'Wholesale OLS model'!$B$10*H40</f>
        <v>10200224.995656123</v>
      </c>
      <c r="X40" s="8">
        <f>'Wholesale OLS model'!$B$11*I40</f>
        <v>0</v>
      </c>
      <c r="Y40" s="8">
        <f>'Wholesale OLS model'!$B$12*J40</f>
        <v>0</v>
      </c>
      <c r="Z40" s="8">
        <f>'Wholesale OLS model'!$B$13*K40</f>
        <v>0</v>
      </c>
      <c r="AA40" s="8">
        <f>'Wholesale OLS model'!$B$14*L40</f>
        <v>1640135.6856942801</v>
      </c>
      <c r="AB40" s="8">
        <f>'Wholesale OLS model'!$B$15*M40</f>
        <v>0</v>
      </c>
      <c r="AC40" s="8">
        <f>'Wholesale OLS model'!$B$16*N40</f>
        <v>0</v>
      </c>
      <c r="AD40" s="8">
        <f>'Wholesale OLS model'!$B$17*O40</f>
        <v>0</v>
      </c>
      <c r="AE40" s="8">
        <f t="shared" ca="1" si="0"/>
        <v>48642233.280480482</v>
      </c>
    </row>
    <row r="41" spans="1:31" x14ac:dyDescent="0.2">
      <c r="A41" s="99">
        <f>'Wholesale Predicted Monthly'!A41</f>
        <v>41000</v>
      </c>
      <c r="B41">
        <f>'Wholesale Predicted Monthly'!B41</f>
        <v>2012</v>
      </c>
      <c r="C41">
        <f>'Wholesale Predicted Monthly'!C41</f>
        <v>42394150</v>
      </c>
      <c r="D41">
        <f t="shared" ca="1" si="1"/>
        <v>313.53000000000003</v>
      </c>
      <c r="E41">
        <f t="shared" ca="1" si="2"/>
        <v>17.5</v>
      </c>
      <c r="F41">
        <f>'Wholesale Predicted Monthly'!F41</f>
        <v>6603.3</v>
      </c>
      <c r="G41">
        <f>'Wholesale Predicted Monthly'!G41</f>
        <v>40</v>
      </c>
      <c r="H41">
        <f>'Wholesale Predicted Monthly'!H41</f>
        <v>19</v>
      </c>
      <c r="I41">
        <f>'Wholesale Predicted Monthly'!I41</f>
        <v>0</v>
      </c>
      <c r="J41">
        <f>'Wholesale Predicted Monthly'!J41</f>
        <v>0</v>
      </c>
      <c r="K41">
        <f>'Wholesale Predicted Monthly'!K41</f>
        <v>0</v>
      </c>
      <c r="L41">
        <f>'Wholesale Predicted Monthly'!L41</f>
        <v>0</v>
      </c>
      <c r="M41">
        <f>'Wholesale Predicted Monthly'!M41</f>
        <v>0</v>
      </c>
      <c r="N41">
        <f>'Wholesale Predicted Monthly'!N41</f>
        <v>0</v>
      </c>
      <c r="O41">
        <f>'Wholesale Predicted Monthly'!O41</f>
        <v>0</v>
      </c>
      <c r="Q41" s="8">
        <f>'Wholesale OLS model'!$B$5</f>
        <v>-50878161.758948997</v>
      </c>
      <c r="R41" s="8">
        <f>-'Combined Monthly Data'!G41</f>
        <v>-512669.788332875</v>
      </c>
      <c r="S41" s="8">
        <f ca="1">'Wholesale OLS model'!$B$6*D41</f>
        <v>4971876.2219259907</v>
      </c>
      <c r="T41" s="8">
        <f ca="1">'Wholesale OLS model'!$B$7*E41</f>
        <v>1650831.701509641</v>
      </c>
      <c r="U41" s="8">
        <f>'Wholesale OLS model'!$B$8*F41</f>
        <v>82151180.853197441</v>
      </c>
      <c r="V41" s="8">
        <f>'Wholesale OLS model'!$B$9*G41</f>
        <v>-2252138.3666785881</v>
      </c>
      <c r="W41" s="8">
        <f>'Wholesale OLS model'!$B$10*H41</f>
        <v>8809285.2235211972</v>
      </c>
      <c r="X41" s="8">
        <f>'Wholesale OLS model'!$B$11*I41</f>
        <v>0</v>
      </c>
      <c r="Y41" s="8">
        <f>'Wholesale OLS model'!$B$12*J41</f>
        <v>0</v>
      </c>
      <c r="Z41" s="8">
        <f>'Wholesale OLS model'!$B$13*K41</f>
        <v>0</v>
      </c>
      <c r="AA41" s="8">
        <f>'Wholesale OLS model'!$B$14*L41</f>
        <v>0</v>
      </c>
      <c r="AB41" s="8">
        <f>'Wholesale OLS model'!$B$15*M41</f>
        <v>0</v>
      </c>
      <c r="AC41" s="8">
        <f>'Wholesale OLS model'!$B$16*N41</f>
        <v>0</v>
      </c>
      <c r="AD41" s="8">
        <f>'Wholesale OLS model'!$B$17*O41</f>
        <v>0</v>
      </c>
      <c r="AE41" s="8">
        <f t="shared" ca="1" si="0"/>
        <v>43940204.086193807</v>
      </c>
    </row>
    <row r="42" spans="1:31" x14ac:dyDescent="0.2">
      <c r="A42" s="99">
        <f>'Wholesale Predicted Monthly'!A42</f>
        <v>41030</v>
      </c>
      <c r="B42">
        <f>'Wholesale Predicted Monthly'!B42</f>
        <v>2012</v>
      </c>
      <c r="C42">
        <f>'Wholesale Predicted Monthly'!C42</f>
        <v>44171430</v>
      </c>
      <c r="D42">
        <f t="shared" ca="1" si="1"/>
        <v>134.15000000000003</v>
      </c>
      <c r="E42">
        <f t="shared" ca="1" si="2"/>
        <v>73.010000000000019</v>
      </c>
      <c r="F42">
        <f>'Wholesale Predicted Monthly'!F42</f>
        <v>6658.1</v>
      </c>
      <c r="G42">
        <f>'Wholesale Predicted Monthly'!G42</f>
        <v>41</v>
      </c>
      <c r="H42">
        <f>'Wholesale Predicted Monthly'!H42</f>
        <v>22</v>
      </c>
      <c r="I42">
        <f>'Wholesale Predicted Monthly'!I42</f>
        <v>0</v>
      </c>
      <c r="J42">
        <f>'Wholesale Predicted Monthly'!J42</f>
        <v>0</v>
      </c>
      <c r="K42">
        <f>'Wholesale Predicted Monthly'!K42</f>
        <v>0</v>
      </c>
      <c r="L42">
        <f>'Wholesale Predicted Monthly'!L42</f>
        <v>0</v>
      </c>
      <c r="M42">
        <f>'Wholesale Predicted Monthly'!M42</f>
        <v>0</v>
      </c>
      <c r="N42">
        <f>'Wholesale Predicted Monthly'!N42</f>
        <v>0</v>
      </c>
      <c r="O42">
        <f>'Wholesale Predicted Monthly'!O42</f>
        <v>0</v>
      </c>
      <c r="Q42" s="8">
        <f>'Wholesale OLS model'!$B$5</f>
        <v>-50878161.758948997</v>
      </c>
      <c r="R42" s="8">
        <f>-'Combined Monthly Data'!G42</f>
        <v>-526430.61263483763</v>
      </c>
      <c r="S42" s="8">
        <f ca="1">'Wholesale OLS model'!$B$6*D42</f>
        <v>2127315.3930130186</v>
      </c>
      <c r="T42" s="8">
        <f ca="1">'Wholesale OLS model'!$B$7*E42</f>
        <v>6887269.8586982237</v>
      </c>
      <c r="U42" s="8">
        <f>'Wholesale OLS model'!$B$8*F42</f>
        <v>82832943.71581994</v>
      </c>
      <c r="V42" s="8">
        <f>'Wholesale OLS model'!$B$9*G42</f>
        <v>-2308441.8258455526</v>
      </c>
      <c r="W42" s="8">
        <f>'Wholesale OLS model'!$B$10*H42</f>
        <v>10200224.995656123</v>
      </c>
      <c r="X42" s="8">
        <f>'Wholesale OLS model'!$B$11*I42</f>
        <v>0</v>
      </c>
      <c r="Y42" s="8">
        <f>'Wholesale OLS model'!$B$12*J42</f>
        <v>0</v>
      </c>
      <c r="Z42" s="8">
        <f>'Wholesale OLS model'!$B$13*K42</f>
        <v>0</v>
      </c>
      <c r="AA42" s="8">
        <f>'Wholesale OLS model'!$B$14*L42</f>
        <v>0</v>
      </c>
      <c r="AB42" s="8">
        <f>'Wholesale OLS model'!$B$15*M42</f>
        <v>0</v>
      </c>
      <c r="AC42" s="8">
        <f>'Wholesale OLS model'!$B$16*N42</f>
        <v>0</v>
      </c>
      <c r="AD42" s="8">
        <f>'Wholesale OLS model'!$B$17*O42</f>
        <v>0</v>
      </c>
      <c r="AE42" s="8">
        <f t="shared" ca="1" si="0"/>
        <v>48334719.765757918</v>
      </c>
    </row>
    <row r="43" spans="1:31" x14ac:dyDescent="0.2">
      <c r="A43" s="99">
        <f>'Wholesale Predicted Monthly'!A43</f>
        <v>41061</v>
      </c>
      <c r="B43">
        <f>'Wholesale Predicted Monthly'!B43</f>
        <v>2012</v>
      </c>
      <c r="C43">
        <f>'Wholesale Predicted Monthly'!C43</f>
        <v>47092604</v>
      </c>
      <c r="D43">
        <f t="shared" ca="1" si="1"/>
        <v>28.409999999999997</v>
      </c>
      <c r="E43">
        <f t="shared" ca="1" si="2"/>
        <v>106.29</v>
      </c>
      <c r="F43">
        <f>'Wholesale Predicted Monthly'!F43</f>
        <v>6737.2</v>
      </c>
      <c r="G43">
        <f>'Wholesale Predicted Monthly'!G43</f>
        <v>42</v>
      </c>
      <c r="H43">
        <f>'Wholesale Predicted Monthly'!H43</f>
        <v>21</v>
      </c>
      <c r="I43">
        <f>'Wholesale Predicted Monthly'!I43</f>
        <v>0</v>
      </c>
      <c r="J43">
        <f>'Wholesale Predicted Monthly'!J43</f>
        <v>0</v>
      </c>
      <c r="K43">
        <f>'Wholesale Predicted Monthly'!K43</f>
        <v>0</v>
      </c>
      <c r="L43">
        <f>'Wholesale Predicted Monthly'!L43</f>
        <v>0</v>
      </c>
      <c r="M43">
        <f>'Wholesale Predicted Monthly'!M43</f>
        <v>0</v>
      </c>
      <c r="N43">
        <f>'Wholesale Predicted Monthly'!N43</f>
        <v>0</v>
      </c>
      <c r="O43">
        <f>'Wholesale Predicted Monthly'!O43</f>
        <v>0</v>
      </c>
      <c r="Q43" s="8">
        <f>'Wholesale OLS model'!$B$5</f>
        <v>-50878161.758948997</v>
      </c>
      <c r="R43" s="8">
        <f>-'Combined Monthly Data'!G43</f>
        <v>-540191.43693680025</v>
      </c>
      <c r="S43" s="8">
        <f ca="1">'Wholesale OLS model'!$B$6*D43</f>
        <v>450518.30276183254</v>
      </c>
      <c r="T43" s="8">
        <f ca="1">'Wholesale OLS model'!$B$7*E43</f>
        <v>10026680.088769129</v>
      </c>
      <c r="U43" s="8">
        <f>'Wholesale OLS model'!$B$8*F43</f>
        <v>83817021.132488564</v>
      </c>
      <c r="V43" s="8">
        <f>'Wholesale OLS model'!$B$9*G43</f>
        <v>-2364745.2850125171</v>
      </c>
      <c r="W43" s="8">
        <f>'Wholesale OLS model'!$B$10*H43</f>
        <v>9736578.4049444813</v>
      </c>
      <c r="X43" s="8">
        <f>'Wholesale OLS model'!$B$11*I43</f>
        <v>0</v>
      </c>
      <c r="Y43" s="8">
        <f>'Wholesale OLS model'!$B$12*J43</f>
        <v>0</v>
      </c>
      <c r="Z43" s="8">
        <f>'Wholesale OLS model'!$B$13*K43</f>
        <v>0</v>
      </c>
      <c r="AA43" s="8">
        <f>'Wholesale OLS model'!$B$14*L43</f>
        <v>0</v>
      </c>
      <c r="AB43" s="8">
        <f>'Wholesale OLS model'!$B$15*M43</f>
        <v>0</v>
      </c>
      <c r="AC43" s="8">
        <f>'Wholesale OLS model'!$B$16*N43</f>
        <v>0</v>
      </c>
      <c r="AD43" s="8">
        <f>'Wholesale OLS model'!$B$17*O43</f>
        <v>0</v>
      </c>
      <c r="AE43" s="8">
        <f t="shared" ca="1" si="0"/>
        <v>50247699.448065683</v>
      </c>
    </row>
    <row r="44" spans="1:31" x14ac:dyDescent="0.2">
      <c r="A44" s="99">
        <f>'Wholesale Predicted Monthly'!A44</f>
        <v>41091</v>
      </c>
      <c r="B44">
        <f>'Wholesale Predicted Monthly'!B44</f>
        <v>2012</v>
      </c>
      <c r="C44">
        <f>'Wholesale Predicted Monthly'!C44</f>
        <v>56616415</v>
      </c>
      <c r="D44">
        <f t="shared" ca="1" si="1"/>
        <v>5.84</v>
      </c>
      <c r="E44">
        <f t="shared" ca="1" si="2"/>
        <v>81.070000000000007</v>
      </c>
      <c r="F44">
        <f>'Wholesale Predicted Monthly'!F44</f>
        <v>6778.6</v>
      </c>
      <c r="G44">
        <f>'Wholesale Predicted Monthly'!G44</f>
        <v>43</v>
      </c>
      <c r="H44">
        <f>'Wholesale Predicted Monthly'!H44</f>
        <v>21</v>
      </c>
      <c r="I44">
        <f>'Wholesale Predicted Monthly'!I44</f>
        <v>0</v>
      </c>
      <c r="J44">
        <f>'Wholesale Predicted Monthly'!J44</f>
        <v>0</v>
      </c>
      <c r="K44">
        <f>'Wholesale Predicted Monthly'!K44</f>
        <v>0</v>
      </c>
      <c r="L44">
        <f>'Wholesale Predicted Monthly'!L44</f>
        <v>0</v>
      </c>
      <c r="M44">
        <f>'Wholesale Predicted Monthly'!M44</f>
        <v>1</v>
      </c>
      <c r="N44">
        <f>'Wholesale Predicted Monthly'!N44</f>
        <v>0</v>
      </c>
      <c r="O44">
        <f>'Wholesale Predicted Monthly'!O44</f>
        <v>0</v>
      </c>
      <c r="Q44" s="8">
        <f>'Wholesale OLS model'!$B$5</f>
        <v>-50878161.758948997</v>
      </c>
      <c r="R44" s="8">
        <f>-'Combined Monthly Data'!G44</f>
        <v>-553952.26123876299</v>
      </c>
      <c r="S44" s="8">
        <f ca="1">'Wholesale OLS model'!$B$6*D44</f>
        <v>92609.182968289417</v>
      </c>
      <c r="T44" s="8">
        <f ca="1">'Wholesale OLS model'!$B$7*E44</f>
        <v>7647595.7737935204</v>
      </c>
      <c r="U44" s="8">
        <f>'Wholesale OLS model'!$B$8*F44</f>
        <v>84332075.557900459</v>
      </c>
      <c r="V44" s="8">
        <f>'Wholesale OLS model'!$B$9*G44</f>
        <v>-2421048.7441794821</v>
      </c>
      <c r="W44" s="8">
        <f>'Wholesale OLS model'!$B$10*H44</f>
        <v>9736578.4049444813</v>
      </c>
      <c r="X44" s="8">
        <f>'Wholesale OLS model'!$B$11*I44</f>
        <v>0</v>
      </c>
      <c r="Y44" s="8">
        <f>'Wholesale OLS model'!$B$12*J44</f>
        <v>0</v>
      </c>
      <c r="Z44" s="8">
        <f>'Wholesale OLS model'!$B$13*K44</f>
        <v>0</v>
      </c>
      <c r="AA44" s="8">
        <f>'Wholesale OLS model'!$B$14*L44</f>
        <v>0</v>
      </c>
      <c r="AB44" s="8">
        <f>'Wholesale OLS model'!$B$15*M44</f>
        <v>2370057.8473386201</v>
      </c>
      <c r="AC44" s="8">
        <f>'Wholesale OLS model'!$B$16*N44</f>
        <v>0</v>
      </c>
      <c r="AD44" s="8">
        <f>'Wholesale OLS model'!$B$17*O44</f>
        <v>0</v>
      </c>
      <c r="AE44" s="8">
        <f t="shared" ca="1" si="0"/>
        <v>50325754.002578124</v>
      </c>
    </row>
    <row r="45" spans="1:31" x14ac:dyDescent="0.2">
      <c r="A45" s="99">
        <f>'Wholesale Predicted Monthly'!A45</f>
        <v>41122</v>
      </c>
      <c r="B45">
        <f>'Wholesale Predicted Monthly'!B45</f>
        <v>2012</v>
      </c>
      <c r="C45">
        <f>'Wholesale Predicted Monthly'!C45</f>
        <v>53263093</v>
      </c>
      <c r="D45">
        <f t="shared" ca="1" si="1"/>
        <v>10.420000000000002</v>
      </c>
      <c r="E45">
        <f t="shared" ca="1" si="2"/>
        <v>31.57</v>
      </c>
      <c r="F45">
        <f>'Wholesale Predicted Monthly'!F45</f>
        <v>6797.9</v>
      </c>
      <c r="G45">
        <f>'Wholesale Predicted Monthly'!G45</f>
        <v>44</v>
      </c>
      <c r="H45">
        <f>'Wholesale Predicted Monthly'!H45</f>
        <v>22</v>
      </c>
      <c r="I45">
        <f>'Wholesale Predicted Monthly'!I45</f>
        <v>0</v>
      </c>
      <c r="J45">
        <f>'Wholesale Predicted Monthly'!J45</f>
        <v>0</v>
      </c>
      <c r="K45">
        <f>'Wholesale Predicted Monthly'!K45</f>
        <v>0</v>
      </c>
      <c r="L45">
        <f>'Wholesale Predicted Monthly'!L45</f>
        <v>0</v>
      </c>
      <c r="M45">
        <f>'Wholesale Predicted Monthly'!M45</f>
        <v>0</v>
      </c>
      <c r="N45">
        <f>'Wholesale Predicted Monthly'!N45</f>
        <v>1</v>
      </c>
      <c r="O45">
        <f>'Wholesale Predicted Monthly'!O45</f>
        <v>0</v>
      </c>
      <c r="Q45" s="8">
        <f>'Wholesale OLS model'!$B$5</f>
        <v>-50878161.758948997</v>
      </c>
      <c r="R45" s="8">
        <f>-'Combined Monthly Data'!G45</f>
        <v>-567713.08554072562</v>
      </c>
      <c r="S45" s="8">
        <f ca="1">'Wholesale OLS model'!$B$6*D45</f>
        <v>165237.61755643424</v>
      </c>
      <c r="T45" s="8">
        <f ca="1">'Wholesale OLS model'!$B$7*E45</f>
        <v>2978100.3895233925</v>
      </c>
      <c r="U45" s="8">
        <f>'Wholesale OLS model'!$B$8*F45</f>
        <v>84572185.471196339</v>
      </c>
      <c r="V45" s="8">
        <f>'Wholesale OLS model'!$B$9*G45</f>
        <v>-2477352.2033464466</v>
      </c>
      <c r="W45" s="8">
        <f>'Wholesale OLS model'!$B$10*H45</f>
        <v>10200224.995656123</v>
      </c>
      <c r="X45" s="8">
        <f>'Wholesale OLS model'!$B$11*I45</f>
        <v>0</v>
      </c>
      <c r="Y45" s="8">
        <f>'Wholesale OLS model'!$B$12*J45</f>
        <v>0</v>
      </c>
      <c r="Z45" s="8">
        <f>'Wholesale OLS model'!$B$13*K45</f>
        <v>0</v>
      </c>
      <c r="AA45" s="8">
        <f>'Wholesale OLS model'!$B$14*L45</f>
        <v>0</v>
      </c>
      <c r="AB45" s="8">
        <f>'Wholesale OLS model'!$B$15*M45</f>
        <v>0</v>
      </c>
      <c r="AC45" s="8">
        <f>'Wholesale OLS model'!$B$16*N45</f>
        <v>3743904.46078429</v>
      </c>
      <c r="AD45" s="8">
        <f>'Wholesale OLS model'!$B$17*O45</f>
        <v>0</v>
      </c>
      <c r="AE45" s="8">
        <f t="shared" ca="1" si="0"/>
        <v>47736425.886880413</v>
      </c>
    </row>
    <row r="46" spans="1:31" x14ac:dyDescent="0.2">
      <c r="A46" s="99">
        <f>'Wholesale Predicted Monthly'!A46</f>
        <v>41153</v>
      </c>
      <c r="B46">
        <f>'Wholesale Predicted Monthly'!B46</f>
        <v>2012</v>
      </c>
      <c r="C46">
        <f>'Wholesale Predicted Monthly'!C46</f>
        <v>44675834</v>
      </c>
      <c r="D46">
        <f t="shared" ref="D46:D77" ca="1" si="3">D34</f>
        <v>69.52000000000001</v>
      </c>
      <c r="E46">
        <f t="shared" ca="1" si="2"/>
        <v>3.6300000000000003</v>
      </c>
      <c r="F46">
        <f>'Wholesale Predicted Monthly'!F46</f>
        <v>6763.1</v>
      </c>
      <c r="G46">
        <f>'Wholesale Predicted Monthly'!G46</f>
        <v>45</v>
      </c>
      <c r="H46">
        <f>'Wholesale Predicted Monthly'!H46</f>
        <v>19</v>
      </c>
      <c r="I46">
        <f>'Wholesale Predicted Monthly'!I46</f>
        <v>0</v>
      </c>
      <c r="J46">
        <f>'Wholesale Predicted Monthly'!J46</f>
        <v>0</v>
      </c>
      <c r="K46">
        <f>'Wholesale Predicted Monthly'!K46</f>
        <v>0</v>
      </c>
      <c r="L46">
        <f>'Wholesale Predicted Monthly'!L46</f>
        <v>0</v>
      </c>
      <c r="M46">
        <f>'Wholesale Predicted Monthly'!M46</f>
        <v>0</v>
      </c>
      <c r="N46">
        <f>'Wholesale Predicted Monthly'!N46</f>
        <v>0</v>
      </c>
      <c r="O46">
        <f>'Wholesale Predicted Monthly'!O46</f>
        <v>0</v>
      </c>
      <c r="Q46" s="8">
        <f>'Wholesale OLS model'!$B$5</f>
        <v>-50878161.758948997</v>
      </c>
      <c r="R46" s="8">
        <f>-'Combined Monthly Data'!G46</f>
        <v>-581473.90984268812</v>
      </c>
      <c r="S46" s="8">
        <f ca="1">'Wholesale OLS model'!$B$6*D46</f>
        <v>1102429.8630060756</v>
      </c>
      <c r="T46" s="8">
        <f ca="1">'Wholesale OLS model'!$B$7*E46</f>
        <v>342429.6615131427</v>
      </c>
      <c r="U46" s="8">
        <f>'Wholesale OLS model'!$B$8*F46</f>
        <v>84139241.171574757</v>
      </c>
      <c r="V46" s="8">
        <f>'Wholesale OLS model'!$B$9*G46</f>
        <v>-2533655.6625134116</v>
      </c>
      <c r="W46" s="8">
        <f>'Wholesale OLS model'!$B$10*H46</f>
        <v>8809285.2235211972</v>
      </c>
      <c r="X46" s="8">
        <f>'Wholesale OLS model'!$B$11*I46</f>
        <v>0</v>
      </c>
      <c r="Y46" s="8">
        <f>'Wholesale OLS model'!$B$12*J46</f>
        <v>0</v>
      </c>
      <c r="Z46" s="8">
        <f>'Wholesale OLS model'!$B$13*K46</f>
        <v>0</v>
      </c>
      <c r="AA46" s="8">
        <f>'Wholesale OLS model'!$B$14*L46</f>
        <v>0</v>
      </c>
      <c r="AB46" s="8">
        <f>'Wholesale OLS model'!$B$15*M46</f>
        <v>0</v>
      </c>
      <c r="AC46" s="8">
        <f>'Wholesale OLS model'!$B$16*N46</f>
        <v>0</v>
      </c>
      <c r="AD46" s="8">
        <f>'Wholesale OLS model'!$B$17*O46</f>
        <v>0</v>
      </c>
      <c r="AE46" s="8">
        <f t="shared" ca="1" si="0"/>
        <v>40400094.588310078</v>
      </c>
    </row>
    <row r="47" spans="1:31" x14ac:dyDescent="0.2">
      <c r="A47" s="99">
        <f>'Wholesale Predicted Monthly'!A47</f>
        <v>41183</v>
      </c>
      <c r="B47">
        <f>'Wholesale Predicted Monthly'!B47</f>
        <v>2012</v>
      </c>
      <c r="C47">
        <f>'Wholesale Predicted Monthly'!C47</f>
        <v>43204216</v>
      </c>
      <c r="D47">
        <f t="shared" ca="1" si="3"/>
        <v>236.61000000000004</v>
      </c>
      <c r="E47">
        <f t="shared" ca="1" si="2"/>
        <v>0</v>
      </c>
      <c r="F47">
        <f>'Wholesale Predicted Monthly'!F47</f>
        <v>6740.9</v>
      </c>
      <c r="G47">
        <f>'Wholesale Predicted Monthly'!G47</f>
        <v>46</v>
      </c>
      <c r="H47">
        <f>'Wholesale Predicted Monthly'!H47</f>
        <v>22</v>
      </c>
      <c r="I47">
        <f>'Wholesale Predicted Monthly'!I47</f>
        <v>0</v>
      </c>
      <c r="J47">
        <f>'Wholesale Predicted Monthly'!J47</f>
        <v>0</v>
      </c>
      <c r="K47">
        <f>'Wholesale Predicted Monthly'!K47</f>
        <v>0</v>
      </c>
      <c r="L47">
        <f>'Wholesale Predicted Monthly'!L47</f>
        <v>0</v>
      </c>
      <c r="M47">
        <f>'Wholesale Predicted Monthly'!M47</f>
        <v>0</v>
      </c>
      <c r="N47">
        <f>'Wholesale Predicted Monthly'!N47</f>
        <v>0</v>
      </c>
      <c r="O47">
        <f>'Wholesale Predicted Monthly'!O47</f>
        <v>0</v>
      </c>
      <c r="Q47" s="8">
        <f>'Wholesale OLS model'!$B$5</f>
        <v>-50878161.758948997</v>
      </c>
      <c r="R47" s="8">
        <f>-'Combined Monthly Data'!G47</f>
        <v>-595234.73414465087</v>
      </c>
      <c r="S47" s="8">
        <f ca="1">'Wholesale OLS model'!$B$6*D47</f>
        <v>3752099.10652859</v>
      </c>
      <c r="T47" s="8">
        <f ca="1">'Wholesale OLS model'!$B$7*E47</f>
        <v>0</v>
      </c>
      <c r="U47" s="8">
        <f>'Wholesale OLS model'!$B$8*F47</f>
        <v>83863052.56664373</v>
      </c>
      <c r="V47" s="8">
        <f>'Wholesale OLS model'!$B$9*G47</f>
        <v>-2589959.1216803761</v>
      </c>
      <c r="W47" s="8">
        <f>'Wholesale OLS model'!$B$10*H47</f>
        <v>10200224.995656123</v>
      </c>
      <c r="X47" s="8">
        <f>'Wholesale OLS model'!$B$11*I47</f>
        <v>0</v>
      </c>
      <c r="Y47" s="8">
        <f>'Wholesale OLS model'!$B$12*J47</f>
        <v>0</v>
      </c>
      <c r="Z47" s="8">
        <f>'Wholesale OLS model'!$B$13*K47</f>
        <v>0</v>
      </c>
      <c r="AA47" s="8">
        <f>'Wholesale OLS model'!$B$14*L47</f>
        <v>0</v>
      </c>
      <c r="AB47" s="8">
        <f>'Wholesale OLS model'!$B$15*M47</f>
        <v>0</v>
      </c>
      <c r="AC47" s="8">
        <f>'Wholesale OLS model'!$B$16*N47</f>
        <v>0</v>
      </c>
      <c r="AD47" s="8">
        <f>'Wholesale OLS model'!$B$17*O47</f>
        <v>0</v>
      </c>
      <c r="AE47" s="8">
        <f t="shared" ca="1" si="0"/>
        <v>43752021.054054417</v>
      </c>
    </row>
    <row r="48" spans="1:31" x14ac:dyDescent="0.2">
      <c r="A48" s="99">
        <f>'Wholesale Predicted Monthly'!A48</f>
        <v>41214</v>
      </c>
      <c r="B48">
        <f>'Wholesale Predicted Monthly'!B48</f>
        <v>2012</v>
      </c>
      <c r="C48">
        <f>'Wholesale Predicted Monthly'!C48</f>
        <v>44348259</v>
      </c>
      <c r="D48">
        <f t="shared" ca="1" si="3"/>
        <v>398.34999999999997</v>
      </c>
      <c r="E48">
        <f t="shared" ca="1" si="2"/>
        <v>0</v>
      </c>
      <c r="F48">
        <f>'Wholesale Predicted Monthly'!F48</f>
        <v>6727.4</v>
      </c>
      <c r="G48">
        <f>'Wholesale Predicted Monthly'!G48</f>
        <v>47</v>
      </c>
      <c r="H48">
        <f>'Wholesale Predicted Monthly'!H48</f>
        <v>22</v>
      </c>
      <c r="I48">
        <f>'Wholesale Predicted Monthly'!I48</f>
        <v>0</v>
      </c>
      <c r="J48">
        <f>'Wholesale Predicted Monthly'!J48</f>
        <v>0</v>
      </c>
      <c r="K48">
        <f>'Wholesale Predicted Monthly'!K48</f>
        <v>0</v>
      </c>
      <c r="L48">
        <f>'Wholesale Predicted Monthly'!L48</f>
        <v>0</v>
      </c>
      <c r="M48">
        <f>'Wholesale Predicted Monthly'!M48</f>
        <v>0</v>
      </c>
      <c r="N48">
        <f>'Wholesale Predicted Monthly'!N48</f>
        <v>0</v>
      </c>
      <c r="O48">
        <f>'Wholesale Predicted Monthly'!O48</f>
        <v>1</v>
      </c>
      <c r="Q48" s="8">
        <f>'Wholesale OLS model'!$B$5</f>
        <v>-50878161.758948997</v>
      </c>
      <c r="R48" s="8">
        <f>-'Combined Monthly Data'!G48</f>
        <v>-608995.55844661349</v>
      </c>
      <c r="S48" s="8">
        <f ca="1">'Wholesale OLS model'!$B$6*D48</f>
        <v>6316929.4581195358</v>
      </c>
      <c r="T48" s="8">
        <f ca="1">'Wholesale OLS model'!$B$7*E48</f>
        <v>0</v>
      </c>
      <c r="U48" s="8">
        <f>'Wholesale OLS model'!$B$8*F48</f>
        <v>83695100.036618114</v>
      </c>
      <c r="V48" s="8">
        <f>'Wholesale OLS model'!$B$9*G48</f>
        <v>-2646262.5808473406</v>
      </c>
      <c r="W48" s="8">
        <f>'Wholesale OLS model'!$B$10*H48</f>
        <v>10200224.995656123</v>
      </c>
      <c r="X48" s="8">
        <f>'Wholesale OLS model'!$B$11*I48</f>
        <v>0</v>
      </c>
      <c r="Y48" s="8">
        <f>'Wholesale OLS model'!$B$12*J48</f>
        <v>0</v>
      </c>
      <c r="Z48" s="8">
        <f>'Wholesale OLS model'!$B$13*K48</f>
        <v>0</v>
      </c>
      <c r="AA48" s="8">
        <f>'Wholesale OLS model'!$B$14*L48</f>
        <v>0</v>
      </c>
      <c r="AB48" s="8">
        <f>'Wholesale OLS model'!$B$15*M48</f>
        <v>0</v>
      </c>
      <c r="AC48" s="8">
        <f>'Wholesale OLS model'!$B$16*N48</f>
        <v>0</v>
      </c>
      <c r="AD48" s="8">
        <f>'Wholesale OLS model'!$B$17*O48</f>
        <v>-1766353.8816768799</v>
      </c>
      <c r="AE48" s="8">
        <f t="shared" ca="1" si="0"/>
        <v>44312480.71047394</v>
      </c>
    </row>
    <row r="49" spans="1:31" x14ac:dyDescent="0.2">
      <c r="A49" s="99">
        <f>'Wholesale Predicted Monthly'!A49</f>
        <v>41244</v>
      </c>
      <c r="B49">
        <f>'Wholesale Predicted Monthly'!B49</f>
        <v>2012</v>
      </c>
      <c r="C49">
        <f>'Wholesale Predicted Monthly'!C49</f>
        <v>45553984</v>
      </c>
      <c r="D49">
        <f t="shared" ca="1" si="3"/>
        <v>558.68999999999994</v>
      </c>
      <c r="E49">
        <f t="shared" si="2"/>
        <v>0</v>
      </c>
      <c r="F49">
        <f>'Wholesale Predicted Monthly'!F49</f>
        <v>6740.2</v>
      </c>
      <c r="G49">
        <f>'Wholesale Predicted Monthly'!G49</f>
        <v>48</v>
      </c>
      <c r="H49">
        <f>'Wholesale Predicted Monthly'!H49</f>
        <v>19</v>
      </c>
      <c r="I49">
        <f>'Wholesale Predicted Monthly'!I49</f>
        <v>0</v>
      </c>
      <c r="J49">
        <f>'Wholesale Predicted Monthly'!J49</f>
        <v>0</v>
      </c>
      <c r="K49">
        <f>'Wholesale Predicted Monthly'!K49</f>
        <v>0</v>
      </c>
      <c r="L49">
        <f>'Wholesale Predicted Monthly'!L49</f>
        <v>0</v>
      </c>
      <c r="M49">
        <f>'Wholesale Predicted Monthly'!M49</f>
        <v>0</v>
      </c>
      <c r="N49">
        <f>'Wholesale Predicted Monthly'!N49</f>
        <v>0</v>
      </c>
      <c r="O49">
        <f>'Wholesale Predicted Monthly'!O49</f>
        <v>0</v>
      </c>
      <c r="Q49" s="8">
        <f>'Wholesale OLS model'!$B$5</f>
        <v>-50878161.758948997</v>
      </c>
      <c r="R49" s="8">
        <f>-'Combined Monthly Data'!G49</f>
        <v>-622756.382748576</v>
      </c>
      <c r="S49" s="8">
        <f ca="1">'Wholesale OLS model'!$B$6*D49</f>
        <v>8859558.9781769887</v>
      </c>
      <c r="T49" s="8">
        <f>'Wholesale OLS model'!$B$7*E49</f>
        <v>0</v>
      </c>
      <c r="U49" s="8">
        <f>'Wholesale OLS model'!$B$8*F49</f>
        <v>83854343.916938692</v>
      </c>
      <c r="V49" s="8">
        <f>'Wholesale OLS model'!$B$9*G49</f>
        <v>-2702566.0400143056</v>
      </c>
      <c r="W49" s="8">
        <f>'Wholesale OLS model'!$B$10*H49</f>
        <v>8809285.2235211972</v>
      </c>
      <c r="X49" s="8">
        <f>'Wholesale OLS model'!$B$11*I49</f>
        <v>0</v>
      </c>
      <c r="Y49" s="8">
        <f>'Wholesale OLS model'!$B$12*J49</f>
        <v>0</v>
      </c>
      <c r="Z49" s="8">
        <f>'Wholesale OLS model'!$B$13*K49</f>
        <v>0</v>
      </c>
      <c r="AA49" s="8">
        <f>'Wholesale OLS model'!$B$14*L49</f>
        <v>0</v>
      </c>
      <c r="AB49" s="8">
        <f>'Wholesale OLS model'!$B$15*M49</f>
        <v>0</v>
      </c>
      <c r="AC49" s="8">
        <f>'Wholesale OLS model'!$B$16*N49</f>
        <v>0</v>
      </c>
      <c r="AD49" s="8">
        <f>'Wholesale OLS model'!$B$17*O49</f>
        <v>0</v>
      </c>
      <c r="AE49" s="8">
        <f t="shared" ca="1" si="0"/>
        <v>47319703.936925001</v>
      </c>
    </row>
    <row r="50" spans="1:31" x14ac:dyDescent="0.2">
      <c r="A50" s="99">
        <f>'Wholesale Predicted Monthly'!A50</f>
        <v>41275</v>
      </c>
      <c r="B50">
        <f>'Wholesale Predicted Monthly'!B50</f>
        <v>2013</v>
      </c>
      <c r="C50">
        <f>'Wholesale Predicted Monthly'!C50</f>
        <v>50854515</v>
      </c>
      <c r="D50">
        <f t="shared" ca="1" si="3"/>
        <v>685.8599999999999</v>
      </c>
      <c r="E50">
        <f t="shared" ca="1" si="2"/>
        <v>0</v>
      </c>
      <c r="F50">
        <f>'Wholesale Predicted Monthly'!F50</f>
        <v>6721.7</v>
      </c>
      <c r="G50">
        <f>'Wholesale Predicted Monthly'!G50</f>
        <v>49</v>
      </c>
      <c r="H50">
        <f>'Wholesale Predicted Monthly'!H50</f>
        <v>22</v>
      </c>
      <c r="I50">
        <f>'Wholesale Predicted Monthly'!I50</f>
        <v>1</v>
      </c>
      <c r="J50">
        <f>'Wholesale Predicted Monthly'!J50</f>
        <v>1</v>
      </c>
      <c r="K50">
        <f>'Wholesale Predicted Monthly'!K50</f>
        <v>1</v>
      </c>
      <c r="L50">
        <f>'Wholesale Predicted Monthly'!L50</f>
        <v>0</v>
      </c>
      <c r="M50">
        <f>'Wholesale Predicted Monthly'!M50</f>
        <v>0</v>
      </c>
      <c r="N50">
        <f>'Wholesale Predicted Monthly'!N50</f>
        <v>0</v>
      </c>
      <c r="O50">
        <f>'Wholesale Predicted Monthly'!O50</f>
        <v>0</v>
      </c>
      <c r="Q50" s="8">
        <f>'Wholesale OLS model'!$B$5</f>
        <v>-50878161.758948997</v>
      </c>
      <c r="R50" s="8">
        <f>-'Combined Monthly Data'!G50</f>
        <v>-582285.64548266528</v>
      </c>
      <c r="S50" s="8">
        <f ca="1">'Wholesale OLS model'!$B$6*D50</f>
        <v>10876187.368258728</v>
      </c>
      <c r="T50" s="8">
        <f ca="1">'Wholesale OLS model'!$B$7*E50</f>
        <v>0</v>
      </c>
      <c r="U50" s="8">
        <f>'Wholesale OLS model'!$B$8*F50</f>
        <v>83624186.746162847</v>
      </c>
      <c r="V50" s="8">
        <f>'Wholesale OLS model'!$B$9*G50</f>
        <v>-2758869.4991812701</v>
      </c>
      <c r="W50" s="8">
        <f>'Wholesale OLS model'!$B$10*H50</f>
        <v>10200224.995656123</v>
      </c>
      <c r="X50" s="8">
        <f>'Wholesale OLS model'!$B$11*I50</f>
        <v>-1980487.4456003499</v>
      </c>
      <c r="Y50" s="8">
        <f>'Wholesale OLS model'!$B$12*J50</f>
        <v>-106425.175310672</v>
      </c>
      <c r="Z50" s="8">
        <f>'Wholesale OLS model'!$B$13*K50</f>
        <v>2647304.3437043098</v>
      </c>
      <c r="AA50" s="8">
        <f>'Wholesale OLS model'!$B$14*L50</f>
        <v>0</v>
      </c>
      <c r="AB50" s="8">
        <f>'Wholesale OLS model'!$B$15*M50</f>
        <v>0</v>
      </c>
      <c r="AC50" s="8">
        <f>'Wholesale OLS model'!$B$16*N50</f>
        <v>0</v>
      </c>
      <c r="AD50" s="8">
        <f>'Wholesale OLS model'!$B$17*O50</f>
        <v>0</v>
      </c>
      <c r="AE50" s="8">
        <f t="shared" ca="1" si="0"/>
        <v>51041673.929258056</v>
      </c>
    </row>
    <row r="51" spans="1:31" x14ac:dyDescent="0.2">
      <c r="A51" s="99">
        <f>'Wholesale Predicted Monthly'!A51</f>
        <v>41306</v>
      </c>
      <c r="B51">
        <f>'Wholesale Predicted Monthly'!B51</f>
        <v>2013</v>
      </c>
      <c r="C51">
        <f>'Wholesale Predicted Monthly'!C51</f>
        <v>45891597</v>
      </c>
      <c r="D51">
        <f t="shared" ca="1" si="3"/>
        <v>660.08</v>
      </c>
      <c r="E51">
        <f t="shared" ca="1" si="2"/>
        <v>0</v>
      </c>
      <c r="F51">
        <f>'Wholesale Predicted Monthly'!F51</f>
        <v>6702</v>
      </c>
      <c r="G51">
        <f>'Wholesale Predicted Monthly'!G51</f>
        <v>50</v>
      </c>
      <c r="H51">
        <f>'Wholesale Predicted Monthly'!H51</f>
        <v>19</v>
      </c>
      <c r="I51">
        <f>'Wholesale Predicted Monthly'!I51</f>
        <v>1</v>
      </c>
      <c r="J51">
        <f>'Wholesale Predicted Monthly'!J51</f>
        <v>2</v>
      </c>
      <c r="K51">
        <f>'Wholesale Predicted Monthly'!K51</f>
        <v>0</v>
      </c>
      <c r="L51">
        <f>'Wholesale Predicted Monthly'!L51</f>
        <v>0</v>
      </c>
      <c r="M51">
        <f>'Wholesale Predicted Monthly'!M51</f>
        <v>0</v>
      </c>
      <c r="N51">
        <f>'Wholesale Predicted Monthly'!N51</f>
        <v>0</v>
      </c>
      <c r="O51">
        <f>'Wholesale Predicted Monthly'!O51</f>
        <v>0</v>
      </c>
      <c r="Q51" s="8">
        <f>'Wholesale OLS model'!$B$5</f>
        <v>-50878161.758948997</v>
      </c>
      <c r="R51" s="8">
        <f>-'Combined Monthly Data'!G51</f>
        <v>-603341.36857169936</v>
      </c>
      <c r="S51" s="8">
        <f ca="1">'Wholesale OLS model'!$B$6*D51</f>
        <v>10467374.913306247</v>
      </c>
      <c r="T51" s="8">
        <f ca="1">'Wholesale OLS model'!$B$7*E51</f>
        <v>0</v>
      </c>
      <c r="U51" s="8">
        <f>'Wholesale OLS model'!$B$8*F51</f>
        <v>83379100.46160695</v>
      </c>
      <c r="V51" s="8">
        <f>'Wholesale OLS model'!$B$9*G51</f>
        <v>-2815172.9583482351</v>
      </c>
      <c r="W51" s="8">
        <f>'Wholesale OLS model'!$B$10*H51</f>
        <v>8809285.2235211972</v>
      </c>
      <c r="X51" s="8">
        <f>'Wholesale OLS model'!$B$11*I51</f>
        <v>-1980487.4456003499</v>
      </c>
      <c r="Y51" s="8">
        <f>'Wholesale OLS model'!$B$12*J51</f>
        <v>-212850.350621344</v>
      </c>
      <c r="Z51" s="8">
        <f>'Wholesale OLS model'!$B$13*K51</f>
        <v>0</v>
      </c>
      <c r="AA51" s="8">
        <f>'Wholesale OLS model'!$B$14*L51</f>
        <v>0</v>
      </c>
      <c r="AB51" s="8">
        <f>'Wholesale OLS model'!$B$15*M51</f>
        <v>0</v>
      </c>
      <c r="AC51" s="8">
        <f>'Wholesale OLS model'!$B$16*N51</f>
        <v>0</v>
      </c>
      <c r="AD51" s="8">
        <f>'Wholesale OLS model'!$B$17*O51</f>
        <v>0</v>
      </c>
      <c r="AE51" s="8">
        <f t="shared" ca="1" si="0"/>
        <v>46165746.716343768</v>
      </c>
    </row>
    <row r="52" spans="1:31" x14ac:dyDescent="0.2">
      <c r="A52" s="99">
        <f>'Wholesale Predicted Monthly'!A52</f>
        <v>41334</v>
      </c>
      <c r="B52">
        <f>'Wholesale Predicted Monthly'!B52</f>
        <v>2013</v>
      </c>
      <c r="C52">
        <f>'Wholesale Predicted Monthly'!C52</f>
        <v>45408057</v>
      </c>
      <c r="D52">
        <f t="shared" ca="1" si="3"/>
        <v>543.44000000000005</v>
      </c>
      <c r="E52">
        <f t="shared" ca="1" si="2"/>
        <v>0.24</v>
      </c>
      <c r="F52">
        <f>'Wholesale Predicted Monthly'!F52</f>
        <v>6675.8</v>
      </c>
      <c r="G52">
        <f>'Wholesale Predicted Monthly'!G52</f>
        <v>51</v>
      </c>
      <c r="H52">
        <f>'Wholesale Predicted Monthly'!H52</f>
        <v>19</v>
      </c>
      <c r="I52">
        <f>'Wholesale Predicted Monthly'!I52</f>
        <v>1</v>
      </c>
      <c r="J52">
        <f>'Wholesale Predicted Monthly'!J52</f>
        <v>3</v>
      </c>
      <c r="K52">
        <f>'Wholesale Predicted Monthly'!K52</f>
        <v>0</v>
      </c>
      <c r="L52">
        <f>'Wholesale Predicted Monthly'!L52</f>
        <v>1</v>
      </c>
      <c r="M52">
        <f>'Wholesale Predicted Monthly'!M52</f>
        <v>0</v>
      </c>
      <c r="N52">
        <f>'Wholesale Predicted Monthly'!N52</f>
        <v>0</v>
      </c>
      <c r="O52">
        <f>'Wholesale Predicted Monthly'!O52</f>
        <v>0</v>
      </c>
      <c r="Q52" s="8">
        <f>'Wholesale OLS model'!$B$5</f>
        <v>-50878161.758948997</v>
      </c>
      <c r="R52" s="8">
        <f>-'Combined Monthly Data'!G52</f>
        <v>-624397.09166073345</v>
      </c>
      <c r="S52" s="8">
        <f ca="1">'Wholesale OLS model'!$B$6*D52</f>
        <v>8617728.4918300007</v>
      </c>
      <c r="T52" s="8">
        <f ca="1">'Wholesale OLS model'!$B$7*E52</f>
        <v>22639.977620703648</v>
      </c>
      <c r="U52" s="8">
        <f>'Wholesale OLS model'!$B$8*F52</f>
        <v>83053148.144075751</v>
      </c>
      <c r="V52" s="8">
        <f>'Wholesale OLS model'!$B$9*G52</f>
        <v>-2871476.4175151996</v>
      </c>
      <c r="W52" s="8">
        <f>'Wholesale OLS model'!$B$10*H52</f>
        <v>8809285.2235211972</v>
      </c>
      <c r="X52" s="8">
        <f>'Wholesale OLS model'!$B$11*I52</f>
        <v>-1980487.4456003499</v>
      </c>
      <c r="Y52" s="8">
        <f>'Wholesale OLS model'!$B$12*J52</f>
        <v>-319275.52593201597</v>
      </c>
      <c r="Z52" s="8">
        <f>'Wholesale OLS model'!$B$13*K52</f>
        <v>0</v>
      </c>
      <c r="AA52" s="8">
        <f>'Wholesale OLS model'!$B$14*L52</f>
        <v>1640135.6856942801</v>
      </c>
      <c r="AB52" s="8">
        <f>'Wholesale OLS model'!$B$15*M52</f>
        <v>0</v>
      </c>
      <c r="AC52" s="8">
        <f>'Wholesale OLS model'!$B$16*N52</f>
        <v>0</v>
      </c>
      <c r="AD52" s="8">
        <f>'Wholesale OLS model'!$B$17*O52</f>
        <v>0</v>
      </c>
      <c r="AE52" s="8">
        <f t="shared" ca="1" si="0"/>
        <v>45469139.283084631</v>
      </c>
    </row>
    <row r="53" spans="1:31" x14ac:dyDescent="0.2">
      <c r="A53" s="99">
        <f>'Wholesale Predicted Monthly'!A53</f>
        <v>41365</v>
      </c>
      <c r="B53">
        <f>'Wholesale Predicted Monthly'!B53</f>
        <v>2013</v>
      </c>
      <c r="C53">
        <f>'Wholesale Predicted Monthly'!C53</f>
        <v>40508543</v>
      </c>
      <c r="D53">
        <f t="shared" ca="1" si="3"/>
        <v>313.53000000000003</v>
      </c>
      <c r="E53">
        <f t="shared" ca="1" si="2"/>
        <v>17.5</v>
      </c>
      <c r="F53">
        <f>'Wholesale Predicted Monthly'!F53</f>
        <v>6703.7</v>
      </c>
      <c r="G53">
        <f>'Wholesale Predicted Monthly'!G53</f>
        <v>52</v>
      </c>
      <c r="H53">
        <f>'Wholesale Predicted Monthly'!H53</f>
        <v>22</v>
      </c>
      <c r="I53">
        <f>'Wholesale Predicted Monthly'!I53</f>
        <v>1</v>
      </c>
      <c r="J53">
        <f>'Wholesale Predicted Monthly'!J53</f>
        <v>4</v>
      </c>
      <c r="K53">
        <f>'Wholesale Predicted Monthly'!K53</f>
        <v>0</v>
      </c>
      <c r="L53">
        <f>'Wholesale Predicted Monthly'!L53</f>
        <v>0</v>
      </c>
      <c r="M53">
        <f>'Wholesale Predicted Monthly'!M53</f>
        <v>0</v>
      </c>
      <c r="N53">
        <f>'Wholesale Predicted Monthly'!N53</f>
        <v>0</v>
      </c>
      <c r="O53">
        <f>'Wholesale Predicted Monthly'!O53</f>
        <v>0</v>
      </c>
      <c r="Q53" s="8">
        <f>'Wholesale OLS model'!$B$5</f>
        <v>-50878161.758948997</v>
      </c>
      <c r="R53" s="8">
        <f>-'Combined Monthly Data'!G53</f>
        <v>-645452.81474976765</v>
      </c>
      <c r="S53" s="8">
        <f ca="1">'Wholesale OLS model'!$B$6*D53</f>
        <v>4971876.2219259907</v>
      </c>
      <c r="T53" s="8">
        <f ca="1">'Wholesale OLS model'!$B$7*E53</f>
        <v>1650831.701509641</v>
      </c>
      <c r="U53" s="8">
        <f>'Wholesale OLS model'!$B$8*F53</f>
        <v>83400250.03946203</v>
      </c>
      <c r="V53" s="8">
        <f>'Wholesale OLS model'!$B$9*G53</f>
        <v>-2927779.8766821641</v>
      </c>
      <c r="W53" s="8">
        <f>'Wholesale OLS model'!$B$10*H53</f>
        <v>10200224.995656123</v>
      </c>
      <c r="X53" s="8">
        <f>'Wholesale OLS model'!$B$11*I53</f>
        <v>-1980487.4456003499</v>
      </c>
      <c r="Y53" s="8">
        <f>'Wholesale OLS model'!$B$12*J53</f>
        <v>-425700.701242688</v>
      </c>
      <c r="Z53" s="8">
        <f>'Wholesale OLS model'!$B$13*K53</f>
        <v>0</v>
      </c>
      <c r="AA53" s="8">
        <f>'Wholesale OLS model'!$B$14*L53</f>
        <v>0</v>
      </c>
      <c r="AB53" s="8">
        <f>'Wholesale OLS model'!$B$15*M53</f>
        <v>0</v>
      </c>
      <c r="AC53" s="8">
        <f>'Wholesale OLS model'!$B$16*N53</f>
        <v>0</v>
      </c>
      <c r="AD53" s="8">
        <f>'Wholesale OLS model'!$B$17*O53</f>
        <v>0</v>
      </c>
      <c r="AE53" s="8">
        <f t="shared" ca="1" si="0"/>
        <v>43365600.361329816</v>
      </c>
    </row>
    <row r="54" spans="1:31" x14ac:dyDescent="0.2">
      <c r="A54" s="99">
        <f>'Wholesale Predicted Monthly'!A54</f>
        <v>41395</v>
      </c>
      <c r="B54">
        <f>'Wholesale Predicted Monthly'!B54</f>
        <v>2013</v>
      </c>
      <c r="C54">
        <f>'Wholesale Predicted Monthly'!C54</f>
        <v>40367333</v>
      </c>
      <c r="D54">
        <f t="shared" ca="1" si="3"/>
        <v>134.15000000000003</v>
      </c>
      <c r="E54">
        <f t="shared" ca="1" si="2"/>
        <v>73.010000000000019</v>
      </c>
      <c r="F54">
        <f>'Wholesale Predicted Monthly'!F54</f>
        <v>6770.3</v>
      </c>
      <c r="G54">
        <f>'Wholesale Predicted Monthly'!G54</f>
        <v>53</v>
      </c>
      <c r="H54">
        <f>'Wholesale Predicted Monthly'!H54</f>
        <v>22</v>
      </c>
      <c r="I54">
        <f>'Wholesale Predicted Monthly'!I54</f>
        <v>1</v>
      </c>
      <c r="J54">
        <f>'Wholesale Predicted Monthly'!J54</f>
        <v>5</v>
      </c>
      <c r="K54">
        <f>'Wholesale Predicted Monthly'!K54</f>
        <v>0</v>
      </c>
      <c r="L54">
        <f>'Wholesale Predicted Monthly'!L54</f>
        <v>0</v>
      </c>
      <c r="M54">
        <f>'Wholesale Predicted Monthly'!M54</f>
        <v>0</v>
      </c>
      <c r="N54">
        <f>'Wholesale Predicted Monthly'!N54</f>
        <v>0</v>
      </c>
      <c r="O54">
        <f>'Wholesale Predicted Monthly'!O54</f>
        <v>0</v>
      </c>
      <c r="Q54" s="8">
        <f>'Wholesale OLS model'!$B$5</f>
        <v>-50878161.758948997</v>
      </c>
      <c r="R54" s="8">
        <f>-'Combined Monthly Data'!G54</f>
        <v>-666508.53783880163</v>
      </c>
      <c r="S54" s="8">
        <f ca="1">'Wholesale OLS model'!$B$6*D54</f>
        <v>2127315.3930130186</v>
      </c>
      <c r="T54" s="8">
        <f ca="1">'Wholesale OLS model'!$B$7*E54</f>
        <v>6887269.8586982237</v>
      </c>
      <c r="U54" s="8">
        <f>'Wholesale OLS model'!$B$8*F54</f>
        <v>84228815.85425508</v>
      </c>
      <c r="V54" s="8">
        <f>'Wholesale OLS model'!$B$9*G54</f>
        <v>-2984083.3358491291</v>
      </c>
      <c r="W54" s="8">
        <f>'Wholesale OLS model'!$B$10*H54</f>
        <v>10200224.995656123</v>
      </c>
      <c r="X54" s="8">
        <f>'Wholesale OLS model'!$B$11*I54</f>
        <v>-1980487.4456003499</v>
      </c>
      <c r="Y54" s="8">
        <f>'Wholesale OLS model'!$B$12*J54</f>
        <v>-532125.87655336002</v>
      </c>
      <c r="Z54" s="8">
        <f>'Wholesale OLS model'!$B$13*K54</f>
        <v>0</v>
      </c>
      <c r="AA54" s="8">
        <f>'Wholesale OLS model'!$B$14*L54</f>
        <v>0</v>
      </c>
      <c r="AB54" s="8">
        <f>'Wholesale OLS model'!$B$15*M54</f>
        <v>0</v>
      </c>
      <c r="AC54" s="8">
        <f>'Wholesale OLS model'!$B$16*N54</f>
        <v>0</v>
      </c>
      <c r="AD54" s="8">
        <f>'Wholesale OLS model'!$B$17*O54</f>
        <v>0</v>
      </c>
      <c r="AE54" s="8">
        <f t="shared" ca="1" si="0"/>
        <v>46402259.14683181</v>
      </c>
    </row>
    <row r="55" spans="1:31" x14ac:dyDescent="0.2">
      <c r="A55" s="99">
        <f>'Wholesale Predicted Monthly'!A55</f>
        <v>41426</v>
      </c>
      <c r="B55">
        <f>'Wholesale Predicted Monthly'!B55</f>
        <v>2013</v>
      </c>
      <c r="C55">
        <f>'Wholesale Predicted Monthly'!C55</f>
        <v>41861470</v>
      </c>
      <c r="D55">
        <f t="shared" ca="1" si="3"/>
        <v>28.409999999999997</v>
      </c>
      <c r="E55">
        <f t="shared" ca="1" si="2"/>
        <v>106.29</v>
      </c>
      <c r="F55">
        <f>'Wholesale Predicted Monthly'!F55</f>
        <v>6861.8</v>
      </c>
      <c r="G55">
        <f>'Wholesale Predicted Monthly'!G55</f>
        <v>54</v>
      </c>
      <c r="H55">
        <f>'Wholesale Predicted Monthly'!H55</f>
        <v>20</v>
      </c>
      <c r="I55">
        <f>'Wholesale Predicted Monthly'!I55</f>
        <v>1</v>
      </c>
      <c r="J55">
        <f>'Wholesale Predicted Monthly'!J55</f>
        <v>6</v>
      </c>
      <c r="K55">
        <f>'Wholesale Predicted Monthly'!K55</f>
        <v>0</v>
      </c>
      <c r="L55">
        <f>'Wholesale Predicted Monthly'!L55</f>
        <v>0</v>
      </c>
      <c r="M55">
        <f>'Wholesale Predicted Monthly'!M55</f>
        <v>0</v>
      </c>
      <c r="N55">
        <f>'Wholesale Predicted Monthly'!N55</f>
        <v>0</v>
      </c>
      <c r="O55">
        <f>'Wholesale Predicted Monthly'!O55</f>
        <v>0</v>
      </c>
      <c r="Q55" s="8">
        <f>'Wholesale OLS model'!$B$5</f>
        <v>-50878161.758948997</v>
      </c>
      <c r="R55" s="8">
        <f>-'Combined Monthly Data'!G55</f>
        <v>-687564.26092783595</v>
      </c>
      <c r="S55" s="8">
        <f ca="1">'Wholesale OLS model'!$B$6*D55</f>
        <v>450518.30276183254</v>
      </c>
      <c r="T55" s="8">
        <f ca="1">'Wholesale OLS model'!$B$7*E55</f>
        <v>10026680.088769129</v>
      </c>
      <c r="U55" s="8">
        <f>'Wholesale OLS model'!$B$8*F55</f>
        <v>85367160.77998428</v>
      </c>
      <c r="V55" s="8">
        <f>'Wholesale OLS model'!$B$9*G55</f>
        <v>-3040386.7950160936</v>
      </c>
      <c r="W55" s="8">
        <f>'Wholesale OLS model'!$B$10*H55</f>
        <v>9272931.8142328393</v>
      </c>
      <c r="X55" s="8">
        <f>'Wholesale OLS model'!$B$11*I55</f>
        <v>-1980487.4456003499</v>
      </c>
      <c r="Y55" s="8">
        <f>'Wholesale OLS model'!$B$12*J55</f>
        <v>-638551.05186403194</v>
      </c>
      <c r="Z55" s="8">
        <f>'Wholesale OLS model'!$B$13*K55</f>
        <v>0</v>
      </c>
      <c r="AA55" s="8">
        <f>'Wholesale OLS model'!$B$14*L55</f>
        <v>0</v>
      </c>
      <c r="AB55" s="8">
        <f>'Wholesale OLS model'!$B$15*M55</f>
        <v>0</v>
      </c>
      <c r="AC55" s="8">
        <f>'Wholesale OLS model'!$B$16*N55</f>
        <v>0</v>
      </c>
      <c r="AD55" s="8">
        <f>'Wholesale OLS model'!$B$17*O55</f>
        <v>0</v>
      </c>
      <c r="AE55" s="8">
        <f t="shared" ca="1" si="0"/>
        <v>47892139.673390768</v>
      </c>
    </row>
    <row r="56" spans="1:31" x14ac:dyDescent="0.2">
      <c r="A56" s="99">
        <f>'Wholesale Predicted Monthly'!A56</f>
        <v>41456</v>
      </c>
      <c r="B56">
        <f>'Wholesale Predicted Monthly'!B56</f>
        <v>2013</v>
      </c>
      <c r="C56">
        <f>'Wholesale Predicted Monthly'!C56</f>
        <v>51710808</v>
      </c>
      <c r="D56">
        <f t="shared" ca="1" si="3"/>
        <v>5.84</v>
      </c>
      <c r="E56">
        <f t="shared" ca="1" si="2"/>
        <v>81.070000000000007</v>
      </c>
      <c r="F56">
        <f>'Wholesale Predicted Monthly'!F56</f>
        <v>6917.1</v>
      </c>
      <c r="G56">
        <f>'Wholesale Predicted Monthly'!G56</f>
        <v>55</v>
      </c>
      <c r="H56">
        <f>'Wholesale Predicted Monthly'!H56</f>
        <v>22</v>
      </c>
      <c r="I56">
        <f>'Wholesale Predicted Monthly'!I56</f>
        <v>1</v>
      </c>
      <c r="J56">
        <f>'Wholesale Predicted Monthly'!J56</f>
        <v>7</v>
      </c>
      <c r="K56">
        <f>'Wholesale Predicted Monthly'!K56</f>
        <v>0</v>
      </c>
      <c r="L56">
        <f>'Wholesale Predicted Monthly'!L56</f>
        <v>0</v>
      </c>
      <c r="M56">
        <f>'Wholesale Predicted Monthly'!M56</f>
        <v>1</v>
      </c>
      <c r="N56">
        <f>'Wholesale Predicted Monthly'!N56</f>
        <v>0</v>
      </c>
      <c r="O56">
        <f>'Wholesale Predicted Monthly'!O56</f>
        <v>0</v>
      </c>
      <c r="Q56" s="8">
        <f>'Wholesale OLS model'!$B$5</f>
        <v>-50878161.758948997</v>
      </c>
      <c r="R56" s="8">
        <f>-'Combined Monthly Data'!G56</f>
        <v>-708619.98401686992</v>
      </c>
      <c r="S56" s="8">
        <f ca="1">'Wholesale OLS model'!$B$6*D56</f>
        <v>92609.182968289417</v>
      </c>
      <c r="T56" s="8">
        <f ca="1">'Wholesale OLS model'!$B$7*E56</f>
        <v>7647595.7737935204</v>
      </c>
      <c r="U56" s="8">
        <f>'Wholesale OLS model'!$B$8*F56</f>
        <v>86055144.106681809</v>
      </c>
      <c r="V56" s="8">
        <f>'Wholesale OLS model'!$B$9*G56</f>
        <v>-3096690.2541830582</v>
      </c>
      <c r="W56" s="8">
        <f>'Wholesale OLS model'!$B$10*H56</f>
        <v>10200224.995656123</v>
      </c>
      <c r="X56" s="8">
        <f>'Wholesale OLS model'!$B$11*I56</f>
        <v>-1980487.4456003499</v>
      </c>
      <c r="Y56" s="8">
        <f>'Wholesale OLS model'!$B$12*J56</f>
        <v>-744976.22717470396</v>
      </c>
      <c r="Z56" s="8">
        <f>'Wholesale OLS model'!$B$13*K56</f>
        <v>0</v>
      </c>
      <c r="AA56" s="8">
        <f>'Wholesale OLS model'!$B$14*L56</f>
        <v>0</v>
      </c>
      <c r="AB56" s="8">
        <f>'Wholesale OLS model'!$B$15*M56</f>
        <v>2370057.8473386201</v>
      </c>
      <c r="AC56" s="8">
        <f>'Wholesale OLS model'!$B$16*N56</f>
        <v>0</v>
      </c>
      <c r="AD56" s="8">
        <f>'Wholesale OLS model'!$B$17*O56</f>
        <v>0</v>
      </c>
      <c r="AE56" s="8">
        <f t="shared" ca="1" si="0"/>
        <v>48956696.236514367</v>
      </c>
    </row>
    <row r="57" spans="1:31" x14ac:dyDescent="0.2">
      <c r="A57" s="99">
        <f>'Wholesale Predicted Monthly'!A57</f>
        <v>41487</v>
      </c>
      <c r="B57">
        <f>'Wholesale Predicted Monthly'!B57</f>
        <v>2013</v>
      </c>
      <c r="C57">
        <f>'Wholesale Predicted Monthly'!C57</f>
        <v>47450772</v>
      </c>
      <c r="D57">
        <f t="shared" ca="1" si="3"/>
        <v>10.420000000000002</v>
      </c>
      <c r="E57">
        <f t="shared" ca="1" si="2"/>
        <v>31.57</v>
      </c>
      <c r="F57">
        <f>'Wholesale Predicted Monthly'!F57</f>
        <v>6934.7</v>
      </c>
      <c r="G57">
        <f>'Wholesale Predicted Monthly'!G57</f>
        <v>56</v>
      </c>
      <c r="H57">
        <f>'Wholesale Predicted Monthly'!H57</f>
        <v>21</v>
      </c>
      <c r="I57">
        <f>'Wholesale Predicted Monthly'!I57</f>
        <v>1</v>
      </c>
      <c r="J57">
        <f>'Wholesale Predicted Monthly'!J57</f>
        <v>8</v>
      </c>
      <c r="K57">
        <f>'Wholesale Predicted Monthly'!K57</f>
        <v>0</v>
      </c>
      <c r="L57">
        <f>'Wholesale Predicted Monthly'!L57</f>
        <v>0</v>
      </c>
      <c r="M57">
        <f>'Wholesale Predicted Monthly'!M57</f>
        <v>0</v>
      </c>
      <c r="N57">
        <f>'Wholesale Predicted Monthly'!N57</f>
        <v>1</v>
      </c>
      <c r="O57">
        <f>'Wholesale Predicted Monthly'!O57</f>
        <v>0</v>
      </c>
      <c r="Q57" s="8">
        <f>'Wholesale OLS model'!$B$5</f>
        <v>-50878161.758948997</v>
      </c>
      <c r="R57" s="8">
        <f>-'Combined Monthly Data'!G57</f>
        <v>-729675.707105904</v>
      </c>
      <c r="S57" s="8">
        <f ca="1">'Wholesale OLS model'!$B$6*D57</f>
        <v>165237.61755643424</v>
      </c>
      <c r="T57" s="8">
        <f ca="1">'Wholesale OLS model'!$B$7*E57</f>
        <v>2978100.3895233925</v>
      </c>
      <c r="U57" s="8">
        <f>'Wholesale OLS model'!$B$8*F57</f>
        <v>86274104.442122608</v>
      </c>
      <c r="V57" s="8">
        <f>'Wholesale OLS model'!$B$9*G57</f>
        <v>-3152993.7133500231</v>
      </c>
      <c r="W57" s="8">
        <f>'Wholesale OLS model'!$B$10*H57</f>
        <v>9736578.4049444813</v>
      </c>
      <c r="X57" s="8">
        <f>'Wholesale OLS model'!$B$11*I57</f>
        <v>-1980487.4456003499</v>
      </c>
      <c r="Y57" s="8">
        <f>'Wholesale OLS model'!$B$12*J57</f>
        <v>-851401.40248537599</v>
      </c>
      <c r="Z57" s="8">
        <f>'Wholesale OLS model'!$B$13*K57</f>
        <v>0</v>
      </c>
      <c r="AA57" s="8">
        <f>'Wholesale OLS model'!$B$14*L57</f>
        <v>0</v>
      </c>
      <c r="AB57" s="8">
        <f>'Wholesale OLS model'!$B$15*M57</f>
        <v>0</v>
      </c>
      <c r="AC57" s="8">
        <f>'Wholesale OLS model'!$B$16*N57</f>
        <v>3743904.46078429</v>
      </c>
      <c r="AD57" s="8">
        <f>'Wholesale OLS model'!$B$17*O57</f>
        <v>0</v>
      </c>
      <c r="AE57" s="8">
        <f t="shared" ca="1" si="0"/>
        <v>45305205.287440553</v>
      </c>
    </row>
    <row r="58" spans="1:31" x14ac:dyDescent="0.2">
      <c r="A58" s="99">
        <f>'Wholesale Predicted Monthly'!A58</f>
        <v>41518</v>
      </c>
      <c r="B58">
        <f>'Wholesale Predicted Monthly'!B58</f>
        <v>2013</v>
      </c>
      <c r="C58">
        <f>'Wholesale Predicted Monthly'!C58</f>
        <v>40219618</v>
      </c>
      <c r="D58">
        <f t="shared" ca="1" si="3"/>
        <v>69.52000000000001</v>
      </c>
      <c r="E58">
        <f t="shared" ca="1" si="2"/>
        <v>3.6300000000000003</v>
      </c>
      <c r="F58">
        <f>'Wholesale Predicted Monthly'!F58</f>
        <v>6906.9</v>
      </c>
      <c r="G58">
        <f>'Wholesale Predicted Monthly'!G58</f>
        <v>57</v>
      </c>
      <c r="H58">
        <f>'Wholesale Predicted Monthly'!H58</f>
        <v>20</v>
      </c>
      <c r="I58">
        <f>'Wholesale Predicted Monthly'!I58</f>
        <v>1</v>
      </c>
      <c r="J58">
        <f>'Wholesale Predicted Monthly'!J58</f>
        <v>9</v>
      </c>
      <c r="K58">
        <f>'Wholesale Predicted Monthly'!K58</f>
        <v>0</v>
      </c>
      <c r="L58">
        <f>'Wholesale Predicted Monthly'!L58</f>
        <v>0</v>
      </c>
      <c r="M58">
        <f>'Wholesale Predicted Monthly'!M58</f>
        <v>0</v>
      </c>
      <c r="N58">
        <f>'Wholesale Predicted Monthly'!N58</f>
        <v>0</v>
      </c>
      <c r="O58">
        <f>'Wholesale Predicted Monthly'!O58</f>
        <v>0</v>
      </c>
      <c r="Q58" s="8">
        <f>'Wholesale OLS model'!$B$5</f>
        <v>-50878161.758948997</v>
      </c>
      <c r="R58" s="8">
        <f>-'Combined Monthly Data'!G58</f>
        <v>-750731.43019493821</v>
      </c>
      <c r="S58" s="8">
        <f ca="1">'Wholesale OLS model'!$B$6*D58</f>
        <v>1102429.8630060756</v>
      </c>
      <c r="T58" s="8">
        <f ca="1">'Wholesale OLS model'!$B$7*E58</f>
        <v>342429.6615131427</v>
      </c>
      <c r="U58" s="8">
        <f>'Wholesale OLS model'!$B$8*F58</f>
        <v>85928246.639551327</v>
      </c>
      <c r="V58" s="8">
        <f>'Wholesale OLS model'!$B$9*G58</f>
        <v>-3209297.1725169877</v>
      </c>
      <c r="W58" s="8">
        <f>'Wholesale OLS model'!$B$10*H58</f>
        <v>9272931.8142328393</v>
      </c>
      <c r="X58" s="8">
        <f>'Wholesale OLS model'!$B$11*I58</f>
        <v>-1980487.4456003499</v>
      </c>
      <c r="Y58" s="8">
        <f>'Wholesale OLS model'!$B$12*J58</f>
        <v>-957826.57779604802</v>
      </c>
      <c r="Z58" s="8">
        <f>'Wholesale OLS model'!$B$13*K58</f>
        <v>0</v>
      </c>
      <c r="AA58" s="8">
        <f>'Wholesale OLS model'!$B$14*L58</f>
        <v>0</v>
      </c>
      <c r="AB58" s="8">
        <f>'Wholesale OLS model'!$B$15*M58</f>
        <v>0</v>
      </c>
      <c r="AC58" s="8">
        <f>'Wholesale OLS model'!$B$16*N58</f>
        <v>0</v>
      </c>
      <c r="AD58" s="8">
        <f>'Wholesale OLS model'!$B$17*O58</f>
        <v>0</v>
      </c>
      <c r="AE58" s="8">
        <f t="shared" ca="1" si="0"/>
        <v>38869533.593246065</v>
      </c>
    </row>
    <row r="59" spans="1:31" x14ac:dyDescent="0.2">
      <c r="A59" s="99">
        <f>'Wholesale Predicted Monthly'!A59</f>
        <v>41548</v>
      </c>
      <c r="B59">
        <f>'Wholesale Predicted Monthly'!B59</f>
        <v>2013</v>
      </c>
      <c r="C59">
        <f>'Wholesale Predicted Monthly'!C59</f>
        <v>40606721</v>
      </c>
      <c r="D59">
        <f t="shared" ca="1" si="3"/>
        <v>236.61000000000004</v>
      </c>
      <c r="E59">
        <f t="shared" ca="1" si="2"/>
        <v>0</v>
      </c>
      <c r="F59">
        <f>'Wholesale Predicted Monthly'!F59</f>
        <v>6889</v>
      </c>
      <c r="G59">
        <f>'Wholesale Predicted Monthly'!G59</f>
        <v>58</v>
      </c>
      <c r="H59">
        <f>'Wholesale Predicted Monthly'!H59</f>
        <v>22</v>
      </c>
      <c r="I59">
        <f>'Wholesale Predicted Monthly'!I59</f>
        <v>1</v>
      </c>
      <c r="J59">
        <f>'Wholesale Predicted Monthly'!J59</f>
        <v>10</v>
      </c>
      <c r="K59">
        <f>'Wholesale Predicted Monthly'!K59</f>
        <v>0</v>
      </c>
      <c r="L59">
        <f>'Wholesale Predicted Monthly'!L59</f>
        <v>0</v>
      </c>
      <c r="M59">
        <f>'Wholesale Predicted Monthly'!M59</f>
        <v>0</v>
      </c>
      <c r="N59">
        <f>'Wholesale Predicted Monthly'!N59</f>
        <v>0</v>
      </c>
      <c r="O59">
        <f>'Wholesale Predicted Monthly'!O59</f>
        <v>0</v>
      </c>
      <c r="Q59" s="8">
        <f>'Wholesale OLS model'!$B$5</f>
        <v>-50878161.758948997</v>
      </c>
      <c r="R59" s="8">
        <f>-'Combined Monthly Data'!G59</f>
        <v>-771787.15328397229</v>
      </c>
      <c r="S59" s="8">
        <f ca="1">'Wholesale OLS model'!$B$6*D59</f>
        <v>3752099.10652859</v>
      </c>
      <c r="T59" s="8">
        <f ca="1">'Wholesale OLS model'!$B$7*E59</f>
        <v>0</v>
      </c>
      <c r="U59" s="8">
        <f>'Wholesale OLS model'!$B$8*F59</f>
        <v>85705554.025665522</v>
      </c>
      <c r="V59" s="8">
        <f>'Wholesale OLS model'!$B$9*G59</f>
        <v>-3265600.6316839526</v>
      </c>
      <c r="W59" s="8">
        <f>'Wholesale OLS model'!$B$10*H59</f>
        <v>10200224.995656123</v>
      </c>
      <c r="X59" s="8">
        <f>'Wholesale OLS model'!$B$11*I59</f>
        <v>-1980487.4456003499</v>
      </c>
      <c r="Y59" s="8">
        <f>'Wholesale OLS model'!$B$12*J59</f>
        <v>-1064251.75310672</v>
      </c>
      <c r="Z59" s="8">
        <f>'Wholesale OLS model'!$B$13*K59</f>
        <v>0</v>
      </c>
      <c r="AA59" s="8">
        <f>'Wholesale OLS model'!$B$14*L59</f>
        <v>0</v>
      </c>
      <c r="AB59" s="8">
        <f>'Wholesale OLS model'!$B$15*M59</f>
        <v>0</v>
      </c>
      <c r="AC59" s="8">
        <f>'Wholesale OLS model'!$B$16*N59</f>
        <v>0</v>
      </c>
      <c r="AD59" s="8">
        <f>'Wholesale OLS model'!$B$17*O59</f>
        <v>0</v>
      </c>
      <c r="AE59" s="8">
        <f t="shared" ca="1" si="0"/>
        <v>41697589.385226242</v>
      </c>
    </row>
    <row r="60" spans="1:31" x14ac:dyDescent="0.2">
      <c r="A60" s="99">
        <f>'Wholesale Predicted Monthly'!A60</f>
        <v>41579</v>
      </c>
      <c r="B60">
        <f>'Wholesale Predicted Monthly'!B60</f>
        <v>2013</v>
      </c>
      <c r="C60">
        <f>'Wholesale Predicted Monthly'!C60</f>
        <v>41920037</v>
      </c>
      <c r="D60">
        <f t="shared" ca="1" si="3"/>
        <v>398.34999999999997</v>
      </c>
      <c r="E60">
        <f t="shared" ca="1" si="2"/>
        <v>0</v>
      </c>
      <c r="F60">
        <f>'Wholesale Predicted Monthly'!F60</f>
        <v>6863.8</v>
      </c>
      <c r="G60">
        <f>'Wholesale Predicted Monthly'!G60</f>
        <v>59</v>
      </c>
      <c r="H60">
        <f>'Wholesale Predicted Monthly'!H60</f>
        <v>21</v>
      </c>
      <c r="I60">
        <f>'Wholesale Predicted Monthly'!I60</f>
        <v>1</v>
      </c>
      <c r="J60">
        <f>'Wholesale Predicted Monthly'!J60</f>
        <v>11</v>
      </c>
      <c r="K60">
        <f>'Wholesale Predicted Monthly'!K60</f>
        <v>0</v>
      </c>
      <c r="L60">
        <f>'Wholesale Predicted Monthly'!L60</f>
        <v>0</v>
      </c>
      <c r="M60">
        <f>'Wholesale Predicted Monthly'!M60</f>
        <v>0</v>
      </c>
      <c r="N60">
        <f>'Wholesale Predicted Monthly'!N60</f>
        <v>0</v>
      </c>
      <c r="O60">
        <f>'Wholesale Predicted Monthly'!O60</f>
        <v>1</v>
      </c>
      <c r="Q60" s="8">
        <f>'Wholesale OLS model'!$B$5</f>
        <v>-50878161.758948997</v>
      </c>
      <c r="R60" s="8">
        <f>-'Combined Monthly Data'!G60</f>
        <v>-792842.8763730065</v>
      </c>
      <c r="S60" s="8">
        <f ca="1">'Wholesale OLS model'!$B$6*D60</f>
        <v>6316929.4581195358</v>
      </c>
      <c r="T60" s="8">
        <f ca="1">'Wholesale OLS model'!$B$7*E60</f>
        <v>0</v>
      </c>
      <c r="U60" s="8">
        <f>'Wholesale OLS model'!$B$8*F60</f>
        <v>85392042.636284366</v>
      </c>
      <c r="V60" s="8">
        <f>'Wholesale OLS model'!$B$9*G60</f>
        <v>-3321904.0908509172</v>
      </c>
      <c r="W60" s="8">
        <f>'Wholesale OLS model'!$B$10*H60</f>
        <v>9736578.4049444813</v>
      </c>
      <c r="X60" s="8">
        <f>'Wholesale OLS model'!$B$11*I60</f>
        <v>-1980487.4456003499</v>
      </c>
      <c r="Y60" s="8">
        <f>'Wholesale OLS model'!$B$12*J60</f>
        <v>-1170676.9284173921</v>
      </c>
      <c r="Z60" s="8">
        <f>'Wholesale OLS model'!$B$13*K60</f>
        <v>0</v>
      </c>
      <c r="AA60" s="8">
        <f>'Wholesale OLS model'!$B$14*L60</f>
        <v>0</v>
      </c>
      <c r="AB60" s="8">
        <f>'Wholesale OLS model'!$B$15*M60</f>
        <v>0</v>
      </c>
      <c r="AC60" s="8">
        <f>'Wholesale OLS model'!$B$16*N60</f>
        <v>0</v>
      </c>
      <c r="AD60" s="8">
        <f>'Wholesale OLS model'!$B$17*O60</f>
        <v>-1766353.8816768799</v>
      </c>
      <c r="AE60" s="8">
        <f t="shared" ca="1" si="0"/>
        <v>41535123.517480828</v>
      </c>
    </row>
    <row r="61" spans="1:31" x14ac:dyDescent="0.2">
      <c r="A61" s="99">
        <f>'Wholesale Predicted Monthly'!A61</f>
        <v>41609</v>
      </c>
      <c r="B61">
        <f>'Wholesale Predicted Monthly'!B61</f>
        <v>2013</v>
      </c>
      <c r="C61">
        <f>'Wholesale Predicted Monthly'!C61</f>
        <v>46416069</v>
      </c>
      <c r="D61">
        <f t="shared" ca="1" si="3"/>
        <v>558.68999999999994</v>
      </c>
      <c r="E61">
        <f t="shared" si="2"/>
        <v>0</v>
      </c>
      <c r="F61">
        <f>'Wholesale Predicted Monthly'!F61</f>
        <v>6849.3</v>
      </c>
      <c r="G61">
        <f>'Wholesale Predicted Monthly'!G61</f>
        <v>60</v>
      </c>
      <c r="H61">
        <f>'Wholesale Predicted Monthly'!H61</f>
        <v>20</v>
      </c>
      <c r="I61">
        <f>'Wholesale Predicted Monthly'!I61</f>
        <v>1</v>
      </c>
      <c r="J61">
        <f>'Wholesale Predicted Monthly'!J61</f>
        <v>12</v>
      </c>
      <c r="K61">
        <f>'Wholesale Predicted Monthly'!K61</f>
        <v>0</v>
      </c>
      <c r="L61">
        <f>'Wholesale Predicted Monthly'!L61</f>
        <v>0</v>
      </c>
      <c r="M61">
        <f>'Wholesale Predicted Monthly'!M61</f>
        <v>0</v>
      </c>
      <c r="N61">
        <f>'Wholesale Predicted Monthly'!N61</f>
        <v>0</v>
      </c>
      <c r="O61">
        <f>'Wholesale Predicted Monthly'!O61</f>
        <v>0</v>
      </c>
      <c r="Q61" s="8">
        <f>'Wholesale OLS model'!$B$5</f>
        <v>-50878161.758948997</v>
      </c>
      <c r="R61" s="8">
        <f>-'Combined Monthly Data'!G61</f>
        <v>-813898.59946204058</v>
      </c>
      <c r="S61" s="8">
        <f ca="1">'Wholesale OLS model'!$B$6*D61</f>
        <v>8859558.9781769887</v>
      </c>
      <c r="T61" s="8">
        <f>'Wholesale OLS model'!$B$7*E61</f>
        <v>0</v>
      </c>
      <c r="U61" s="8">
        <f>'Wholesale OLS model'!$B$8*F61</f>
        <v>85211649.178108707</v>
      </c>
      <c r="V61" s="8">
        <f>'Wholesale OLS model'!$B$9*G61</f>
        <v>-3378207.5500178817</v>
      </c>
      <c r="W61" s="8">
        <f>'Wholesale OLS model'!$B$10*H61</f>
        <v>9272931.8142328393</v>
      </c>
      <c r="X61" s="8">
        <f>'Wholesale OLS model'!$B$11*I61</f>
        <v>-1980487.4456003499</v>
      </c>
      <c r="Y61" s="8">
        <f>'Wholesale OLS model'!$B$12*J61</f>
        <v>-1277102.1037280639</v>
      </c>
      <c r="Z61" s="8">
        <f>'Wholesale OLS model'!$B$13*K61</f>
        <v>0</v>
      </c>
      <c r="AA61" s="8">
        <f>'Wholesale OLS model'!$B$14*L61</f>
        <v>0</v>
      </c>
      <c r="AB61" s="8">
        <f>'Wholesale OLS model'!$B$15*M61</f>
        <v>0</v>
      </c>
      <c r="AC61" s="8">
        <f>'Wholesale OLS model'!$B$16*N61</f>
        <v>0</v>
      </c>
      <c r="AD61" s="8">
        <f>'Wholesale OLS model'!$B$17*O61</f>
        <v>0</v>
      </c>
      <c r="AE61" s="8">
        <f t="shared" ca="1" si="0"/>
        <v>45016282.512761205</v>
      </c>
    </row>
    <row r="62" spans="1:31" x14ac:dyDescent="0.2">
      <c r="A62" s="99">
        <f>'Wholesale Predicted Monthly'!A62</f>
        <v>41640</v>
      </c>
      <c r="B62">
        <f>'Wholesale Predicted Monthly'!B62</f>
        <v>2014</v>
      </c>
      <c r="C62">
        <f>'Wholesale Predicted Monthly'!C62</f>
        <v>52863793</v>
      </c>
      <c r="D62">
        <f t="shared" ca="1" si="3"/>
        <v>685.8599999999999</v>
      </c>
      <c r="E62">
        <f t="shared" ca="1" si="2"/>
        <v>0</v>
      </c>
      <c r="F62">
        <f>'Wholesale Predicted Monthly'!F62</f>
        <v>6806.1</v>
      </c>
      <c r="G62">
        <f>'Wholesale Predicted Monthly'!G62</f>
        <v>61</v>
      </c>
      <c r="H62">
        <f>'Wholesale Predicted Monthly'!H62</f>
        <v>22</v>
      </c>
      <c r="I62">
        <f>'Wholesale Predicted Monthly'!I62</f>
        <v>1</v>
      </c>
      <c r="J62">
        <f>'Wholesale Predicted Monthly'!J62</f>
        <v>13</v>
      </c>
      <c r="K62">
        <f>'Wholesale Predicted Monthly'!K62</f>
        <v>1</v>
      </c>
      <c r="L62">
        <f>'Wholesale Predicted Monthly'!L62</f>
        <v>0</v>
      </c>
      <c r="M62">
        <f>'Wholesale Predicted Monthly'!M62</f>
        <v>0</v>
      </c>
      <c r="N62">
        <f>'Wholesale Predicted Monthly'!N62</f>
        <v>0</v>
      </c>
      <c r="O62">
        <f>'Wholesale Predicted Monthly'!O62</f>
        <v>0</v>
      </c>
      <c r="Q62" s="8">
        <f>'Wholesale OLS model'!$B$5</f>
        <v>-50878161.758948997</v>
      </c>
      <c r="R62" s="8">
        <f>-'Combined Monthly Data'!G62</f>
        <v>-756555.33604103001</v>
      </c>
      <c r="S62" s="8">
        <f ca="1">'Wholesale OLS model'!$B$6*D62</f>
        <v>10876187.368258728</v>
      </c>
      <c r="T62" s="8">
        <f ca="1">'Wholesale OLS model'!$B$7*E62</f>
        <v>0</v>
      </c>
      <c r="U62" s="8">
        <f>'Wholesale OLS model'!$B$8*F62</f>
        <v>84674201.08202672</v>
      </c>
      <c r="V62" s="8">
        <f>'Wholesale OLS model'!$B$9*G62</f>
        <v>-3434511.0091848467</v>
      </c>
      <c r="W62" s="8">
        <f>'Wholesale OLS model'!$B$10*H62</f>
        <v>10200224.995656123</v>
      </c>
      <c r="X62" s="8">
        <f>'Wholesale OLS model'!$B$11*I62</f>
        <v>-1980487.4456003499</v>
      </c>
      <c r="Y62" s="8">
        <f>'Wholesale OLS model'!$B$12*J62</f>
        <v>-1383527.2790387359</v>
      </c>
      <c r="Z62" s="8">
        <f>'Wholesale OLS model'!$B$13*K62</f>
        <v>2647304.3437043098</v>
      </c>
      <c r="AA62" s="8">
        <f>'Wholesale OLS model'!$B$14*L62</f>
        <v>0</v>
      </c>
      <c r="AB62" s="8">
        <f>'Wholesale OLS model'!$B$15*M62</f>
        <v>0</v>
      </c>
      <c r="AC62" s="8">
        <f>'Wholesale OLS model'!$B$16*N62</f>
        <v>0</v>
      </c>
      <c r="AD62" s="8">
        <f>'Wholesale OLS model'!$B$17*O62</f>
        <v>0</v>
      </c>
      <c r="AE62" s="8">
        <f t="shared" ca="1" si="0"/>
        <v>49964674.960831925</v>
      </c>
    </row>
    <row r="63" spans="1:31" x14ac:dyDescent="0.2">
      <c r="A63" s="99">
        <f>'Wholesale Predicted Monthly'!A63</f>
        <v>41671</v>
      </c>
      <c r="B63">
        <f>'Wholesale Predicted Monthly'!B63</f>
        <v>2014</v>
      </c>
      <c r="C63">
        <f>'Wholesale Predicted Monthly'!C63</f>
        <v>46902074</v>
      </c>
      <c r="D63">
        <f t="shared" ca="1" si="3"/>
        <v>660.08</v>
      </c>
      <c r="E63">
        <f t="shared" ca="1" si="2"/>
        <v>0</v>
      </c>
      <c r="F63">
        <f>'Wholesale Predicted Monthly'!F63</f>
        <v>6772.3</v>
      </c>
      <c r="G63">
        <f>'Wholesale Predicted Monthly'!G63</f>
        <v>62</v>
      </c>
      <c r="H63">
        <f>'Wholesale Predicted Monthly'!H63</f>
        <v>19</v>
      </c>
      <c r="I63">
        <f>'Wholesale Predicted Monthly'!I63</f>
        <v>1</v>
      </c>
      <c r="J63">
        <f>'Wholesale Predicted Monthly'!J63</f>
        <v>14</v>
      </c>
      <c r="K63">
        <f>'Wholesale Predicted Monthly'!K63</f>
        <v>0</v>
      </c>
      <c r="L63">
        <f>'Wholesale Predicted Monthly'!L63</f>
        <v>0</v>
      </c>
      <c r="M63">
        <f>'Wholesale Predicted Monthly'!M63</f>
        <v>0</v>
      </c>
      <c r="N63">
        <f>'Wholesale Predicted Monthly'!N63</f>
        <v>0</v>
      </c>
      <c r="O63">
        <f>'Wholesale Predicted Monthly'!O63</f>
        <v>0</v>
      </c>
      <c r="Q63" s="8">
        <f>'Wholesale OLS model'!$B$5</f>
        <v>-50878161.758948997</v>
      </c>
      <c r="R63" s="8">
        <f>-'Combined Monthly Data'!G63</f>
        <v>-777100.68711693317</v>
      </c>
      <c r="S63" s="8">
        <f ca="1">'Wholesale OLS model'!$B$6*D63</f>
        <v>10467374.913306247</v>
      </c>
      <c r="T63" s="8">
        <f ca="1">'Wholesale OLS model'!$B$7*E63</f>
        <v>0</v>
      </c>
      <c r="U63" s="8">
        <f>'Wholesale OLS model'!$B$8*F63</f>
        <v>84253697.710555181</v>
      </c>
      <c r="V63" s="8">
        <f>'Wholesale OLS model'!$B$9*G63</f>
        <v>-3490814.4683518112</v>
      </c>
      <c r="W63" s="8">
        <f>'Wholesale OLS model'!$B$10*H63</f>
        <v>8809285.2235211972</v>
      </c>
      <c r="X63" s="8">
        <f>'Wholesale OLS model'!$B$11*I63</f>
        <v>-1980487.4456003499</v>
      </c>
      <c r="Y63" s="8">
        <f>'Wholesale OLS model'!$B$12*J63</f>
        <v>-1489952.4543494079</v>
      </c>
      <c r="Z63" s="8">
        <f>'Wholesale OLS model'!$B$13*K63</f>
        <v>0</v>
      </c>
      <c r="AA63" s="8">
        <f>'Wholesale OLS model'!$B$14*L63</f>
        <v>0</v>
      </c>
      <c r="AB63" s="8">
        <f>'Wholesale OLS model'!$B$15*M63</f>
        <v>0</v>
      </c>
      <c r="AC63" s="8">
        <f>'Wholesale OLS model'!$B$16*N63</f>
        <v>0</v>
      </c>
      <c r="AD63" s="8">
        <f>'Wholesale OLS model'!$B$17*O63</f>
        <v>0</v>
      </c>
      <c r="AE63" s="8">
        <f t="shared" ca="1" si="0"/>
        <v>44913841.033015124</v>
      </c>
    </row>
    <row r="64" spans="1:31" x14ac:dyDescent="0.2">
      <c r="A64" s="99">
        <f>'Wholesale Predicted Monthly'!A64</f>
        <v>41699</v>
      </c>
      <c r="B64">
        <f>'Wholesale Predicted Monthly'!B64</f>
        <v>2014</v>
      </c>
      <c r="C64">
        <f>'Wholesale Predicted Monthly'!C64</f>
        <v>49147287</v>
      </c>
      <c r="D64">
        <f t="shared" ca="1" si="3"/>
        <v>543.44000000000005</v>
      </c>
      <c r="E64">
        <f t="shared" ca="1" si="2"/>
        <v>0.24</v>
      </c>
      <c r="F64">
        <f>'Wholesale Predicted Monthly'!F64</f>
        <v>6751.3</v>
      </c>
      <c r="G64">
        <f>'Wholesale Predicted Monthly'!G64</f>
        <v>63</v>
      </c>
      <c r="H64">
        <f>'Wholesale Predicted Monthly'!H64</f>
        <v>21</v>
      </c>
      <c r="I64">
        <f>'Wholesale Predicted Monthly'!I64</f>
        <v>1</v>
      </c>
      <c r="J64">
        <f>'Wholesale Predicted Monthly'!J64</f>
        <v>15</v>
      </c>
      <c r="K64">
        <f>'Wholesale Predicted Monthly'!K64</f>
        <v>0</v>
      </c>
      <c r="L64">
        <f>'Wholesale Predicted Monthly'!L64</f>
        <v>1</v>
      </c>
      <c r="M64">
        <f>'Wholesale Predicted Monthly'!M64</f>
        <v>0</v>
      </c>
      <c r="N64">
        <f>'Wholesale Predicted Monthly'!N64</f>
        <v>0</v>
      </c>
      <c r="O64">
        <f>'Wholesale Predicted Monthly'!O64</f>
        <v>0</v>
      </c>
      <c r="Q64" s="8">
        <f>'Wholesale OLS model'!$B$5</f>
        <v>-50878161.758948997</v>
      </c>
      <c r="R64" s="8">
        <f>-'Combined Monthly Data'!G64</f>
        <v>-797646.03819283622</v>
      </c>
      <c r="S64" s="8">
        <f ca="1">'Wholesale OLS model'!$B$6*D64</f>
        <v>8617728.4918300007</v>
      </c>
      <c r="T64" s="8">
        <f ca="1">'Wholesale OLS model'!$B$7*E64</f>
        <v>22639.977620703648</v>
      </c>
      <c r="U64" s="8">
        <f>'Wholesale OLS model'!$B$8*F64</f>
        <v>83992438.219404206</v>
      </c>
      <c r="V64" s="8">
        <f>'Wholesale OLS model'!$B$9*G64</f>
        <v>-3547117.9275187762</v>
      </c>
      <c r="W64" s="8">
        <f>'Wholesale OLS model'!$B$10*H64</f>
        <v>9736578.4049444813</v>
      </c>
      <c r="X64" s="8">
        <f>'Wholesale OLS model'!$B$11*I64</f>
        <v>-1980487.4456003499</v>
      </c>
      <c r="Y64" s="8">
        <f>'Wholesale OLS model'!$B$12*J64</f>
        <v>-1596377.62966008</v>
      </c>
      <c r="Z64" s="8">
        <f>'Wholesale OLS model'!$B$13*K64</f>
        <v>0</v>
      </c>
      <c r="AA64" s="8">
        <f>'Wholesale OLS model'!$B$14*L64</f>
        <v>1640135.6856942801</v>
      </c>
      <c r="AB64" s="8">
        <f>'Wholesale OLS model'!$B$15*M64</f>
        <v>0</v>
      </c>
      <c r="AC64" s="8">
        <f>'Wholesale OLS model'!$B$16*N64</f>
        <v>0</v>
      </c>
      <c r="AD64" s="8">
        <f>'Wholesale OLS model'!$B$17*O64</f>
        <v>0</v>
      </c>
      <c r="AE64" s="8">
        <f t="shared" ca="1" si="0"/>
        <v>45209729.979572624</v>
      </c>
    </row>
    <row r="65" spans="1:31" x14ac:dyDescent="0.2">
      <c r="A65" s="99">
        <f>'Wholesale Predicted Monthly'!A65</f>
        <v>41730</v>
      </c>
      <c r="B65">
        <f>'Wholesale Predicted Monthly'!B65</f>
        <v>2014</v>
      </c>
      <c r="C65">
        <f>'Wholesale Predicted Monthly'!C65</f>
        <v>41905954</v>
      </c>
      <c r="D65">
        <f t="shared" ca="1" si="3"/>
        <v>313.53000000000003</v>
      </c>
      <c r="E65">
        <f t="shared" ca="1" si="2"/>
        <v>17.5</v>
      </c>
      <c r="F65">
        <f>'Wholesale Predicted Monthly'!F65</f>
        <v>6785</v>
      </c>
      <c r="G65">
        <f>'Wholesale Predicted Monthly'!G65</f>
        <v>64</v>
      </c>
      <c r="H65">
        <f>'Wholesale Predicted Monthly'!H65</f>
        <v>20</v>
      </c>
      <c r="I65">
        <f>'Wholesale Predicted Monthly'!I65</f>
        <v>1</v>
      </c>
      <c r="J65">
        <f>'Wholesale Predicted Monthly'!J65</f>
        <v>16</v>
      </c>
      <c r="K65">
        <f>'Wholesale Predicted Monthly'!K65</f>
        <v>0</v>
      </c>
      <c r="L65">
        <f>'Wholesale Predicted Monthly'!L65</f>
        <v>0</v>
      </c>
      <c r="M65">
        <f>'Wholesale Predicted Monthly'!M65</f>
        <v>0</v>
      </c>
      <c r="N65">
        <f>'Wholesale Predicted Monthly'!N65</f>
        <v>0</v>
      </c>
      <c r="O65">
        <f>'Wholesale Predicted Monthly'!O65</f>
        <v>0</v>
      </c>
      <c r="Q65" s="8">
        <f>'Wholesale OLS model'!$B$5</f>
        <v>-50878161.758948997</v>
      </c>
      <c r="R65" s="8">
        <f>-'Combined Monthly Data'!G65</f>
        <v>-818191.38926873938</v>
      </c>
      <c r="S65" s="8">
        <f ca="1">'Wholesale OLS model'!$B$6*D65</f>
        <v>4971876.2219259907</v>
      </c>
      <c r="T65" s="8">
        <f ca="1">'Wholesale OLS model'!$B$7*E65</f>
        <v>1650831.701509641</v>
      </c>
      <c r="U65" s="8">
        <f>'Wholesale OLS model'!$B$8*F65</f>
        <v>84411697.498060748</v>
      </c>
      <c r="V65" s="8">
        <f>'Wholesale OLS model'!$B$9*G65</f>
        <v>-3603421.3866857407</v>
      </c>
      <c r="W65" s="8">
        <f>'Wholesale OLS model'!$B$10*H65</f>
        <v>9272931.8142328393</v>
      </c>
      <c r="X65" s="8">
        <f>'Wholesale OLS model'!$B$11*I65</f>
        <v>-1980487.4456003499</v>
      </c>
      <c r="Y65" s="8">
        <f>'Wholesale OLS model'!$B$12*J65</f>
        <v>-1702802.804970752</v>
      </c>
      <c r="Z65" s="8">
        <f>'Wholesale OLS model'!$B$13*K65</f>
        <v>0</v>
      </c>
      <c r="AA65" s="8">
        <f>'Wholesale OLS model'!$B$14*L65</f>
        <v>0</v>
      </c>
      <c r="AB65" s="8">
        <f>'Wholesale OLS model'!$B$15*M65</f>
        <v>0</v>
      </c>
      <c r="AC65" s="8">
        <f>'Wholesale OLS model'!$B$16*N65</f>
        <v>0</v>
      </c>
      <c r="AD65" s="8">
        <f>'Wholesale OLS model'!$B$17*O65</f>
        <v>0</v>
      </c>
      <c r="AE65" s="8">
        <f t="shared" ca="1" si="0"/>
        <v>41324272.450254634</v>
      </c>
    </row>
    <row r="66" spans="1:31" x14ac:dyDescent="0.2">
      <c r="A66" s="99">
        <f>'Wholesale Predicted Monthly'!A66</f>
        <v>41760</v>
      </c>
      <c r="B66">
        <f>'Wholesale Predicted Monthly'!B66</f>
        <v>2014</v>
      </c>
      <c r="C66">
        <f>'Wholesale Predicted Monthly'!C66</f>
        <v>40009171</v>
      </c>
      <c r="D66">
        <f t="shared" ca="1" si="3"/>
        <v>134.15000000000003</v>
      </c>
      <c r="E66">
        <f t="shared" ca="1" si="2"/>
        <v>73.010000000000019</v>
      </c>
      <c r="F66">
        <f>'Wholesale Predicted Monthly'!F66</f>
        <v>6842.6</v>
      </c>
      <c r="G66">
        <f>'Wholesale Predicted Monthly'!G66</f>
        <v>65</v>
      </c>
      <c r="H66">
        <f>'Wholesale Predicted Monthly'!H66</f>
        <v>22</v>
      </c>
      <c r="I66">
        <f>'Wholesale Predicted Monthly'!I66</f>
        <v>1</v>
      </c>
      <c r="J66">
        <f>'Wholesale Predicted Monthly'!J66</f>
        <v>17</v>
      </c>
      <c r="K66">
        <f>'Wholesale Predicted Monthly'!K66</f>
        <v>0</v>
      </c>
      <c r="L66">
        <f>'Wholesale Predicted Monthly'!L66</f>
        <v>0</v>
      </c>
      <c r="M66">
        <f>'Wholesale Predicted Monthly'!M66</f>
        <v>0</v>
      </c>
      <c r="N66">
        <f>'Wholesale Predicted Monthly'!N66</f>
        <v>0</v>
      </c>
      <c r="O66">
        <f>'Wholesale Predicted Monthly'!O66</f>
        <v>0</v>
      </c>
      <c r="Q66" s="8">
        <f>'Wholesale OLS model'!$B$5</f>
        <v>-50878161.758948997</v>
      </c>
      <c r="R66" s="8">
        <f>-'Combined Monthly Data'!G66</f>
        <v>-838736.74034464243</v>
      </c>
      <c r="S66" s="8">
        <f ca="1">'Wholesale OLS model'!$B$6*D66</f>
        <v>2127315.3930130186</v>
      </c>
      <c r="T66" s="8">
        <f ca="1">'Wholesale OLS model'!$B$7*E66</f>
        <v>6887269.8586982237</v>
      </c>
      <c r="U66" s="8">
        <f>'Wholesale OLS model'!$B$8*F66</f>
        <v>85128294.959503397</v>
      </c>
      <c r="V66" s="8">
        <f>'Wholesale OLS model'!$B$9*G66</f>
        <v>-3659724.8458527052</v>
      </c>
      <c r="W66" s="8">
        <f>'Wholesale OLS model'!$B$10*H66</f>
        <v>10200224.995656123</v>
      </c>
      <c r="X66" s="8">
        <f>'Wholesale OLS model'!$B$11*I66</f>
        <v>-1980487.4456003499</v>
      </c>
      <c r="Y66" s="8">
        <f>'Wholesale OLS model'!$B$12*J66</f>
        <v>-1809227.980281424</v>
      </c>
      <c r="Z66" s="8">
        <f>'Wholesale OLS model'!$B$13*K66</f>
        <v>0</v>
      </c>
      <c r="AA66" s="8">
        <f>'Wholesale OLS model'!$B$14*L66</f>
        <v>0</v>
      </c>
      <c r="AB66" s="8">
        <f>'Wholesale OLS model'!$B$15*M66</f>
        <v>0</v>
      </c>
      <c r="AC66" s="8">
        <f>'Wholesale OLS model'!$B$16*N66</f>
        <v>0</v>
      </c>
      <c r="AD66" s="8">
        <f>'Wholesale OLS model'!$B$17*O66</f>
        <v>0</v>
      </c>
      <c r="AE66" s="8">
        <f t="shared" ca="1" si="0"/>
        <v>45176766.435842641</v>
      </c>
    </row>
    <row r="67" spans="1:31" x14ac:dyDescent="0.2">
      <c r="A67" s="99">
        <f>'Wholesale Predicted Monthly'!A67</f>
        <v>41791</v>
      </c>
      <c r="B67">
        <f>'Wholesale Predicted Monthly'!B67</f>
        <v>2014</v>
      </c>
      <c r="C67">
        <f>'Wholesale Predicted Monthly'!C67</f>
        <v>45060086</v>
      </c>
      <c r="D67">
        <f t="shared" ca="1" si="3"/>
        <v>28.409999999999997</v>
      </c>
      <c r="E67">
        <f t="shared" ca="1" si="2"/>
        <v>106.29</v>
      </c>
      <c r="F67">
        <f>'Wholesale Predicted Monthly'!F67</f>
        <v>6912.9</v>
      </c>
      <c r="G67">
        <f>'Wholesale Predicted Monthly'!G67</f>
        <v>66</v>
      </c>
      <c r="H67">
        <f>'Wholesale Predicted Monthly'!H67</f>
        <v>21</v>
      </c>
      <c r="I67">
        <f>'Wholesale Predicted Monthly'!I67</f>
        <v>1</v>
      </c>
      <c r="J67">
        <f>'Wholesale Predicted Monthly'!J67</f>
        <v>18</v>
      </c>
      <c r="K67">
        <f>'Wholesale Predicted Monthly'!K67</f>
        <v>0</v>
      </c>
      <c r="L67">
        <f>'Wholesale Predicted Monthly'!L67</f>
        <v>0</v>
      </c>
      <c r="M67">
        <f>'Wholesale Predicted Monthly'!M67</f>
        <v>0</v>
      </c>
      <c r="N67">
        <f>'Wholesale Predicted Monthly'!N67</f>
        <v>0</v>
      </c>
      <c r="O67">
        <f>'Wholesale Predicted Monthly'!O67</f>
        <v>0</v>
      </c>
      <c r="Q67" s="8">
        <f>'Wholesale OLS model'!$B$5</f>
        <v>-50878161.758948997</v>
      </c>
      <c r="R67" s="8">
        <f>-'Combined Monthly Data'!G67</f>
        <v>-859282.09142054559</v>
      </c>
      <c r="S67" s="8">
        <f ca="1">'Wholesale OLS model'!$B$6*D67</f>
        <v>450518.30276183254</v>
      </c>
      <c r="T67" s="8">
        <f ca="1">'Wholesale OLS model'!$B$7*E67</f>
        <v>10026680.088769129</v>
      </c>
      <c r="U67" s="8">
        <f>'Wholesale OLS model'!$B$8*F67</f>
        <v>86002892.208451614</v>
      </c>
      <c r="V67" s="8">
        <f>'Wholesale OLS model'!$B$9*G67</f>
        <v>-3716028.3050196702</v>
      </c>
      <c r="W67" s="8">
        <f>'Wholesale OLS model'!$B$10*H67</f>
        <v>9736578.4049444813</v>
      </c>
      <c r="X67" s="8">
        <f>'Wholesale OLS model'!$B$11*I67</f>
        <v>-1980487.4456003499</v>
      </c>
      <c r="Y67" s="8">
        <f>'Wholesale OLS model'!$B$12*J67</f>
        <v>-1915653.155592096</v>
      </c>
      <c r="Z67" s="8">
        <f>'Wholesale OLS model'!$B$13*K67</f>
        <v>0</v>
      </c>
      <c r="AA67" s="8">
        <f>'Wholesale OLS model'!$B$14*L67</f>
        <v>0</v>
      </c>
      <c r="AB67" s="8">
        <f>'Wholesale OLS model'!$B$15*M67</f>
        <v>0</v>
      </c>
      <c r="AC67" s="8">
        <f>'Wholesale OLS model'!$B$16*N67</f>
        <v>0</v>
      </c>
      <c r="AD67" s="8">
        <f>'Wholesale OLS model'!$B$17*O67</f>
        <v>0</v>
      </c>
      <c r="AE67" s="8">
        <f t="shared" ref="AE67:AE85" ca="1" si="4">SUM(Q67:AD67)</f>
        <v>46867056.24834539</v>
      </c>
    </row>
    <row r="68" spans="1:31" x14ac:dyDescent="0.2">
      <c r="A68" s="99">
        <f>'Wholesale Predicted Monthly'!A68</f>
        <v>41821</v>
      </c>
      <c r="B68">
        <f>'Wholesale Predicted Monthly'!B68</f>
        <v>2014</v>
      </c>
      <c r="C68">
        <f>'Wholesale Predicted Monthly'!C68</f>
        <v>46747535</v>
      </c>
      <c r="D68">
        <f t="shared" ca="1" si="3"/>
        <v>5.84</v>
      </c>
      <c r="E68">
        <f t="shared" ca="1" si="2"/>
        <v>81.070000000000007</v>
      </c>
      <c r="F68">
        <f>'Wholesale Predicted Monthly'!F68</f>
        <v>6957.8</v>
      </c>
      <c r="G68">
        <f>'Wholesale Predicted Monthly'!G68</f>
        <v>67</v>
      </c>
      <c r="H68">
        <f>'Wholesale Predicted Monthly'!H68</f>
        <v>22</v>
      </c>
      <c r="I68">
        <f>'Wholesale Predicted Monthly'!I68</f>
        <v>1</v>
      </c>
      <c r="J68">
        <f>'Wholesale Predicted Monthly'!J68</f>
        <v>19</v>
      </c>
      <c r="K68">
        <f>'Wholesale Predicted Monthly'!K68</f>
        <v>0</v>
      </c>
      <c r="L68">
        <f>'Wholesale Predicted Monthly'!L68</f>
        <v>0</v>
      </c>
      <c r="M68">
        <f>'Wholesale Predicted Monthly'!M68</f>
        <v>1</v>
      </c>
      <c r="N68">
        <f>'Wholesale Predicted Monthly'!N68</f>
        <v>0</v>
      </c>
      <c r="O68">
        <f>'Wholesale Predicted Monthly'!O68</f>
        <v>0</v>
      </c>
      <c r="Q68" s="8">
        <f>'Wholesale OLS model'!$B$5</f>
        <v>-50878161.758948997</v>
      </c>
      <c r="R68" s="8">
        <f>-'Combined Monthly Data'!G68</f>
        <v>-879827.44249644864</v>
      </c>
      <c r="S68" s="8">
        <f ca="1">'Wholesale OLS model'!$B$6*D68</f>
        <v>92609.182968289417</v>
      </c>
      <c r="T68" s="8">
        <f ca="1">'Wholesale OLS model'!$B$7*E68</f>
        <v>7647595.7737935204</v>
      </c>
      <c r="U68" s="8">
        <f>'Wholesale OLS model'!$B$8*F68</f>
        <v>86561489.882388666</v>
      </c>
      <c r="V68" s="8">
        <f>'Wholesale OLS model'!$B$9*G68</f>
        <v>-3772331.7641866347</v>
      </c>
      <c r="W68" s="8">
        <f>'Wholesale OLS model'!$B$10*H68</f>
        <v>10200224.995656123</v>
      </c>
      <c r="X68" s="8">
        <f>'Wholesale OLS model'!$B$11*I68</f>
        <v>-1980487.4456003499</v>
      </c>
      <c r="Y68" s="8">
        <f>'Wholesale OLS model'!$B$12*J68</f>
        <v>-2022078.3309027681</v>
      </c>
      <c r="Z68" s="8">
        <f>'Wholesale OLS model'!$B$13*K68</f>
        <v>0</v>
      </c>
      <c r="AA68" s="8">
        <f>'Wholesale OLS model'!$B$14*L68</f>
        <v>0</v>
      </c>
      <c r="AB68" s="8">
        <f>'Wholesale OLS model'!$B$15*M68</f>
        <v>2370057.8473386201</v>
      </c>
      <c r="AC68" s="8">
        <f>'Wholesale OLS model'!$B$16*N68</f>
        <v>0</v>
      </c>
      <c r="AD68" s="8">
        <f>'Wholesale OLS model'!$B$17*O68</f>
        <v>0</v>
      </c>
      <c r="AE68" s="8">
        <f t="shared" ca="1" si="4"/>
        <v>47339090.940010011</v>
      </c>
    </row>
    <row r="69" spans="1:31" x14ac:dyDescent="0.2">
      <c r="A69" s="99">
        <f>'Wholesale Predicted Monthly'!A69</f>
        <v>41852</v>
      </c>
      <c r="B69">
        <f>'Wholesale Predicted Monthly'!B69</f>
        <v>2014</v>
      </c>
      <c r="C69">
        <f>'Wholesale Predicted Monthly'!C69</f>
        <v>44915574</v>
      </c>
      <c r="D69">
        <f t="shared" ca="1" si="3"/>
        <v>10.420000000000002</v>
      </c>
      <c r="E69">
        <f t="shared" ca="1" si="2"/>
        <v>31.57</v>
      </c>
      <c r="F69">
        <f>'Wholesale Predicted Monthly'!F69</f>
        <v>6969.7</v>
      </c>
      <c r="G69">
        <f>'Wholesale Predicted Monthly'!G69</f>
        <v>68</v>
      </c>
      <c r="H69">
        <f>'Wholesale Predicted Monthly'!H69</f>
        <v>20</v>
      </c>
      <c r="I69">
        <f>'Wholesale Predicted Monthly'!I69</f>
        <v>1</v>
      </c>
      <c r="J69">
        <f>'Wholesale Predicted Monthly'!J69</f>
        <v>20</v>
      </c>
      <c r="K69">
        <f>'Wholesale Predicted Monthly'!K69</f>
        <v>0</v>
      </c>
      <c r="L69">
        <f>'Wholesale Predicted Monthly'!L69</f>
        <v>0</v>
      </c>
      <c r="M69">
        <f>'Wholesale Predicted Monthly'!M69</f>
        <v>0</v>
      </c>
      <c r="N69">
        <f>'Wholesale Predicted Monthly'!N69</f>
        <v>1</v>
      </c>
      <c r="O69">
        <f>'Wholesale Predicted Monthly'!O69</f>
        <v>0</v>
      </c>
      <c r="Q69" s="8">
        <f>'Wholesale OLS model'!$B$5</f>
        <v>-50878161.758948997</v>
      </c>
      <c r="R69" s="8">
        <f>-'Combined Monthly Data'!G69</f>
        <v>-900372.79357235169</v>
      </c>
      <c r="S69" s="8">
        <f ca="1">'Wholesale OLS model'!$B$6*D69</f>
        <v>165237.61755643424</v>
      </c>
      <c r="T69" s="8">
        <f ca="1">'Wholesale OLS model'!$B$7*E69</f>
        <v>2978100.3895233925</v>
      </c>
      <c r="U69" s="8">
        <f>'Wholesale OLS model'!$B$8*F69</f>
        <v>86709536.927374214</v>
      </c>
      <c r="V69" s="8">
        <f>'Wholesale OLS model'!$B$9*G69</f>
        <v>-3828635.2233535997</v>
      </c>
      <c r="W69" s="8">
        <f>'Wholesale OLS model'!$B$10*H69</f>
        <v>9272931.8142328393</v>
      </c>
      <c r="X69" s="8">
        <f>'Wholesale OLS model'!$B$11*I69</f>
        <v>-1980487.4456003499</v>
      </c>
      <c r="Y69" s="8">
        <f>'Wholesale OLS model'!$B$12*J69</f>
        <v>-2128503.5062134401</v>
      </c>
      <c r="Z69" s="8">
        <f>'Wholesale OLS model'!$B$13*K69</f>
        <v>0</v>
      </c>
      <c r="AA69" s="8">
        <f>'Wholesale OLS model'!$B$14*L69</f>
        <v>0</v>
      </c>
      <c r="AB69" s="8">
        <f>'Wholesale OLS model'!$B$15*M69</f>
        <v>0</v>
      </c>
      <c r="AC69" s="8">
        <f>'Wholesale OLS model'!$B$16*N69</f>
        <v>3743904.46078429</v>
      </c>
      <c r="AD69" s="8">
        <f>'Wholesale OLS model'!$B$17*O69</f>
        <v>0</v>
      </c>
      <c r="AE69" s="8">
        <f t="shared" ca="1" si="4"/>
        <v>43153550.481782436</v>
      </c>
    </row>
    <row r="70" spans="1:31" x14ac:dyDescent="0.2">
      <c r="A70" s="99">
        <f>'Wholesale Predicted Monthly'!A70</f>
        <v>41883</v>
      </c>
      <c r="B70">
        <f>'Wholesale Predicted Monthly'!B70</f>
        <v>2014</v>
      </c>
      <c r="C70">
        <f>'Wholesale Predicted Monthly'!C70</f>
        <v>39557944</v>
      </c>
      <c r="D70">
        <f t="shared" ca="1" si="3"/>
        <v>69.52000000000001</v>
      </c>
      <c r="E70">
        <f t="shared" ca="1" si="2"/>
        <v>3.6300000000000003</v>
      </c>
      <c r="F70">
        <f>'Wholesale Predicted Monthly'!F70</f>
        <v>6944.1</v>
      </c>
      <c r="G70">
        <f>'Wholesale Predicted Monthly'!G70</f>
        <v>69</v>
      </c>
      <c r="H70">
        <f>'Wholesale Predicted Monthly'!H70</f>
        <v>21</v>
      </c>
      <c r="I70">
        <f>'Wholesale Predicted Monthly'!I70</f>
        <v>1</v>
      </c>
      <c r="J70">
        <f>'Wholesale Predicted Monthly'!J70</f>
        <v>21</v>
      </c>
      <c r="K70">
        <f>'Wholesale Predicted Monthly'!K70</f>
        <v>0</v>
      </c>
      <c r="L70">
        <f>'Wholesale Predicted Monthly'!L70</f>
        <v>0</v>
      </c>
      <c r="M70">
        <f>'Wholesale Predicted Monthly'!M70</f>
        <v>0</v>
      </c>
      <c r="N70">
        <f>'Wholesale Predicted Monthly'!N70</f>
        <v>0</v>
      </c>
      <c r="O70">
        <f>'Wholesale Predicted Monthly'!O70</f>
        <v>0</v>
      </c>
      <c r="Q70" s="8">
        <f>'Wholesale OLS model'!$B$5</f>
        <v>-50878161.758948997</v>
      </c>
      <c r="R70" s="8">
        <f>-'Combined Monthly Data'!G70</f>
        <v>-920918.14464825485</v>
      </c>
      <c r="S70" s="8">
        <f ca="1">'Wholesale OLS model'!$B$6*D70</f>
        <v>1102429.8630060756</v>
      </c>
      <c r="T70" s="8">
        <f ca="1">'Wholesale OLS model'!$B$7*E70</f>
        <v>342429.6615131427</v>
      </c>
      <c r="U70" s="8">
        <f>'Wholesale OLS model'!$B$8*F70</f>
        <v>86391049.166733041</v>
      </c>
      <c r="V70" s="8">
        <f>'Wholesale OLS model'!$B$9*G70</f>
        <v>-3884938.6825205642</v>
      </c>
      <c r="W70" s="8">
        <f>'Wholesale OLS model'!$B$10*H70</f>
        <v>9736578.4049444813</v>
      </c>
      <c r="X70" s="8">
        <f>'Wholesale OLS model'!$B$11*I70</f>
        <v>-1980487.4456003499</v>
      </c>
      <c r="Y70" s="8">
        <f>'Wholesale OLS model'!$B$12*J70</f>
        <v>-2234928.6815241119</v>
      </c>
      <c r="Z70" s="8">
        <f>'Wholesale OLS model'!$B$13*K70</f>
        <v>0</v>
      </c>
      <c r="AA70" s="8">
        <f>'Wholesale OLS model'!$B$14*L70</f>
        <v>0</v>
      </c>
      <c r="AB70" s="8">
        <f>'Wholesale OLS model'!$B$15*M70</f>
        <v>0</v>
      </c>
      <c r="AC70" s="8">
        <f>'Wholesale OLS model'!$B$16*N70</f>
        <v>0</v>
      </c>
      <c r="AD70" s="8">
        <f>'Wholesale OLS model'!$B$17*O70</f>
        <v>0</v>
      </c>
      <c r="AE70" s="8">
        <f t="shared" ca="1" si="4"/>
        <v>37673052.382954463</v>
      </c>
    </row>
    <row r="71" spans="1:31" x14ac:dyDescent="0.2">
      <c r="A71" s="99">
        <f>'Wholesale Predicted Monthly'!A71</f>
        <v>41913</v>
      </c>
      <c r="B71">
        <f>'Wholesale Predicted Monthly'!B71</f>
        <v>2014</v>
      </c>
      <c r="C71">
        <f>'Wholesale Predicted Monthly'!C71</f>
        <v>39850442</v>
      </c>
      <c r="D71">
        <f t="shared" ca="1" si="3"/>
        <v>236.61000000000004</v>
      </c>
      <c r="E71">
        <f t="shared" ca="1" si="2"/>
        <v>0</v>
      </c>
      <c r="F71">
        <f>'Wholesale Predicted Monthly'!F71</f>
        <v>6936.6</v>
      </c>
      <c r="G71">
        <f>'Wholesale Predicted Monthly'!G71</f>
        <v>70</v>
      </c>
      <c r="H71">
        <f>'Wholesale Predicted Monthly'!H71</f>
        <v>22</v>
      </c>
      <c r="I71">
        <f>'Wholesale Predicted Monthly'!I71</f>
        <v>1</v>
      </c>
      <c r="J71">
        <f>'Wholesale Predicted Monthly'!J71</f>
        <v>22</v>
      </c>
      <c r="K71">
        <f>'Wholesale Predicted Monthly'!K71</f>
        <v>0</v>
      </c>
      <c r="L71">
        <f>'Wholesale Predicted Monthly'!L71</f>
        <v>0</v>
      </c>
      <c r="M71">
        <f>'Wholesale Predicted Monthly'!M71</f>
        <v>0</v>
      </c>
      <c r="N71">
        <f>'Wholesale Predicted Monthly'!N71</f>
        <v>0</v>
      </c>
      <c r="O71">
        <f>'Wholesale Predicted Monthly'!O71</f>
        <v>0</v>
      </c>
      <c r="Q71" s="8">
        <f>'Wholesale OLS model'!$B$5</f>
        <v>-50878161.758948997</v>
      </c>
      <c r="R71" s="8">
        <f>-'Combined Monthly Data'!G71</f>
        <v>-941463.4957241579</v>
      </c>
      <c r="S71" s="8">
        <f ca="1">'Wholesale OLS model'!$B$6*D71</f>
        <v>3752099.10652859</v>
      </c>
      <c r="T71" s="8">
        <f ca="1">'Wholesale OLS model'!$B$7*E71</f>
        <v>0</v>
      </c>
      <c r="U71" s="8">
        <f>'Wholesale OLS model'!$B$8*F71</f>
        <v>86297742.205607697</v>
      </c>
      <c r="V71" s="8">
        <f>'Wholesale OLS model'!$B$9*G71</f>
        <v>-3941242.1416875287</v>
      </c>
      <c r="W71" s="8">
        <f>'Wholesale OLS model'!$B$10*H71</f>
        <v>10200224.995656123</v>
      </c>
      <c r="X71" s="8">
        <f>'Wholesale OLS model'!$B$11*I71</f>
        <v>-1980487.4456003499</v>
      </c>
      <c r="Y71" s="8">
        <f>'Wholesale OLS model'!$B$12*J71</f>
        <v>-2341353.8568347842</v>
      </c>
      <c r="Z71" s="8">
        <f>'Wholesale OLS model'!$B$13*K71</f>
        <v>0</v>
      </c>
      <c r="AA71" s="8">
        <f>'Wholesale OLS model'!$B$14*L71</f>
        <v>0</v>
      </c>
      <c r="AB71" s="8">
        <f>'Wholesale OLS model'!$B$15*M71</f>
        <v>0</v>
      </c>
      <c r="AC71" s="8">
        <f>'Wholesale OLS model'!$B$16*N71</f>
        <v>0</v>
      </c>
      <c r="AD71" s="8">
        <f>'Wholesale OLS model'!$B$17*O71</f>
        <v>0</v>
      </c>
      <c r="AE71" s="8">
        <f t="shared" ca="1" si="4"/>
        <v>40167357.608996592</v>
      </c>
    </row>
    <row r="72" spans="1:31" x14ac:dyDescent="0.2">
      <c r="A72" s="99">
        <f>'Wholesale Predicted Monthly'!A72</f>
        <v>41944</v>
      </c>
      <c r="B72">
        <f>'Wholesale Predicted Monthly'!B72</f>
        <v>2014</v>
      </c>
      <c r="C72">
        <f>'Wholesale Predicted Monthly'!C72</f>
        <v>43491698</v>
      </c>
      <c r="D72">
        <f t="shared" ca="1" si="3"/>
        <v>398.34999999999997</v>
      </c>
      <c r="E72">
        <f t="shared" ca="1" si="2"/>
        <v>0</v>
      </c>
      <c r="F72">
        <f>'Wholesale Predicted Monthly'!F72</f>
        <v>6914.3</v>
      </c>
      <c r="G72">
        <f>'Wholesale Predicted Monthly'!G72</f>
        <v>71</v>
      </c>
      <c r="H72">
        <f>'Wholesale Predicted Monthly'!H72</f>
        <v>20</v>
      </c>
      <c r="I72">
        <f>'Wholesale Predicted Monthly'!I72</f>
        <v>1</v>
      </c>
      <c r="J72">
        <f>'Wholesale Predicted Monthly'!J72</f>
        <v>23</v>
      </c>
      <c r="K72">
        <f>'Wholesale Predicted Monthly'!K72</f>
        <v>0</v>
      </c>
      <c r="L72">
        <f>'Wholesale Predicted Monthly'!L72</f>
        <v>0</v>
      </c>
      <c r="M72">
        <f>'Wholesale Predicted Monthly'!M72</f>
        <v>0</v>
      </c>
      <c r="N72">
        <f>'Wholesale Predicted Monthly'!N72</f>
        <v>0</v>
      </c>
      <c r="O72">
        <f>'Wholesale Predicted Monthly'!O72</f>
        <v>1</v>
      </c>
      <c r="Q72" s="8">
        <f>'Wholesale OLS model'!$B$5</f>
        <v>-50878161.758948997</v>
      </c>
      <c r="R72" s="8">
        <f>-'Combined Monthly Data'!G72</f>
        <v>-962008.84680006106</v>
      </c>
      <c r="S72" s="8">
        <f ca="1">'Wholesale OLS model'!$B$6*D72</f>
        <v>6316929.4581195358</v>
      </c>
      <c r="T72" s="8">
        <f ca="1">'Wholesale OLS model'!$B$7*E72</f>
        <v>0</v>
      </c>
      <c r="U72" s="8">
        <f>'Wholesale OLS model'!$B$8*F72</f>
        <v>86020309.507861674</v>
      </c>
      <c r="V72" s="8">
        <f>'Wholesale OLS model'!$B$9*G72</f>
        <v>-3997545.6008544937</v>
      </c>
      <c r="W72" s="8">
        <f>'Wholesale OLS model'!$B$10*H72</f>
        <v>9272931.8142328393</v>
      </c>
      <c r="X72" s="8">
        <f>'Wholesale OLS model'!$B$11*I72</f>
        <v>-1980487.4456003499</v>
      </c>
      <c r="Y72" s="8">
        <f>'Wholesale OLS model'!$B$12*J72</f>
        <v>-2447779.0321454559</v>
      </c>
      <c r="Z72" s="8">
        <f>'Wholesale OLS model'!$B$13*K72</f>
        <v>0</v>
      </c>
      <c r="AA72" s="8">
        <f>'Wholesale OLS model'!$B$14*L72</f>
        <v>0</v>
      </c>
      <c r="AB72" s="8">
        <f>'Wholesale OLS model'!$B$15*M72</f>
        <v>0</v>
      </c>
      <c r="AC72" s="8">
        <f>'Wholesale OLS model'!$B$16*N72</f>
        <v>0</v>
      </c>
      <c r="AD72" s="8">
        <f>'Wholesale OLS model'!$B$17*O72</f>
        <v>-1766353.8816768799</v>
      </c>
      <c r="AE72" s="8">
        <f t="shared" ca="1" si="4"/>
        <v>39577834.214187808</v>
      </c>
    </row>
    <row r="73" spans="1:31" x14ac:dyDescent="0.2">
      <c r="A73" s="99">
        <f>'Wholesale Predicted Monthly'!A73</f>
        <v>41974</v>
      </c>
      <c r="B73">
        <f>'Wholesale Predicted Monthly'!B73</f>
        <v>2014</v>
      </c>
      <c r="C73">
        <f>'Wholesale Predicted Monthly'!C73</f>
        <v>44870993</v>
      </c>
      <c r="D73">
        <f t="shared" ca="1" si="3"/>
        <v>558.68999999999994</v>
      </c>
      <c r="E73">
        <f t="shared" si="2"/>
        <v>0</v>
      </c>
      <c r="F73">
        <f>'Wholesale Predicted Monthly'!F73</f>
        <v>6903.2</v>
      </c>
      <c r="G73">
        <f>'Wholesale Predicted Monthly'!G73</f>
        <v>72</v>
      </c>
      <c r="H73">
        <f>'Wholesale Predicted Monthly'!H73</f>
        <v>21</v>
      </c>
      <c r="I73">
        <f>'Wholesale Predicted Monthly'!I73</f>
        <v>1</v>
      </c>
      <c r="J73">
        <f>'Wholesale Predicted Monthly'!J73</f>
        <v>24</v>
      </c>
      <c r="K73">
        <f>'Wholesale Predicted Monthly'!K73</f>
        <v>0</v>
      </c>
      <c r="L73">
        <f>'Wholesale Predicted Monthly'!L73</f>
        <v>0</v>
      </c>
      <c r="M73">
        <f>'Wholesale Predicted Monthly'!M73</f>
        <v>0</v>
      </c>
      <c r="N73">
        <f>'Wholesale Predicted Monthly'!N73</f>
        <v>0</v>
      </c>
      <c r="O73">
        <f>'Wholesale Predicted Monthly'!O73</f>
        <v>0</v>
      </c>
      <c r="Q73" s="8">
        <f>'Wholesale OLS model'!$B$5</f>
        <v>-50878161.758948997</v>
      </c>
      <c r="R73" s="8">
        <f>-'Combined Monthly Data'!G73</f>
        <v>-982554.19787596422</v>
      </c>
      <c r="S73" s="8">
        <f ca="1">'Wholesale OLS model'!$B$6*D73</f>
        <v>8859558.9781769887</v>
      </c>
      <c r="T73" s="8">
        <f>'Wholesale OLS model'!$B$7*E73</f>
        <v>0</v>
      </c>
      <c r="U73" s="8">
        <f>'Wholesale OLS model'!$B$8*F73</f>
        <v>85882215.20539616</v>
      </c>
      <c r="V73" s="8">
        <f>'Wholesale OLS model'!$B$9*G73</f>
        <v>-4053849.0600214582</v>
      </c>
      <c r="W73" s="8">
        <f>'Wholesale OLS model'!$B$10*H73</f>
        <v>9736578.4049444813</v>
      </c>
      <c r="X73" s="8">
        <f>'Wholesale OLS model'!$B$11*I73</f>
        <v>-1980487.4456003499</v>
      </c>
      <c r="Y73" s="8">
        <f>'Wholesale OLS model'!$B$12*J73</f>
        <v>-2554204.2074561277</v>
      </c>
      <c r="Z73" s="8">
        <f>'Wholesale OLS model'!$B$13*K73</f>
        <v>0</v>
      </c>
      <c r="AA73" s="8">
        <f>'Wholesale OLS model'!$B$14*L73</f>
        <v>0</v>
      </c>
      <c r="AB73" s="8">
        <f>'Wholesale OLS model'!$B$15*M73</f>
        <v>0</v>
      </c>
      <c r="AC73" s="8">
        <f>'Wholesale OLS model'!$B$16*N73</f>
        <v>0</v>
      </c>
      <c r="AD73" s="8">
        <f>'Wholesale OLS model'!$B$17*O73</f>
        <v>0</v>
      </c>
      <c r="AE73" s="8">
        <f t="shared" ca="1" si="4"/>
        <v>44029095.91861473</v>
      </c>
    </row>
    <row r="74" spans="1:31" x14ac:dyDescent="0.2">
      <c r="A74" s="99">
        <f>'Wholesale Predicted Monthly'!A74</f>
        <v>42005</v>
      </c>
      <c r="B74">
        <f>'Wholesale Predicted Monthly'!B74</f>
        <v>2015</v>
      </c>
      <c r="C74">
        <f>'Wholesale Predicted Monthly'!C74</f>
        <v>50100445</v>
      </c>
      <c r="D74">
        <f t="shared" ca="1" si="3"/>
        <v>685.8599999999999</v>
      </c>
      <c r="E74">
        <f t="shared" ca="1" si="2"/>
        <v>0</v>
      </c>
      <c r="F74">
        <f>'Wholesale Predicted Monthly'!F74</f>
        <v>6845.1</v>
      </c>
      <c r="G74">
        <f>'Wholesale Predicted Monthly'!G74</f>
        <v>73</v>
      </c>
      <c r="H74">
        <f>'Wholesale Predicted Monthly'!H74</f>
        <v>21</v>
      </c>
      <c r="I74">
        <f>'Wholesale Predicted Monthly'!I74</f>
        <v>1</v>
      </c>
      <c r="J74">
        <f>'Wholesale Predicted Monthly'!J74</f>
        <v>25</v>
      </c>
      <c r="K74">
        <f>'Wholesale Predicted Monthly'!K74</f>
        <v>1</v>
      </c>
      <c r="L74">
        <f>'Wholesale Predicted Monthly'!L74</f>
        <v>0</v>
      </c>
      <c r="M74">
        <f>'Wholesale Predicted Monthly'!M74</f>
        <v>0</v>
      </c>
      <c r="N74">
        <f>'Wholesale Predicted Monthly'!N74</f>
        <v>0</v>
      </c>
      <c r="O74">
        <f>'Wholesale Predicted Monthly'!O74</f>
        <v>0</v>
      </c>
      <c r="Q74" s="8">
        <f>'Wholesale OLS model'!$B$5</f>
        <v>-50878161.758948997</v>
      </c>
      <c r="R74" s="8">
        <f>-'Combined Monthly Data'!G74</f>
        <v>-971312.95977483224</v>
      </c>
      <c r="S74" s="8">
        <f ca="1">'Wholesale OLS model'!$B$6*D74</f>
        <v>10876187.368258728</v>
      </c>
      <c r="T74" s="8">
        <f ca="1">'Wholesale OLS model'!$B$7*E74</f>
        <v>0</v>
      </c>
      <c r="U74" s="8">
        <f>'Wholesale OLS model'!$B$8*F74</f>
        <v>85159397.279878512</v>
      </c>
      <c r="V74" s="8">
        <f>'Wholesale OLS model'!$B$9*G74</f>
        <v>-4110152.5191884232</v>
      </c>
      <c r="W74" s="8">
        <f>'Wholesale OLS model'!$B$10*H74</f>
        <v>9736578.4049444813</v>
      </c>
      <c r="X74" s="8">
        <f>'Wholesale OLS model'!$B$11*I74</f>
        <v>-1980487.4456003499</v>
      </c>
      <c r="Y74" s="8">
        <f>'Wholesale OLS model'!$B$12*J74</f>
        <v>-2660629.3827668</v>
      </c>
      <c r="Z74" s="8">
        <f>'Wholesale OLS model'!$B$13*K74</f>
        <v>2647304.3437043098</v>
      </c>
      <c r="AA74" s="8">
        <f>'Wholesale OLS model'!$B$14*L74</f>
        <v>0</v>
      </c>
      <c r="AB74" s="8">
        <f>'Wholesale OLS model'!$B$15*M74</f>
        <v>0</v>
      </c>
      <c r="AC74" s="8">
        <f>'Wholesale OLS model'!$B$16*N74</f>
        <v>0</v>
      </c>
      <c r="AD74" s="8">
        <f>'Wholesale OLS model'!$B$17*O74</f>
        <v>0</v>
      </c>
      <c r="AE74" s="8">
        <f t="shared" ca="1" si="4"/>
        <v>47818723.33050663</v>
      </c>
    </row>
    <row r="75" spans="1:31" x14ac:dyDescent="0.2">
      <c r="A75" s="99">
        <f>'Wholesale Predicted Monthly'!A75</f>
        <v>42036</v>
      </c>
      <c r="B75">
        <f>'Wholesale Predicted Monthly'!B75</f>
        <v>2015</v>
      </c>
      <c r="C75">
        <f>'Wholesale Predicted Monthly'!C75</f>
        <v>46271067</v>
      </c>
      <c r="D75">
        <f t="shared" ca="1" si="3"/>
        <v>660.08</v>
      </c>
      <c r="E75">
        <f t="shared" ca="1" si="2"/>
        <v>0</v>
      </c>
      <c r="F75">
        <f>'Wholesale Predicted Monthly'!F75</f>
        <v>6810.3</v>
      </c>
      <c r="G75">
        <f>'Wholesale Predicted Monthly'!G75</f>
        <v>74</v>
      </c>
      <c r="H75">
        <f>'Wholesale Predicted Monthly'!H75</f>
        <v>19</v>
      </c>
      <c r="I75">
        <f>'Wholesale Predicted Monthly'!I75</f>
        <v>1</v>
      </c>
      <c r="J75">
        <f>'Wholesale Predicted Monthly'!J75</f>
        <v>26</v>
      </c>
      <c r="K75">
        <f>'Wholesale Predicted Monthly'!K75</f>
        <v>0</v>
      </c>
      <c r="L75">
        <f>'Wholesale Predicted Monthly'!L75</f>
        <v>0</v>
      </c>
      <c r="M75">
        <f>'Wholesale Predicted Monthly'!M75</f>
        <v>0</v>
      </c>
      <c r="N75">
        <f>'Wholesale Predicted Monthly'!N75</f>
        <v>0</v>
      </c>
      <c r="O75">
        <f>'Wholesale Predicted Monthly'!O75</f>
        <v>0</v>
      </c>
      <c r="Q75" s="8">
        <f>'Wholesale OLS model'!$B$5</f>
        <v>-50878161.758948997</v>
      </c>
      <c r="R75" s="8">
        <f>-'Combined Monthly Data'!G75</f>
        <v>-999878.36949705461</v>
      </c>
      <c r="S75" s="8">
        <f ca="1">'Wholesale OLS model'!$B$6*D75</f>
        <v>10467374.913306247</v>
      </c>
      <c r="T75" s="8">
        <f ca="1">'Wholesale OLS model'!$B$7*E75</f>
        <v>0</v>
      </c>
      <c r="U75" s="8">
        <f>'Wholesale OLS model'!$B$8*F75</f>
        <v>84726452.980256915</v>
      </c>
      <c r="V75" s="8">
        <f>'Wholesale OLS model'!$B$9*G75</f>
        <v>-4166455.9783553877</v>
      </c>
      <c r="W75" s="8">
        <f>'Wholesale OLS model'!$B$10*H75</f>
        <v>8809285.2235211972</v>
      </c>
      <c r="X75" s="8">
        <f>'Wholesale OLS model'!$B$11*I75</f>
        <v>-1980487.4456003499</v>
      </c>
      <c r="Y75" s="8">
        <f>'Wholesale OLS model'!$B$12*J75</f>
        <v>-2767054.5580774718</v>
      </c>
      <c r="Z75" s="8">
        <f>'Wholesale OLS model'!$B$13*K75</f>
        <v>0</v>
      </c>
      <c r="AA75" s="8">
        <f>'Wholesale OLS model'!$B$14*L75</f>
        <v>0</v>
      </c>
      <c r="AB75" s="8">
        <f>'Wholesale OLS model'!$B$15*M75</f>
        <v>0</v>
      </c>
      <c r="AC75" s="8">
        <f>'Wholesale OLS model'!$B$16*N75</f>
        <v>0</v>
      </c>
      <c r="AD75" s="8">
        <f>'Wholesale OLS model'!$B$17*O75</f>
        <v>0</v>
      </c>
      <c r="AE75" s="8">
        <f t="shared" ca="1" si="4"/>
        <v>43211075.006605096</v>
      </c>
    </row>
    <row r="76" spans="1:31" x14ac:dyDescent="0.2">
      <c r="A76" s="99">
        <f>'Wholesale Predicted Monthly'!A76</f>
        <v>42064</v>
      </c>
      <c r="B76">
        <f>'Wholesale Predicted Monthly'!B76</f>
        <v>2015</v>
      </c>
      <c r="C76">
        <f>'Wholesale Predicted Monthly'!C76</f>
        <v>44501238</v>
      </c>
      <c r="D76">
        <f t="shared" ca="1" si="3"/>
        <v>543.44000000000005</v>
      </c>
      <c r="E76">
        <f t="shared" ca="1" si="2"/>
        <v>0.24</v>
      </c>
      <c r="F76">
        <f>'Wholesale Predicted Monthly'!F76</f>
        <v>6783.7</v>
      </c>
      <c r="G76">
        <f>'Wholesale Predicted Monthly'!G76</f>
        <v>75</v>
      </c>
      <c r="H76">
        <f>'Wholesale Predicted Monthly'!H76</f>
        <v>22</v>
      </c>
      <c r="I76">
        <f>'Wholesale Predicted Monthly'!I76</f>
        <v>1</v>
      </c>
      <c r="J76">
        <f>'Wholesale Predicted Monthly'!J76</f>
        <v>27</v>
      </c>
      <c r="K76">
        <f>'Wholesale Predicted Monthly'!K76</f>
        <v>0</v>
      </c>
      <c r="L76">
        <f>'Wholesale Predicted Monthly'!L76</f>
        <v>1</v>
      </c>
      <c r="M76">
        <f>'Wholesale Predicted Monthly'!M76</f>
        <v>0</v>
      </c>
      <c r="N76">
        <f>'Wholesale Predicted Monthly'!N76</f>
        <v>0</v>
      </c>
      <c r="O76">
        <f>'Wholesale Predicted Monthly'!O76</f>
        <v>0</v>
      </c>
      <c r="Q76" s="8">
        <f>'Wholesale OLS model'!$B$5</f>
        <v>-50878161.758948997</v>
      </c>
      <c r="R76" s="8">
        <f>-'Combined Monthly Data'!G76</f>
        <v>-1028443.7792192769</v>
      </c>
      <c r="S76" s="8">
        <f ca="1">'Wholesale OLS model'!$B$6*D76</f>
        <v>8617728.4918300007</v>
      </c>
      <c r="T76" s="8">
        <f ca="1">'Wholesale OLS model'!$B$7*E76</f>
        <v>22639.977620703648</v>
      </c>
      <c r="U76" s="8">
        <f>'Wholesale OLS model'!$B$8*F76</f>
        <v>84395524.291465685</v>
      </c>
      <c r="V76" s="8">
        <f>'Wholesale OLS model'!$B$9*G76</f>
        <v>-4222759.4375223527</v>
      </c>
      <c r="W76" s="8">
        <f>'Wholesale OLS model'!$B$10*H76</f>
        <v>10200224.995656123</v>
      </c>
      <c r="X76" s="8">
        <f>'Wholesale OLS model'!$B$11*I76</f>
        <v>-1980487.4456003499</v>
      </c>
      <c r="Y76" s="8">
        <f>'Wholesale OLS model'!$B$12*J76</f>
        <v>-2873479.7333881441</v>
      </c>
      <c r="Z76" s="8">
        <f>'Wholesale OLS model'!$B$13*K76</f>
        <v>0</v>
      </c>
      <c r="AA76" s="8">
        <f>'Wholesale OLS model'!$B$14*L76</f>
        <v>1640135.6856942801</v>
      </c>
      <c r="AB76" s="8">
        <f>'Wholesale OLS model'!$B$15*M76</f>
        <v>0</v>
      </c>
      <c r="AC76" s="8">
        <f>'Wholesale OLS model'!$B$16*N76</f>
        <v>0</v>
      </c>
      <c r="AD76" s="8">
        <f>'Wholesale OLS model'!$B$17*O76</f>
        <v>0</v>
      </c>
      <c r="AE76" s="8">
        <f t="shared" ca="1" si="4"/>
        <v>43892921.287587672</v>
      </c>
    </row>
    <row r="77" spans="1:31" x14ac:dyDescent="0.2">
      <c r="A77" s="99">
        <f>'Wholesale Predicted Monthly'!A77</f>
        <v>42095</v>
      </c>
      <c r="B77">
        <f>'Wholesale Predicted Monthly'!B77</f>
        <v>2015</v>
      </c>
      <c r="C77">
        <f>'Wholesale Predicted Monthly'!C77</f>
        <v>37785792</v>
      </c>
      <c r="D77">
        <f t="shared" ca="1" si="3"/>
        <v>313.53000000000003</v>
      </c>
      <c r="E77">
        <f t="shared" ca="1" si="2"/>
        <v>17.5</v>
      </c>
      <c r="F77">
        <f>'Wholesale Predicted Monthly'!F77</f>
        <v>6805.6</v>
      </c>
      <c r="G77">
        <f>'Wholesale Predicted Monthly'!G77</f>
        <v>76</v>
      </c>
      <c r="H77">
        <f>'Wholesale Predicted Monthly'!H77</f>
        <v>20</v>
      </c>
      <c r="I77">
        <f>'Wholesale Predicted Monthly'!I77</f>
        <v>1</v>
      </c>
      <c r="J77">
        <f>'Wholesale Predicted Monthly'!J77</f>
        <v>28</v>
      </c>
      <c r="K77">
        <f>'Wholesale Predicted Monthly'!K77</f>
        <v>0</v>
      </c>
      <c r="L77">
        <f>'Wholesale Predicted Monthly'!L77</f>
        <v>0</v>
      </c>
      <c r="M77">
        <f>'Wholesale Predicted Monthly'!M77</f>
        <v>0</v>
      </c>
      <c r="N77">
        <f>'Wholesale Predicted Monthly'!N77</f>
        <v>0</v>
      </c>
      <c r="O77">
        <f>'Wholesale Predicted Monthly'!O77</f>
        <v>0</v>
      </c>
      <c r="Q77" s="8">
        <f>'Wholesale OLS model'!$B$5</f>
        <v>-50878161.758948997</v>
      </c>
      <c r="R77" s="8">
        <f>-'Combined Monthly Data'!G77</f>
        <v>-1057009.188941499</v>
      </c>
      <c r="S77" s="8">
        <f ca="1">'Wholesale OLS model'!$B$6*D77</f>
        <v>4971876.2219259907</v>
      </c>
      <c r="T77" s="8">
        <f ca="1">'Wholesale OLS model'!$B$7*E77</f>
        <v>1650831.701509641</v>
      </c>
      <c r="U77" s="8">
        <f>'Wholesale OLS model'!$B$8*F77</f>
        <v>84667980.617951706</v>
      </c>
      <c r="V77" s="8">
        <f>'Wholesale OLS model'!$B$9*G77</f>
        <v>-4279062.8966893172</v>
      </c>
      <c r="W77" s="8">
        <f>'Wholesale OLS model'!$B$10*H77</f>
        <v>9272931.8142328393</v>
      </c>
      <c r="X77" s="8">
        <f>'Wholesale OLS model'!$B$11*I77</f>
        <v>-1980487.4456003499</v>
      </c>
      <c r="Y77" s="8">
        <f>'Wholesale OLS model'!$B$12*J77</f>
        <v>-2979904.9086988159</v>
      </c>
      <c r="Z77" s="8">
        <f>'Wholesale OLS model'!$B$13*K77</f>
        <v>0</v>
      </c>
      <c r="AA77" s="8">
        <f>'Wholesale OLS model'!$B$14*L77</f>
        <v>0</v>
      </c>
      <c r="AB77" s="8">
        <f>'Wholesale OLS model'!$B$15*M77</f>
        <v>0</v>
      </c>
      <c r="AC77" s="8">
        <f>'Wholesale OLS model'!$B$16*N77</f>
        <v>0</v>
      </c>
      <c r="AD77" s="8">
        <f>'Wholesale OLS model'!$B$17*O77</f>
        <v>0</v>
      </c>
      <c r="AE77" s="8">
        <f t="shared" ca="1" si="4"/>
        <v>39388994.156741187</v>
      </c>
    </row>
    <row r="78" spans="1:31" x14ac:dyDescent="0.2">
      <c r="A78" s="99">
        <f>'Wholesale Predicted Monthly'!A78</f>
        <v>42125</v>
      </c>
      <c r="B78">
        <f>'Wholesale Predicted Monthly'!B78</f>
        <v>2015</v>
      </c>
      <c r="C78">
        <f>'Wholesale Predicted Monthly'!C78</f>
        <v>36307058</v>
      </c>
      <c r="D78">
        <f t="shared" ref="D78:D109" ca="1" si="5">D66</f>
        <v>134.15000000000003</v>
      </c>
      <c r="E78">
        <f t="shared" ref="E78:E109" ca="1" si="6">E66</f>
        <v>73.010000000000019</v>
      </c>
      <c r="F78">
        <f>'Wholesale Predicted Monthly'!F78</f>
        <v>6870.9</v>
      </c>
      <c r="G78">
        <f>'Wholesale Predicted Monthly'!G78</f>
        <v>77</v>
      </c>
      <c r="H78">
        <f>'Wholesale Predicted Monthly'!H78</f>
        <v>20</v>
      </c>
      <c r="I78">
        <f>'Wholesale Predicted Monthly'!I78</f>
        <v>1</v>
      </c>
      <c r="J78">
        <f>'Wholesale Predicted Monthly'!J78</f>
        <v>29</v>
      </c>
      <c r="K78">
        <f>'Wholesale Predicted Monthly'!K78</f>
        <v>0</v>
      </c>
      <c r="L78">
        <f>'Wholesale Predicted Monthly'!L78</f>
        <v>0</v>
      </c>
      <c r="M78">
        <f>'Wholesale Predicted Monthly'!M78</f>
        <v>0</v>
      </c>
      <c r="N78">
        <f>'Wholesale Predicted Monthly'!N78</f>
        <v>0</v>
      </c>
      <c r="O78">
        <f>'Wholesale Predicted Monthly'!O78</f>
        <v>0</v>
      </c>
      <c r="Q78" s="8">
        <f>'Wholesale OLS model'!$B$5</f>
        <v>-50878161.758948997</v>
      </c>
      <c r="R78" s="8">
        <f>-'Combined Monthly Data'!G78</f>
        <v>-1085574.5986637212</v>
      </c>
      <c r="S78" s="8">
        <f ca="1">'Wholesale OLS model'!$B$6*D78</f>
        <v>2127315.3930130186</v>
      </c>
      <c r="T78" s="8">
        <f ca="1">'Wholesale OLS model'!$B$7*E78</f>
        <v>6887269.8586982237</v>
      </c>
      <c r="U78" s="8">
        <f>'Wholesale OLS model'!$B$8*F78</f>
        <v>85480373.226149678</v>
      </c>
      <c r="V78" s="8">
        <f>'Wholesale OLS model'!$B$9*G78</f>
        <v>-4335366.3558562817</v>
      </c>
      <c r="W78" s="8">
        <f>'Wholesale OLS model'!$B$10*H78</f>
        <v>9272931.8142328393</v>
      </c>
      <c r="X78" s="8">
        <f>'Wholesale OLS model'!$B$11*I78</f>
        <v>-1980487.4456003499</v>
      </c>
      <c r="Y78" s="8">
        <f>'Wholesale OLS model'!$B$12*J78</f>
        <v>-3086330.0840094881</v>
      </c>
      <c r="Z78" s="8">
        <f>'Wholesale OLS model'!$B$13*K78</f>
        <v>0</v>
      </c>
      <c r="AA78" s="8">
        <f>'Wholesale OLS model'!$B$14*L78</f>
        <v>0</v>
      </c>
      <c r="AB78" s="8">
        <f>'Wholesale OLS model'!$B$15*M78</f>
        <v>0</v>
      </c>
      <c r="AC78" s="8">
        <f>'Wholesale OLS model'!$B$16*N78</f>
        <v>0</v>
      </c>
      <c r="AD78" s="8">
        <f>'Wholesale OLS model'!$B$17*O78</f>
        <v>0</v>
      </c>
      <c r="AE78" s="8">
        <f t="shared" ca="1" si="4"/>
        <v>42401970.049014919</v>
      </c>
    </row>
    <row r="79" spans="1:31" x14ac:dyDescent="0.2">
      <c r="A79" s="99">
        <f>'Wholesale Predicted Monthly'!A79</f>
        <v>42156</v>
      </c>
      <c r="B79">
        <f>'Wholesale Predicted Monthly'!B79</f>
        <v>2015</v>
      </c>
      <c r="C79">
        <f>'Wholesale Predicted Monthly'!C79</f>
        <v>37811948</v>
      </c>
      <c r="D79">
        <f t="shared" ca="1" si="5"/>
        <v>28.409999999999997</v>
      </c>
      <c r="E79">
        <f t="shared" ca="1" si="6"/>
        <v>106.29</v>
      </c>
      <c r="F79">
        <f>'Wholesale Predicted Monthly'!F79</f>
        <v>6965.8</v>
      </c>
      <c r="G79">
        <f>'Wholesale Predicted Monthly'!G79</f>
        <v>78</v>
      </c>
      <c r="H79">
        <f>'Wholesale Predicted Monthly'!H79</f>
        <v>22</v>
      </c>
      <c r="I79">
        <f>'Wholesale Predicted Monthly'!I79</f>
        <v>1</v>
      </c>
      <c r="J79">
        <f>'Wholesale Predicted Monthly'!J79</f>
        <v>30</v>
      </c>
      <c r="K79">
        <f>'Wholesale Predicted Monthly'!K79</f>
        <v>0</v>
      </c>
      <c r="L79">
        <f>'Wholesale Predicted Monthly'!L79</f>
        <v>0</v>
      </c>
      <c r="M79">
        <f>'Wholesale Predicted Monthly'!M79</f>
        <v>0</v>
      </c>
      <c r="N79">
        <f>'Wholesale Predicted Monthly'!N79</f>
        <v>0</v>
      </c>
      <c r="O79">
        <f>'Wholesale Predicted Monthly'!O79</f>
        <v>0</v>
      </c>
      <c r="Q79" s="8">
        <f>'Wholesale OLS model'!$B$5</f>
        <v>-50878161.758948997</v>
      </c>
      <c r="R79" s="8">
        <f>-'Combined Monthly Data'!G79</f>
        <v>-1114140.0083859435</v>
      </c>
      <c r="S79" s="8">
        <f ca="1">'Wholesale OLS model'!$B$6*D79</f>
        <v>450518.30276183254</v>
      </c>
      <c r="T79" s="8">
        <f ca="1">'Wholesale OLS model'!$B$7*E79</f>
        <v>10026680.088769129</v>
      </c>
      <c r="U79" s="8">
        <f>'Wholesale OLS model'!$B$8*F79</f>
        <v>86661017.307589039</v>
      </c>
      <c r="V79" s="8">
        <f>'Wholesale OLS model'!$B$9*G79</f>
        <v>-4391669.8150232462</v>
      </c>
      <c r="W79" s="8">
        <f>'Wholesale OLS model'!$B$10*H79</f>
        <v>10200224.995656123</v>
      </c>
      <c r="X79" s="8">
        <f>'Wholesale OLS model'!$B$11*I79</f>
        <v>-1980487.4456003499</v>
      </c>
      <c r="Y79" s="8">
        <f>'Wholesale OLS model'!$B$12*J79</f>
        <v>-3192755.2593201599</v>
      </c>
      <c r="Z79" s="8">
        <f>'Wholesale OLS model'!$B$13*K79</f>
        <v>0</v>
      </c>
      <c r="AA79" s="8">
        <f>'Wholesale OLS model'!$B$14*L79</f>
        <v>0</v>
      </c>
      <c r="AB79" s="8">
        <f>'Wholesale OLS model'!$B$15*M79</f>
        <v>0</v>
      </c>
      <c r="AC79" s="8">
        <f>'Wholesale OLS model'!$B$16*N79</f>
        <v>0</v>
      </c>
      <c r="AD79" s="8">
        <f>'Wholesale OLS model'!$B$17*O79</f>
        <v>0</v>
      </c>
      <c r="AE79" s="8">
        <f t="shared" ca="1" si="4"/>
        <v>45781226.407497428</v>
      </c>
    </row>
    <row r="80" spans="1:31" x14ac:dyDescent="0.2">
      <c r="A80" s="99">
        <f>'Wholesale Predicted Monthly'!A80</f>
        <v>42186</v>
      </c>
      <c r="B80">
        <f>'Wholesale Predicted Monthly'!B80</f>
        <v>2015</v>
      </c>
      <c r="C80">
        <f>'Wholesale Predicted Monthly'!C80</f>
        <v>44310484</v>
      </c>
      <c r="D80">
        <f t="shared" ca="1" si="5"/>
        <v>5.84</v>
      </c>
      <c r="E80">
        <f t="shared" ca="1" si="6"/>
        <v>81.070000000000007</v>
      </c>
      <c r="F80">
        <f>'Wholesale Predicted Monthly'!F80</f>
        <v>7032.3</v>
      </c>
      <c r="G80">
        <f>'Wholesale Predicted Monthly'!G80</f>
        <v>79</v>
      </c>
      <c r="H80">
        <f>'Wholesale Predicted Monthly'!H80</f>
        <v>22</v>
      </c>
      <c r="I80">
        <f>'Wholesale Predicted Monthly'!I80</f>
        <v>1</v>
      </c>
      <c r="J80">
        <f>'Wholesale Predicted Monthly'!J80</f>
        <v>31</v>
      </c>
      <c r="K80">
        <f>'Wholesale Predicted Monthly'!K80</f>
        <v>0</v>
      </c>
      <c r="L80">
        <f>'Wholesale Predicted Monthly'!L80</f>
        <v>0</v>
      </c>
      <c r="M80">
        <f>'Wholesale Predicted Monthly'!M80</f>
        <v>1</v>
      </c>
      <c r="N80">
        <f>'Wholesale Predicted Monthly'!N80</f>
        <v>0</v>
      </c>
      <c r="O80">
        <f>'Wholesale Predicted Monthly'!O80</f>
        <v>0</v>
      </c>
      <c r="Q80" s="8">
        <f>'Wholesale OLS model'!$B$5</f>
        <v>-50878161.758948997</v>
      </c>
      <c r="R80" s="8">
        <f>-'Combined Monthly Data'!G80</f>
        <v>-1142705.4181081657</v>
      </c>
      <c r="S80" s="8">
        <f ca="1">'Wholesale OLS model'!$B$6*D80</f>
        <v>92609.182968289417</v>
      </c>
      <c r="T80" s="8">
        <f ca="1">'Wholesale OLS model'!$B$7*E80</f>
        <v>7647595.7737935204</v>
      </c>
      <c r="U80" s="8">
        <f>'Wholesale OLS model'!$B$8*F80</f>
        <v>87488339.029567078</v>
      </c>
      <c r="V80" s="8">
        <f>'Wholesale OLS model'!$B$9*G80</f>
        <v>-4447973.2741902107</v>
      </c>
      <c r="W80" s="8">
        <f>'Wholesale OLS model'!$B$10*H80</f>
        <v>10200224.995656123</v>
      </c>
      <c r="X80" s="8">
        <f>'Wholesale OLS model'!$B$11*I80</f>
        <v>-1980487.4456003499</v>
      </c>
      <c r="Y80" s="8">
        <f>'Wholesale OLS model'!$B$12*J80</f>
        <v>-3299180.4346308322</v>
      </c>
      <c r="Z80" s="8">
        <f>'Wholesale OLS model'!$B$13*K80</f>
        <v>0</v>
      </c>
      <c r="AA80" s="8">
        <f>'Wholesale OLS model'!$B$14*L80</f>
        <v>0</v>
      </c>
      <c r="AB80" s="8">
        <f>'Wholesale OLS model'!$B$15*M80</f>
        <v>2370057.8473386201</v>
      </c>
      <c r="AC80" s="8">
        <f>'Wholesale OLS model'!$B$16*N80</f>
        <v>0</v>
      </c>
      <c r="AD80" s="8">
        <f>'Wholesale OLS model'!$B$17*O80</f>
        <v>0</v>
      </c>
      <c r="AE80" s="8">
        <f t="shared" ca="1" si="4"/>
        <v>46050318.497845069</v>
      </c>
    </row>
    <row r="81" spans="1:31" x14ac:dyDescent="0.2">
      <c r="A81" s="99">
        <f>'Wholesale Predicted Monthly'!A81</f>
        <v>42217</v>
      </c>
      <c r="B81">
        <f>'Wholesale Predicted Monthly'!B81</f>
        <v>2015</v>
      </c>
      <c r="C81">
        <f>'Wholesale Predicted Monthly'!C81</f>
        <v>43495493</v>
      </c>
      <c r="D81">
        <f t="shared" ca="1" si="5"/>
        <v>10.420000000000002</v>
      </c>
      <c r="E81">
        <f t="shared" ca="1" si="6"/>
        <v>31.57</v>
      </c>
      <c r="F81">
        <f>'Wholesale Predicted Monthly'!F81</f>
        <v>7045.7</v>
      </c>
      <c r="G81">
        <f>'Wholesale Predicted Monthly'!G81</f>
        <v>80</v>
      </c>
      <c r="H81">
        <f>'Wholesale Predicted Monthly'!H81</f>
        <v>20</v>
      </c>
      <c r="I81">
        <f>'Wholesale Predicted Monthly'!I81</f>
        <v>1</v>
      </c>
      <c r="J81">
        <f>'Wholesale Predicted Monthly'!J81</f>
        <v>32</v>
      </c>
      <c r="K81">
        <f>'Wholesale Predicted Monthly'!K81</f>
        <v>0</v>
      </c>
      <c r="L81">
        <f>'Wholesale Predicted Monthly'!L81</f>
        <v>0</v>
      </c>
      <c r="M81">
        <f>'Wholesale Predicted Monthly'!M81</f>
        <v>0</v>
      </c>
      <c r="N81">
        <f>'Wholesale Predicted Monthly'!N81</f>
        <v>1</v>
      </c>
      <c r="O81">
        <f>'Wholesale Predicted Monthly'!O81</f>
        <v>0</v>
      </c>
      <c r="Q81" s="8">
        <f>'Wholesale OLS model'!$B$5</f>
        <v>-50878161.758948997</v>
      </c>
      <c r="R81" s="8">
        <f>-'Combined Monthly Data'!G81</f>
        <v>-1171270.8278303877</v>
      </c>
      <c r="S81" s="8">
        <f ca="1">'Wholesale OLS model'!$B$6*D81</f>
        <v>165237.61755643424</v>
      </c>
      <c r="T81" s="8">
        <f ca="1">'Wholesale OLS model'!$B$7*E81</f>
        <v>2978100.3895233925</v>
      </c>
      <c r="U81" s="8">
        <f>'Wholesale OLS model'!$B$8*F81</f>
        <v>87655047.466777697</v>
      </c>
      <c r="V81" s="8">
        <f>'Wholesale OLS model'!$B$9*G81</f>
        <v>-4504276.7333571762</v>
      </c>
      <c r="W81" s="8">
        <f>'Wholesale OLS model'!$B$10*H81</f>
        <v>9272931.8142328393</v>
      </c>
      <c r="X81" s="8">
        <f>'Wholesale OLS model'!$B$11*I81</f>
        <v>-1980487.4456003499</v>
      </c>
      <c r="Y81" s="8">
        <f>'Wholesale OLS model'!$B$12*J81</f>
        <v>-3405605.609941504</v>
      </c>
      <c r="Z81" s="8">
        <f>'Wholesale OLS model'!$B$13*K81</f>
        <v>0</v>
      </c>
      <c r="AA81" s="8">
        <f>'Wholesale OLS model'!$B$14*L81</f>
        <v>0</v>
      </c>
      <c r="AB81" s="8">
        <f>'Wholesale OLS model'!$B$15*M81</f>
        <v>0</v>
      </c>
      <c r="AC81" s="8">
        <f>'Wholesale OLS model'!$B$16*N81</f>
        <v>3743904.46078429</v>
      </c>
      <c r="AD81" s="8">
        <f>'Wholesale OLS model'!$B$17*O81</f>
        <v>0</v>
      </c>
      <c r="AE81" s="8">
        <f t="shared" ca="1" si="4"/>
        <v>41875419.373196244</v>
      </c>
    </row>
    <row r="82" spans="1:31" x14ac:dyDescent="0.2">
      <c r="A82" s="99">
        <f>'Wholesale Predicted Monthly'!A82</f>
        <v>42248</v>
      </c>
      <c r="B82">
        <f>'Wholesale Predicted Monthly'!B82</f>
        <v>2015</v>
      </c>
      <c r="C82">
        <f>'Wholesale Predicted Monthly'!C82</f>
        <v>41484818</v>
      </c>
      <c r="D82">
        <f t="shared" ca="1" si="5"/>
        <v>69.52000000000001</v>
      </c>
      <c r="E82">
        <f t="shared" ca="1" si="6"/>
        <v>3.6300000000000003</v>
      </c>
      <c r="F82">
        <f>'Wholesale Predicted Monthly'!F82</f>
        <v>6994.9</v>
      </c>
      <c r="G82">
        <f>'Wholesale Predicted Monthly'!G82</f>
        <v>81</v>
      </c>
      <c r="H82">
        <f>'Wholesale Predicted Monthly'!H82</f>
        <v>21</v>
      </c>
      <c r="I82">
        <f>'Wholesale Predicted Monthly'!I82</f>
        <v>1</v>
      </c>
      <c r="J82">
        <f>'Wholesale Predicted Monthly'!J82</f>
        <v>33</v>
      </c>
      <c r="K82">
        <f>'Wholesale Predicted Monthly'!K82</f>
        <v>0</v>
      </c>
      <c r="L82">
        <f>'Wholesale Predicted Monthly'!L82</f>
        <v>0</v>
      </c>
      <c r="M82">
        <f>'Wholesale Predicted Monthly'!M82</f>
        <v>0</v>
      </c>
      <c r="N82">
        <f>'Wholesale Predicted Monthly'!N82</f>
        <v>0</v>
      </c>
      <c r="O82">
        <f>'Wholesale Predicted Monthly'!O82</f>
        <v>0</v>
      </c>
      <c r="Q82" s="8">
        <f>'Wholesale OLS model'!$B$5</f>
        <v>-50878161.758948997</v>
      </c>
      <c r="R82" s="8">
        <f>-'Combined Monthly Data'!G82</f>
        <v>-1199836.23755261</v>
      </c>
      <c r="S82" s="8">
        <f ca="1">'Wholesale OLS model'!$B$6*D82</f>
        <v>1102429.8630060756</v>
      </c>
      <c r="T82" s="8">
        <f ca="1">'Wholesale OLS model'!$B$7*E82</f>
        <v>342429.6615131427</v>
      </c>
      <c r="U82" s="8">
        <f>'Wholesale OLS model'!$B$8*F82</f>
        <v>87023048.316755369</v>
      </c>
      <c r="V82" s="8">
        <f>'Wholesale OLS model'!$B$9*G82</f>
        <v>-4560580.1925241407</v>
      </c>
      <c r="W82" s="8">
        <f>'Wholesale OLS model'!$B$10*H82</f>
        <v>9736578.4049444813</v>
      </c>
      <c r="X82" s="8">
        <f>'Wholesale OLS model'!$B$11*I82</f>
        <v>-1980487.4456003499</v>
      </c>
      <c r="Y82" s="8">
        <f>'Wholesale OLS model'!$B$12*J82</f>
        <v>-3512030.7852521758</v>
      </c>
      <c r="Z82" s="8">
        <f>'Wholesale OLS model'!$B$13*K82</f>
        <v>0</v>
      </c>
      <c r="AA82" s="8">
        <f>'Wholesale OLS model'!$B$14*L82</f>
        <v>0</v>
      </c>
      <c r="AB82" s="8">
        <f>'Wholesale OLS model'!$B$15*M82</f>
        <v>0</v>
      </c>
      <c r="AC82" s="8">
        <f>'Wholesale OLS model'!$B$16*N82</f>
        <v>0</v>
      </c>
      <c r="AD82" s="8">
        <f>'Wholesale OLS model'!$B$17*O82</f>
        <v>0</v>
      </c>
      <c r="AE82" s="8">
        <f t="shared" ca="1" si="4"/>
        <v>36073389.826340787</v>
      </c>
    </row>
    <row r="83" spans="1:31" x14ac:dyDescent="0.2">
      <c r="A83" s="99">
        <f>'Wholesale Predicted Monthly'!A83</f>
        <v>42278</v>
      </c>
      <c r="B83">
        <f>'Wholesale Predicted Monthly'!B83</f>
        <v>2015</v>
      </c>
      <c r="C83">
        <f>'Wholesale Predicted Monthly'!C83</f>
        <v>38178098</v>
      </c>
      <c r="D83">
        <f t="shared" ca="1" si="5"/>
        <v>236.61000000000004</v>
      </c>
      <c r="E83">
        <f t="shared" ca="1" si="6"/>
        <v>0</v>
      </c>
      <c r="F83">
        <f>'Wholesale Predicted Monthly'!F83</f>
        <v>6969</v>
      </c>
      <c r="G83">
        <f>'Wholesale Predicted Monthly'!G83</f>
        <v>82</v>
      </c>
      <c r="H83">
        <f>'Wholesale Predicted Monthly'!H83</f>
        <v>21</v>
      </c>
      <c r="I83">
        <f>'Wholesale Predicted Monthly'!I83</f>
        <v>1</v>
      </c>
      <c r="J83">
        <f>'Wholesale Predicted Monthly'!J83</f>
        <v>34</v>
      </c>
      <c r="K83">
        <f>'Wholesale Predicted Monthly'!K83</f>
        <v>0</v>
      </c>
      <c r="L83">
        <f>'Wholesale Predicted Monthly'!L83</f>
        <v>0</v>
      </c>
      <c r="M83">
        <f>'Wholesale Predicted Monthly'!M83</f>
        <v>0</v>
      </c>
      <c r="N83">
        <f>'Wholesale Predicted Monthly'!N83</f>
        <v>0</v>
      </c>
      <c r="O83">
        <f>'Wholesale Predicted Monthly'!O83</f>
        <v>0</v>
      </c>
      <c r="Q83" s="8">
        <f>'Wholesale OLS model'!$B$5</f>
        <v>-50878161.758948997</v>
      </c>
      <c r="R83" s="8">
        <f>-'Combined Monthly Data'!G83</f>
        <v>-1228401.6472748325</v>
      </c>
      <c r="S83" s="8">
        <f ca="1">'Wholesale OLS model'!$B$6*D83</f>
        <v>3752099.10652859</v>
      </c>
      <c r="T83" s="8">
        <f ca="1">'Wholesale OLS model'!$B$7*E83</f>
        <v>0</v>
      </c>
      <c r="U83" s="8">
        <f>'Wholesale OLS model'!$B$8*F83</f>
        <v>86700828.277669176</v>
      </c>
      <c r="V83" s="8">
        <f>'Wholesale OLS model'!$B$9*G83</f>
        <v>-4616883.6516911052</v>
      </c>
      <c r="W83" s="8">
        <f>'Wholesale OLS model'!$B$10*H83</f>
        <v>9736578.4049444813</v>
      </c>
      <c r="X83" s="8">
        <f>'Wholesale OLS model'!$B$11*I83</f>
        <v>-1980487.4456003499</v>
      </c>
      <c r="Y83" s="8">
        <f>'Wholesale OLS model'!$B$12*J83</f>
        <v>-3618455.960562848</v>
      </c>
      <c r="Z83" s="8">
        <f>'Wholesale OLS model'!$B$13*K83</f>
        <v>0</v>
      </c>
      <c r="AA83" s="8">
        <f>'Wholesale OLS model'!$B$14*L83</f>
        <v>0</v>
      </c>
      <c r="AB83" s="8">
        <f>'Wholesale OLS model'!$B$15*M83</f>
        <v>0</v>
      </c>
      <c r="AC83" s="8">
        <f>'Wholesale OLS model'!$B$16*N83</f>
        <v>0</v>
      </c>
      <c r="AD83" s="8">
        <f>'Wholesale OLS model'!$B$17*O83</f>
        <v>0</v>
      </c>
      <c r="AE83" s="8">
        <f t="shared" ca="1" si="4"/>
        <v>37867115.325064108</v>
      </c>
    </row>
    <row r="84" spans="1:31" x14ac:dyDescent="0.2">
      <c r="A84" s="99">
        <f>'Wholesale Predicted Monthly'!A84</f>
        <v>42309</v>
      </c>
      <c r="B84">
        <f>'Wholesale Predicted Monthly'!B84</f>
        <v>2015</v>
      </c>
      <c r="C84">
        <f>'Wholesale Predicted Monthly'!C84</f>
        <v>36946837</v>
      </c>
      <c r="D84">
        <f t="shared" ca="1" si="5"/>
        <v>398.34999999999997</v>
      </c>
      <c r="E84">
        <f t="shared" ca="1" si="6"/>
        <v>0</v>
      </c>
      <c r="F84">
        <f>'Wholesale Predicted Monthly'!F84</f>
        <v>6936.9</v>
      </c>
      <c r="G84">
        <f>'Wholesale Predicted Monthly'!G84</f>
        <v>83</v>
      </c>
      <c r="H84">
        <f>'Wholesale Predicted Monthly'!H84</f>
        <v>21</v>
      </c>
      <c r="I84">
        <f>'Wholesale Predicted Monthly'!I84</f>
        <v>1</v>
      </c>
      <c r="J84">
        <f>'Wholesale Predicted Monthly'!J84</f>
        <v>35</v>
      </c>
      <c r="K84">
        <f>'Wholesale Predicted Monthly'!K84</f>
        <v>0</v>
      </c>
      <c r="L84">
        <f>'Wholesale Predicted Monthly'!L84</f>
        <v>0</v>
      </c>
      <c r="M84">
        <f>'Wholesale Predicted Monthly'!M84</f>
        <v>0</v>
      </c>
      <c r="N84">
        <f>'Wholesale Predicted Monthly'!N84</f>
        <v>0</v>
      </c>
      <c r="O84">
        <f>'Wholesale Predicted Monthly'!O84</f>
        <v>1</v>
      </c>
      <c r="Q84" s="8">
        <f>'Wholesale OLS model'!$B$5</f>
        <v>-50878161.758948997</v>
      </c>
      <c r="R84" s="8">
        <f>-'Combined Monthly Data'!G84</f>
        <v>-1256967.0569970545</v>
      </c>
      <c r="S84" s="8">
        <f ca="1">'Wholesale OLS model'!$B$6*D84</f>
        <v>6316929.4581195358</v>
      </c>
      <c r="T84" s="8">
        <f ca="1">'Wholesale OLS model'!$B$7*E84</f>
        <v>0</v>
      </c>
      <c r="U84" s="8">
        <f>'Wholesale OLS model'!$B$8*F84</f>
        <v>86301474.484052703</v>
      </c>
      <c r="V84" s="8">
        <f>'Wholesale OLS model'!$B$9*G84</f>
        <v>-4673187.1108580697</v>
      </c>
      <c r="W84" s="8">
        <f>'Wholesale OLS model'!$B$10*H84</f>
        <v>9736578.4049444813</v>
      </c>
      <c r="X84" s="8">
        <f>'Wholesale OLS model'!$B$11*I84</f>
        <v>-1980487.4456003499</v>
      </c>
      <c r="Y84" s="8">
        <f>'Wholesale OLS model'!$B$12*J84</f>
        <v>-3724881.1358735198</v>
      </c>
      <c r="Z84" s="8">
        <f>'Wholesale OLS model'!$B$13*K84</f>
        <v>0</v>
      </c>
      <c r="AA84" s="8">
        <f>'Wholesale OLS model'!$B$14*L84</f>
        <v>0</v>
      </c>
      <c r="AB84" s="8">
        <f>'Wholesale OLS model'!$B$15*M84</f>
        <v>0</v>
      </c>
      <c r="AC84" s="8">
        <f>'Wholesale OLS model'!$B$16*N84</f>
        <v>0</v>
      </c>
      <c r="AD84" s="8">
        <f>'Wholesale OLS model'!$B$17*O84</f>
        <v>-1766353.8816768799</v>
      </c>
      <c r="AE84" s="8">
        <f t="shared" ca="1" si="4"/>
        <v>38074943.957161844</v>
      </c>
    </row>
    <row r="85" spans="1:31" x14ac:dyDescent="0.2">
      <c r="A85" s="99">
        <f>'Wholesale Predicted Monthly'!A85</f>
        <v>42339</v>
      </c>
      <c r="B85">
        <f>'Wholesale Predicted Monthly'!B85</f>
        <v>2015</v>
      </c>
      <c r="C85">
        <f>'Wholesale Predicted Monthly'!C85</f>
        <v>39604094</v>
      </c>
      <c r="D85">
        <f t="shared" ca="1" si="5"/>
        <v>558.68999999999994</v>
      </c>
      <c r="E85">
        <f t="shared" si="6"/>
        <v>0</v>
      </c>
      <c r="F85">
        <f>'Wholesale Predicted Monthly'!F85</f>
        <v>6948.2</v>
      </c>
      <c r="G85">
        <f>'Wholesale Predicted Monthly'!G85</f>
        <v>84</v>
      </c>
      <c r="H85">
        <f>'Wholesale Predicted Monthly'!H85</f>
        <v>21</v>
      </c>
      <c r="I85">
        <f>'Wholesale Predicted Monthly'!I85</f>
        <v>1</v>
      </c>
      <c r="J85">
        <f>'Wholesale Predicted Monthly'!J85</f>
        <v>36</v>
      </c>
      <c r="K85">
        <f>'Wholesale Predicted Monthly'!K85</f>
        <v>0</v>
      </c>
      <c r="L85">
        <f>'Wholesale Predicted Monthly'!L85</f>
        <v>0</v>
      </c>
      <c r="M85">
        <f>'Wholesale Predicted Monthly'!M85</f>
        <v>0</v>
      </c>
      <c r="N85">
        <f>'Wholesale Predicted Monthly'!N85</f>
        <v>0</v>
      </c>
      <c r="O85">
        <f>'Wholesale Predicted Monthly'!O85</f>
        <v>0</v>
      </c>
      <c r="Q85" s="8">
        <f>'Wholesale OLS model'!$B$5</f>
        <v>-50878161.758948997</v>
      </c>
      <c r="R85" s="8">
        <f>-'Combined Monthly Data'!G85</f>
        <v>-1285532.4667192767</v>
      </c>
      <c r="S85" s="8">
        <f ca="1">'Wholesale OLS model'!$B$6*D85</f>
        <v>8859558.9781769887</v>
      </c>
      <c r="T85" s="8">
        <f>'Wholesale OLS model'!$B$7*E85</f>
        <v>0</v>
      </c>
      <c r="U85" s="8">
        <f>'Wholesale OLS model'!$B$8*F85</f>
        <v>86442056.972148225</v>
      </c>
      <c r="V85" s="8">
        <f>'Wholesale OLS model'!$B$9*G85</f>
        <v>-4729490.5700250342</v>
      </c>
      <c r="W85" s="8">
        <f>'Wholesale OLS model'!$B$10*H85</f>
        <v>9736578.4049444813</v>
      </c>
      <c r="X85" s="8">
        <f>'Wholesale OLS model'!$B$11*I85</f>
        <v>-1980487.4456003499</v>
      </c>
      <c r="Y85" s="8">
        <f>'Wholesale OLS model'!$B$12*J85</f>
        <v>-3831306.3111841921</v>
      </c>
      <c r="Z85" s="8">
        <f>'Wholesale OLS model'!$B$13*K85</f>
        <v>0</v>
      </c>
      <c r="AA85" s="8">
        <f>'Wholesale OLS model'!$B$14*L85</f>
        <v>0</v>
      </c>
      <c r="AB85" s="8">
        <f>'Wholesale OLS model'!$B$15*M85</f>
        <v>0</v>
      </c>
      <c r="AC85" s="8">
        <f>'Wholesale OLS model'!$B$16*N85</f>
        <v>0</v>
      </c>
      <c r="AD85" s="8">
        <f>'Wholesale OLS model'!$B$17*O85</f>
        <v>0</v>
      </c>
      <c r="AE85" s="8">
        <f t="shared" ca="1" si="4"/>
        <v>42333215.802791841</v>
      </c>
    </row>
    <row r="86" spans="1:31" x14ac:dyDescent="0.2">
      <c r="A86" s="99">
        <v>42370</v>
      </c>
      <c r="B86">
        <f>YEAR(A86)</f>
        <v>2016</v>
      </c>
      <c r="D86">
        <f t="shared" ca="1" si="5"/>
        <v>685.8599999999999</v>
      </c>
      <c r="E86">
        <f t="shared" ca="1" si="6"/>
        <v>0</v>
      </c>
      <c r="F86">
        <f>F74*(1+'Employment Data'!$J$3)</f>
        <v>6920.3960999999999</v>
      </c>
      <c r="G86">
        <f>G85+1</f>
        <v>85</v>
      </c>
      <c r="H86">
        <v>20</v>
      </c>
      <c r="I86">
        <f>I85</f>
        <v>1</v>
      </c>
      <c r="J86">
        <v>36</v>
      </c>
      <c r="K86">
        <f>K74</f>
        <v>1</v>
      </c>
      <c r="L86">
        <f>L74</f>
        <v>0</v>
      </c>
      <c r="M86">
        <f>M74</f>
        <v>0</v>
      </c>
      <c r="N86">
        <f>N74</f>
        <v>0</v>
      </c>
      <c r="O86">
        <f>O74</f>
        <v>0</v>
      </c>
      <c r="Q86" s="8">
        <f>'Wholesale OLS model'!$B$5</f>
        <v>-50878161.758948997</v>
      </c>
      <c r="R86" s="8">
        <f>-14639581.2122509/12</f>
        <v>-1219965.1010209082</v>
      </c>
      <c r="S86" s="8">
        <f ca="1">'Wholesale OLS model'!$B$6*D86</f>
        <v>10876187.368258728</v>
      </c>
      <c r="T86" s="8">
        <f ca="1">'Wholesale OLS model'!$B$7*E86</f>
        <v>0</v>
      </c>
      <c r="U86" s="8">
        <f>'Wholesale OLS model'!$B$8*F86</f>
        <v>86096150.649957165</v>
      </c>
      <c r="V86" s="8">
        <f>'Wholesale OLS model'!$B$9*G86</f>
        <v>-4785794.0291919997</v>
      </c>
      <c r="W86" s="8">
        <f>'Wholesale OLS model'!$B$10*H86</f>
        <v>9272931.8142328393</v>
      </c>
      <c r="X86" s="8">
        <f>'Wholesale OLS model'!$B$11*I86</f>
        <v>-1980487.4456003499</v>
      </c>
      <c r="Y86" s="8">
        <f>'Wholesale OLS model'!$B$12*J86</f>
        <v>-3831306.3111841921</v>
      </c>
      <c r="Z86" s="8">
        <f>'Wholesale OLS model'!$B$13*K86</f>
        <v>2647304.3437043098</v>
      </c>
      <c r="AA86" s="8">
        <f>'Wholesale OLS model'!$B$14*L86</f>
        <v>0</v>
      </c>
      <c r="AB86" s="8">
        <f>'Wholesale OLS model'!$B$15*M86</f>
        <v>0</v>
      </c>
      <c r="AC86" s="8">
        <f>'Wholesale OLS model'!$B$16*N86</f>
        <v>0</v>
      </c>
      <c r="AD86" s="8">
        <f>'Wholesale OLS model'!$B$17*O86</f>
        <v>0</v>
      </c>
      <c r="AE86" s="8">
        <f t="shared" ref="AE86:AE109" ca="1" si="7">SUM(Q86:AD86)</f>
        <v>46196859.530206598</v>
      </c>
    </row>
    <row r="87" spans="1:31" x14ac:dyDescent="0.2">
      <c r="A87" s="99">
        <v>42401</v>
      </c>
      <c r="B87">
        <f t="shared" ref="B87:B109" si="8">YEAR(A87)</f>
        <v>2016</v>
      </c>
      <c r="D87">
        <f t="shared" ca="1" si="5"/>
        <v>660.08</v>
      </c>
      <c r="E87">
        <f t="shared" ca="1" si="6"/>
        <v>0</v>
      </c>
      <c r="F87">
        <f>F75*(1+'Employment Data'!$J$3)</f>
        <v>6885.2132999999994</v>
      </c>
      <c r="G87">
        <f t="shared" ref="G87:G109" si="9">G86+1</f>
        <v>86</v>
      </c>
      <c r="H87">
        <v>20</v>
      </c>
      <c r="I87">
        <f t="shared" ref="I87:I109" si="10">I86</f>
        <v>1</v>
      </c>
      <c r="J87">
        <v>36</v>
      </c>
      <c r="K87">
        <f t="shared" ref="K87:O102" si="11">K75</f>
        <v>0</v>
      </c>
      <c r="L87">
        <f t="shared" si="11"/>
        <v>0</v>
      </c>
      <c r="M87">
        <f t="shared" si="11"/>
        <v>0</v>
      </c>
      <c r="N87">
        <f t="shared" si="11"/>
        <v>0</v>
      </c>
      <c r="O87">
        <f t="shared" si="11"/>
        <v>0</v>
      </c>
      <c r="Q87" s="8">
        <f>'Wholesale OLS model'!$B$5</f>
        <v>-50878161.758948997</v>
      </c>
      <c r="R87" s="8">
        <f t="shared" ref="R87:R97" si="12">-14639581.2122509/12</f>
        <v>-1219965.1010209082</v>
      </c>
      <c r="S87" s="8">
        <f ca="1">'Wholesale OLS model'!$B$6*D87</f>
        <v>10467374.913306247</v>
      </c>
      <c r="T87" s="8">
        <f ca="1">'Wholesale OLS model'!$B$7*E87</f>
        <v>0</v>
      </c>
      <c r="U87" s="8">
        <f>'Wholesale OLS model'!$B$8*F87</f>
        <v>85658443.963039726</v>
      </c>
      <c r="V87" s="8">
        <f>'Wholesale OLS model'!$B$9*G87</f>
        <v>-4842097.4883589642</v>
      </c>
      <c r="W87" s="8">
        <f>'Wholesale OLS model'!$B$10*H87</f>
        <v>9272931.8142328393</v>
      </c>
      <c r="X87" s="8">
        <f>'Wholesale OLS model'!$B$11*I87</f>
        <v>-1980487.4456003499</v>
      </c>
      <c r="Y87" s="8">
        <f>'Wholesale OLS model'!$B$12*J87</f>
        <v>-3831306.3111841921</v>
      </c>
      <c r="Z87" s="8">
        <f>'Wholesale OLS model'!$B$13*K87</f>
        <v>0</v>
      </c>
      <c r="AA87" s="8">
        <f>'Wholesale OLS model'!$B$14*L87</f>
        <v>0</v>
      </c>
      <c r="AB87" s="8">
        <f>'Wholesale OLS model'!$B$15*M87</f>
        <v>0</v>
      </c>
      <c r="AC87" s="8">
        <f>'Wholesale OLS model'!$B$16*N87</f>
        <v>0</v>
      </c>
      <c r="AD87" s="8">
        <f>'Wholesale OLS model'!$B$17*O87</f>
        <v>0</v>
      </c>
      <c r="AE87" s="8">
        <f t="shared" ca="1" si="7"/>
        <v>42646732.585465394</v>
      </c>
    </row>
    <row r="88" spans="1:31" x14ac:dyDescent="0.2">
      <c r="A88" s="99">
        <v>42430</v>
      </c>
      <c r="B88">
        <f t="shared" si="8"/>
        <v>2016</v>
      </c>
      <c r="D88">
        <f t="shared" ca="1" si="5"/>
        <v>543.44000000000005</v>
      </c>
      <c r="E88">
        <f t="shared" ca="1" si="6"/>
        <v>0.24</v>
      </c>
      <c r="F88">
        <f>F76*(1+'Employment Data'!$J$3)</f>
        <v>6858.3206999999993</v>
      </c>
      <c r="G88">
        <f t="shared" si="9"/>
        <v>87</v>
      </c>
      <c r="H88">
        <v>21</v>
      </c>
      <c r="I88">
        <f t="shared" si="10"/>
        <v>1</v>
      </c>
      <c r="J88">
        <v>36</v>
      </c>
      <c r="K88">
        <f t="shared" si="11"/>
        <v>0</v>
      </c>
      <c r="L88">
        <f t="shared" si="11"/>
        <v>1</v>
      </c>
      <c r="M88">
        <f t="shared" si="11"/>
        <v>0</v>
      </c>
      <c r="N88">
        <f t="shared" si="11"/>
        <v>0</v>
      </c>
      <c r="O88">
        <f t="shared" si="11"/>
        <v>0</v>
      </c>
      <c r="Q88" s="8">
        <f>'Wholesale OLS model'!$B$5</f>
        <v>-50878161.758948997</v>
      </c>
      <c r="R88" s="8">
        <f t="shared" si="12"/>
        <v>-1219965.1010209082</v>
      </c>
      <c r="S88" s="8">
        <f ca="1">'Wholesale OLS model'!$B$6*D88</f>
        <v>8617728.4918300007</v>
      </c>
      <c r="T88" s="8">
        <f ca="1">'Wholesale OLS model'!$B$7*E88</f>
        <v>22639.977620703648</v>
      </c>
      <c r="U88" s="8">
        <f>'Wholesale OLS model'!$B$8*F88</f>
        <v>85323875.058671802</v>
      </c>
      <c r="V88" s="8">
        <f>'Wholesale OLS model'!$B$9*G88</f>
        <v>-4898400.9475259287</v>
      </c>
      <c r="W88" s="8">
        <f>'Wholesale OLS model'!$B$10*H88</f>
        <v>9736578.4049444813</v>
      </c>
      <c r="X88" s="8">
        <f>'Wholesale OLS model'!$B$11*I88</f>
        <v>-1980487.4456003499</v>
      </c>
      <c r="Y88" s="8">
        <f>'Wholesale OLS model'!$B$12*J88</f>
        <v>-3831306.3111841921</v>
      </c>
      <c r="Z88" s="8">
        <f>'Wholesale OLS model'!$B$13*K88</f>
        <v>0</v>
      </c>
      <c r="AA88" s="8">
        <f>'Wholesale OLS model'!$B$14*L88</f>
        <v>1640135.6856942801</v>
      </c>
      <c r="AB88" s="8">
        <f>'Wholesale OLS model'!$B$15*M88</f>
        <v>0</v>
      </c>
      <c r="AC88" s="8">
        <f>'Wholesale OLS model'!$B$16*N88</f>
        <v>0</v>
      </c>
      <c r="AD88" s="8">
        <f>'Wholesale OLS model'!$B$17*O88</f>
        <v>0</v>
      </c>
      <c r="AE88" s="8">
        <f t="shared" ca="1" si="7"/>
        <v>42532636.054480888</v>
      </c>
    </row>
    <row r="89" spans="1:31" x14ac:dyDescent="0.2">
      <c r="A89" s="99">
        <v>42461</v>
      </c>
      <c r="B89">
        <f t="shared" si="8"/>
        <v>2016</v>
      </c>
      <c r="D89">
        <f t="shared" ca="1" si="5"/>
        <v>313.53000000000003</v>
      </c>
      <c r="E89">
        <f t="shared" ca="1" si="6"/>
        <v>17.5</v>
      </c>
      <c r="F89">
        <f>F77*(1+'Employment Data'!$J$3)</f>
        <v>6880.4615999999996</v>
      </c>
      <c r="G89">
        <f t="shared" si="9"/>
        <v>88</v>
      </c>
      <c r="H89">
        <v>21</v>
      </c>
      <c r="I89">
        <f t="shared" si="10"/>
        <v>1</v>
      </c>
      <c r="J89">
        <v>36</v>
      </c>
      <c r="K89">
        <f t="shared" si="11"/>
        <v>0</v>
      </c>
      <c r="L89">
        <f t="shared" si="11"/>
        <v>0</v>
      </c>
      <c r="M89">
        <f t="shared" si="11"/>
        <v>0</v>
      </c>
      <c r="N89">
        <f t="shared" si="11"/>
        <v>0</v>
      </c>
      <c r="O89">
        <f t="shared" si="11"/>
        <v>0</v>
      </c>
      <c r="Q89" s="8">
        <f>'Wholesale OLS model'!$B$5</f>
        <v>-50878161.758948997</v>
      </c>
      <c r="R89" s="8">
        <f t="shared" si="12"/>
        <v>-1219965.1010209082</v>
      </c>
      <c r="S89" s="8">
        <f ca="1">'Wholesale OLS model'!$B$6*D89</f>
        <v>4971876.2219259907</v>
      </c>
      <c r="T89" s="8">
        <f ca="1">'Wholesale OLS model'!$B$7*E89</f>
        <v>1650831.701509641</v>
      </c>
      <c r="U89" s="8">
        <f>'Wholesale OLS model'!$B$8*F89</f>
        <v>85599328.404749155</v>
      </c>
      <c r="V89" s="8">
        <f>'Wholesale OLS model'!$B$9*G89</f>
        <v>-4954704.4066928932</v>
      </c>
      <c r="W89" s="8">
        <f>'Wholesale OLS model'!$B$10*H89</f>
        <v>9736578.4049444813</v>
      </c>
      <c r="X89" s="8">
        <f>'Wholesale OLS model'!$B$11*I89</f>
        <v>-1980487.4456003499</v>
      </c>
      <c r="Y89" s="8">
        <f>'Wholesale OLS model'!$B$12*J89</f>
        <v>-3831306.3111841921</v>
      </c>
      <c r="Z89" s="8">
        <f>'Wholesale OLS model'!$B$13*K89</f>
        <v>0</v>
      </c>
      <c r="AA89" s="8">
        <f>'Wholesale OLS model'!$B$14*L89</f>
        <v>0</v>
      </c>
      <c r="AB89" s="8">
        <f>'Wholesale OLS model'!$B$15*M89</f>
        <v>0</v>
      </c>
      <c r="AC89" s="8">
        <f>'Wholesale OLS model'!$B$16*N89</f>
        <v>0</v>
      </c>
      <c r="AD89" s="8">
        <f>'Wholesale OLS model'!$B$17*O89</f>
        <v>0</v>
      </c>
      <c r="AE89" s="8">
        <f t="shared" ca="1" si="7"/>
        <v>39093989.709681921</v>
      </c>
    </row>
    <row r="90" spans="1:31" x14ac:dyDescent="0.2">
      <c r="A90" s="99">
        <v>42491</v>
      </c>
      <c r="B90">
        <f t="shared" si="8"/>
        <v>2016</v>
      </c>
      <c r="D90">
        <f t="shared" ca="1" si="5"/>
        <v>134.15000000000003</v>
      </c>
      <c r="E90">
        <f t="shared" ca="1" si="6"/>
        <v>73.010000000000019</v>
      </c>
      <c r="F90">
        <f>F78*(1+'Employment Data'!$J$3)</f>
        <v>6946.4798999999994</v>
      </c>
      <c r="G90">
        <f t="shared" si="9"/>
        <v>89</v>
      </c>
      <c r="H90">
        <v>21</v>
      </c>
      <c r="I90">
        <f t="shared" si="10"/>
        <v>1</v>
      </c>
      <c r="J90">
        <v>36</v>
      </c>
      <c r="K90">
        <f t="shared" si="11"/>
        <v>0</v>
      </c>
      <c r="L90">
        <f t="shared" si="11"/>
        <v>0</v>
      </c>
      <c r="M90">
        <f t="shared" si="11"/>
        <v>0</v>
      </c>
      <c r="N90">
        <f t="shared" si="11"/>
        <v>0</v>
      </c>
      <c r="O90">
        <f t="shared" si="11"/>
        <v>0</v>
      </c>
      <c r="Q90" s="8">
        <f>'Wholesale OLS model'!$B$5</f>
        <v>-50878161.758948997</v>
      </c>
      <c r="R90" s="8">
        <f t="shared" si="12"/>
        <v>-1219965.1010209082</v>
      </c>
      <c r="S90" s="8">
        <f ca="1">'Wholesale OLS model'!$B$6*D90</f>
        <v>2127315.3930130186</v>
      </c>
      <c r="T90" s="8">
        <f ca="1">'Wholesale OLS model'!$B$7*E90</f>
        <v>6887269.8586982237</v>
      </c>
      <c r="U90" s="8">
        <f>'Wholesale OLS model'!$B$8*F90</f>
        <v>86420657.331637323</v>
      </c>
      <c r="V90" s="8">
        <f>'Wholesale OLS model'!$B$9*G90</f>
        <v>-5011007.8658598578</v>
      </c>
      <c r="W90" s="8">
        <f>'Wholesale OLS model'!$B$10*H90</f>
        <v>9736578.4049444813</v>
      </c>
      <c r="X90" s="8">
        <f>'Wholesale OLS model'!$B$11*I90</f>
        <v>-1980487.4456003499</v>
      </c>
      <c r="Y90" s="8">
        <f>'Wholesale OLS model'!$B$12*J90</f>
        <v>-3831306.3111841921</v>
      </c>
      <c r="Z90" s="8">
        <f>'Wholesale OLS model'!$B$13*K90</f>
        <v>0</v>
      </c>
      <c r="AA90" s="8">
        <f>'Wholesale OLS model'!$B$14*L90</f>
        <v>0</v>
      </c>
      <c r="AB90" s="8">
        <f>'Wholesale OLS model'!$B$15*M90</f>
        <v>0</v>
      </c>
      <c r="AC90" s="8">
        <f>'Wholesale OLS model'!$B$16*N90</f>
        <v>0</v>
      </c>
      <c r="AD90" s="8">
        <f>'Wholesale OLS model'!$B$17*O90</f>
        <v>0</v>
      </c>
      <c r="AE90" s="8">
        <f t="shared" ca="1" si="7"/>
        <v>42250892.505678736</v>
      </c>
    </row>
    <row r="91" spans="1:31" x14ac:dyDescent="0.2">
      <c r="A91" s="99">
        <v>42522</v>
      </c>
      <c r="B91">
        <f t="shared" si="8"/>
        <v>2016</v>
      </c>
      <c r="D91">
        <f t="shared" ca="1" si="5"/>
        <v>28.409999999999997</v>
      </c>
      <c r="E91">
        <f t="shared" ca="1" si="6"/>
        <v>106.29</v>
      </c>
      <c r="F91">
        <f>F79*(1+'Employment Data'!$J$3)</f>
        <v>7042.4237999999996</v>
      </c>
      <c r="G91">
        <f t="shared" si="9"/>
        <v>90</v>
      </c>
      <c r="H91">
        <v>22</v>
      </c>
      <c r="I91">
        <f t="shared" si="10"/>
        <v>1</v>
      </c>
      <c r="J91">
        <v>36</v>
      </c>
      <c r="K91">
        <f t="shared" si="11"/>
        <v>0</v>
      </c>
      <c r="L91">
        <f t="shared" si="11"/>
        <v>0</v>
      </c>
      <c r="M91">
        <f t="shared" si="11"/>
        <v>0</v>
      </c>
      <c r="N91">
        <f t="shared" si="11"/>
        <v>0</v>
      </c>
      <c r="O91">
        <f t="shared" si="11"/>
        <v>0</v>
      </c>
      <c r="Q91" s="8">
        <f>'Wholesale OLS model'!$B$5</f>
        <v>-50878161.758948997</v>
      </c>
      <c r="R91" s="8">
        <f t="shared" si="12"/>
        <v>-1219965.1010209082</v>
      </c>
      <c r="S91" s="8">
        <f ca="1">'Wholesale OLS model'!$B$6*D91</f>
        <v>450518.30276183254</v>
      </c>
      <c r="T91" s="8">
        <f ca="1">'Wholesale OLS model'!$B$7*E91</f>
        <v>10026680.088769129</v>
      </c>
      <c r="U91" s="8">
        <f>'Wholesale OLS model'!$B$8*F91</f>
        <v>87614288.497972503</v>
      </c>
      <c r="V91" s="8">
        <f>'Wholesale OLS model'!$B$9*G91</f>
        <v>-5067311.3250268232</v>
      </c>
      <c r="W91" s="8">
        <f>'Wholesale OLS model'!$B$10*H91</f>
        <v>10200224.995656123</v>
      </c>
      <c r="X91" s="8">
        <f>'Wholesale OLS model'!$B$11*I91</f>
        <v>-1980487.4456003499</v>
      </c>
      <c r="Y91" s="8">
        <f>'Wholesale OLS model'!$B$12*J91</f>
        <v>-3831306.3111841921</v>
      </c>
      <c r="Z91" s="8">
        <f>'Wholesale OLS model'!$B$13*K91</f>
        <v>0</v>
      </c>
      <c r="AA91" s="8">
        <f>'Wholesale OLS model'!$B$14*L91</f>
        <v>0</v>
      </c>
      <c r="AB91" s="8">
        <f>'Wholesale OLS model'!$B$15*M91</f>
        <v>0</v>
      </c>
      <c r="AC91" s="8">
        <f>'Wholesale OLS model'!$B$16*N91</f>
        <v>0</v>
      </c>
      <c r="AD91" s="8">
        <f>'Wholesale OLS model'!$B$17*O91</f>
        <v>0</v>
      </c>
      <c r="AE91" s="8">
        <f t="shared" ca="1" si="7"/>
        <v>45314479.943378314</v>
      </c>
    </row>
    <row r="92" spans="1:31" x14ac:dyDescent="0.2">
      <c r="A92" s="99">
        <v>42552</v>
      </c>
      <c r="B92">
        <f t="shared" si="8"/>
        <v>2016</v>
      </c>
      <c r="D92">
        <f t="shared" ca="1" si="5"/>
        <v>5.84</v>
      </c>
      <c r="E92">
        <f t="shared" ca="1" si="6"/>
        <v>81.070000000000007</v>
      </c>
      <c r="F92">
        <f>F80*(1+'Employment Data'!$J$3)</f>
        <v>7109.6552999999994</v>
      </c>
      <c r="G92">
        <f t="shared" si="9"/>
        <v>91</v>
      </c>
      <c r="H92">
        <v>20</v>
      </c>
      <c r="I92">
        <f t="shared" si="10"/>
        <v>1</v>
      </c>
      <c r="J92">
        <v>36</v>
      </c>
      <c r="K92">
        <f t="shared" si="11"/>
        <v>0</v>
      </c>
      <c r="L92">
        <f t="shared" si="11"/>
        <v>0</v>
      </c>
      <c r="M92">
        <f t="shared" si="11"/>
        <v>1</v>
      </c>
      <c r="N92">
        <f t="shared" si="11"/>
        <v>0</v>
      </c>
      <c r="O92">
        <f t="shared" si="11"/>
        <v>0</v>
      </c>
      <c r="Q92" s="8">
        <f>'Wholesale OLS model'!$B$5</f>
        <v>-50878161.758948997</v>
      </c>
      <c r="R92" s="8">
        <f t="shared" si="12"/>
        <v>-1219965.1010209082</v>
      </c>
      <c r="S92" s="8">
        <f ca="1">'Wholesale OLS model'!$B$6*D92</f>
        <v>92609.182968289417</v>
      </c>
      <c r="T92" s="8">
        <f ca="1">'Wholesale OLS model'!$B$7*E92</f>
        <v>7647595.7737935204</v>
      </c>
      <c r="U92" s="8">
        <f>'Wholesale OLS model'!$B$8*F92</f>
        <v>88450710.758892313</v>
      </c>
      <c r="V92" s="8">
        <f>'Wholesale OLS model'!$B$9*G92</f>
        <v>-5123614.7841937877</v>
      </c>
      <c r="W92" s="8">
        <f>'Wholesale OLS model'!$B$10*H92</f>
        <v>9272931.8142328393</v>
      </c>
      <c r="X92" s="8">
        <f>'Wholesale OLS model'!$B$11*I92</f>
        <v>-1980487.4456003499</v>
      </c>
      <c r="Y92" s="8">
        <f>'Wholesale OLS model'!$B$12*J92</f>
        <v>-3831306.3111841921</v>
      </c>
      <c r="Z92" s="8">
        <f>'Wholesale OLS model'!$B$13*K92</f>
        <v>0</v>
      </c>
      <c r="AA92" s="8">
        <f>'Wholesale OLS model'!$B$14*L92</f>
        <v>0</v>
      </c>
      <c r="AB92" s="8">
        <f>'Wholesale OLS model'!$B$15*M92</f>
        <v>2370057.8473386201</v>
      </c>
      <c r="AC92" s="8">
        <f>'Wholesale OLS model'!$B$16*N92</f>
        <v>0</v>
      </c>
      <c r="AD92" s="8">
        <f>'Wholesale OLS model'!$B$17*O92</f>
        <v>0</v>
      </c>
      <c r="AE92" s="8">
        <f t="shared" ca="1" si="7"/>
        <v>44800369.976277336</v>
      </c>
    </row>
    <row r="93" spans="1:31" x14ac:dyDescent="0.2">
      <c r="A93" s="99">
        <v>42583</v>
      </c>
      <c r="B93">
        <f t="shared" si="8"/>
        <v>2016</v>
      </c>
      <c r="D93">
        <f t="shared" ca="1" si="5"/>
        <v>10.420000000000002</v>
      </c>
      <c r="E93">
        <f t="shared" ca="1" si="6"/>
        <v>31.57</v>
      </c>
      <c r="F93">
        <f>F81*(1+'Employment Data'!$J$3)</f>
        <v>7123.2026999999989</v>
      </c>
      <c r="G93">
        <f t="shared" si="9"/>
        <v>92</v>
      </c>
      <c r="H93">
        <v>22</v>
      </c>
      <c r="I93">
        <f t="shared" si="10"/>
        <v>1</v>
      </c>
      <c r="J93">
        <v>36</v>
      </c>
      <c r="K93">
        <f t="shared" si="11"/>
        <v>0</v>
      </c>
      <c r="L93">
        <f t="shared" si="11"/>
        <v>0</v>
      </c>
      <c r="M93">
        <f t="shared" si="11"/>
        <v>0</v>
      </c>
      <c r="N93">
        <f t="shared" si="11"/>
        <v>1</v>
      </c>
      <c r="O93">
        <f t="shared" si="11"/>
        <v>0</v>
      </c>
      <c r="Q93" s="8">
        <f>'Wholesale OLS model'!$B$5</f>
        <v>-50878161.758948997</v>
      </c>
      <c r="R93" s="8">
        <f t="shared" si="12"/>
        <v>-1219965.1010209082</v>
      </c>
      <c r="S93" s="8">
        <f ca="1">'Wholesale OLS model'!$B$6*D93</f>
        <v>165237.61755643424</v>
      </c>
      <c r="T93" s="8">
        <f ca="1">'Wholesale OLS model'!$B$7*E93</f>
        <v>2978100.3895233925</v>
      </c>
      <c r="U93" s="8">
        <f>'Wholesale OLS model'!$B$8*F93</f>
        <v>88619252.98891224</v>
      </c>
      <c r="V93" s="8">
        <f>'Wholesale OLS model'!$B$9*G93</f>
        <v>-5179918.2433607522</v>
      </c>
      <c r="W93" s="8">
        <f>'Wholesale OLS model'!$B$10*H93</f>
        <v>10200224.995656123</v>
      </c>
      <c r="X93" s="8">
        <f>'Wholesale OLS model'!$B$11*I93</f>
        <v>-1980487.4456003499</v>
      </c>
      <c r="Y93" s="8">
        <f>'Wholesale OLS model'!$B$12*J93</f>
        <v>-3831306.3111841921</v>
      </c>
      <c r="Z93" s="8">
        <f>'Wholesale OLS model'!$B$13*K93</f>
        <v>0</v>
      </c>
      <c r="AA93" s="8">
        <f>'Wholesale OLS model'!$B$14*L93</f>
        <v>0</v>
      </c>
      <c r="AB93" s="8">
        <f>'Wholesale OLS model'!$B$15*M93</f>
        <v>0</v>
      </c>
      <c r="AC93" s="8">
        <f>'Wholesale OLS model'!$B$16*N93</f>
        <v>3743904.46078429</v>
      </c>
      <c r="AD93" s="8">
        <f>'Wholesale OLS model'!$B$17*O93</f>
        <v>0</v>
      </c>
      <c r="AE93" s="8">
        <f t="shared" ca="1" si="7"/>
        <v>42616881.592317283</v>
      </c>
    </row>
    <row r="94" spans="1:31" x14ac:dyDescent="0.2">
      <c r="A94" s="99">
        <v>42614</v>
      </c>
      <c r="B94">
        <f t="shared" si="8"/>
        <v>2016</v>
      </c>
      <c r="D94">
        <f t="shared" ca="1" si="5"/>
        <v>69.52000000000001</v>
      </c>
      <c r="E94">
        <f t="shared" ca="1" si="6"/>
        <v>3.6300000000000003</v>
      </c>
      <c r="F94">
        <f>F82*(1+'Employment Data'!$J$3)</f>
        <v>7071.8438999999989</v>
      </c>
      <c r="G94">
        <f t="shared" si="9"/>
        <v>93</v>
      </c>
      <c r="H94">
        <v>21</v>
      </c>
      <c r="I94">
        <f t="shared" si="10"/>
        <v>1</v>
      </c>
      <c r="J94">
        <v>36</v>
      </c>
      <c r="K94">
        <f t="shared" si="11"/>
        <v>0</v>
      </c>
      <c r="L94">
        <f t="shared" si="11"/>
        <v>0</v>
      </c>
      <c r="M94">
        <f t="shared" si="11"/>
        <v>0</v>
      </c>
      <c r="N94">
        <f t="shared" si="11"/>
        <v>0</v>
      </c>
      <c r="O94">
        <f t="shared" si="11"/>
        <v>0</v>
      </c>
      <c r="Q94" s="8">
        <f>'Wholesale OLS model'!$B$5</f>
        <v>-50878161.758948997</v>
      </c>
      <c r="R94" s="8">
        <f t="shared" si="12"/>
        <v>-1219965.1010209082</v>
      </c>
      <c r="S94" s="8">
        <f ca="1">'Wholesale OLS model'!$B$6*D94</f>
        <v>1102429.8630060756</v>
      </c>
      <c r="T94" s="8">
        <f ca="1">'Wholesale OLS model'!$B$7*E94</f>
        <v>342429.6615131427</v>
      </c>
      <c r="U94" s="8">
        <f>'Wholesale OLS model'!$B$8*F94</f>
        <v>87980301.84823966</v>
      </c>
      <c r="V94" s="8">
        <f>'Wholesale OLS model'!$B$9*G94</f>
        <v>-5236221.7025277168</v>
      </c>
      <c r="W94" s="8">
        <f>'Wholesale OLS model'!$B$10*H94</f>
        <v>9736578.4049444813</v>
      </c>
      <c r="X94" s="8">
        <f>'Wholesale OLS model'!$B$11*I94</f>
        <v>-1980487.4456003499</v>
      </c>
      <c r="Y94" s="8">
        <f>'Wholesale OLS model'!$B$12*J94</f>
        <v>-3831306.3111841921</v>
      </c>
      <c r="Z94" s="8">
        <f>'Wholesale OLS model'!$B$13*K94</f>
        <v>0</v>
      </c>
      <c r="AA94" s="8">
        <f>'Wholesale OLS model'!$B$14*L94</f>
        <v>0</v>
      </c>
      <c r="AB94" s="8">
        <f>'Wholesale OLS model'!$B$15*M94</f>
        <v>0</v>
      </c>
      <c r="AC94" s="8">
        <f>'Wholesale OLS model'!$B$16*N94</f>
        <v>0</v>
      </c>
      <c r="AD94" s="8">
        <f>'Wholesale OLS model'!$B$17*O94</f>
        <v>0</v>
      </c>
      <c r="AE94" s="8">
        <f t="shared" ca="1" si="7"/>
        <v>36015597.458421193</v>
      </c>
    </row>
    <row r="95" spans="1:31" x14ac:dyDescent="0.2">
      <c r="A95" s="99">
        <v>42644</v>
      </c>
      <c r="B95">
        <f t="shared" si="8"/>
        <v>2016</v>
      </c>
      <c r="D95">
        <f t="shared" ca="1" si="5"/>
        <v>236.61000000000004</v>
      </c>
      <c r="E95">
        <f t="shared" ca="1" si="6"/>
        <v>0</v>
      </c>
      <c r="F95">
        <f>F83*(1+'Employment Data'!$J$3)</f>
        <v>7045.6589999999997</v>
      </c>
      <c r="G95">
        <f t="shared" si="9"/>
        <v>94</v>
      </c>
      <c r="H95">
        <v>20</v>
      </c>
      <c r="I95">
        <f t="shared" si="10"/>
        <v>1</v>
      </c>
      <c r="J95">
        <v>36</v>
      </c>
      <c r="K95">
        <f t="shared" si="11"/>
        <v>0</v>
      </c>
      <c r="L95">
        <f t="shared" si="11"/>
        <v>0</v>
      </c>
      <c r="M95">
        <f t="shared" si="11"/>
        <v>0</v>
      </c>
      <c r="N95">
        <f t="shared" si="11"/>
        <v>0</v>
      </c>
      <c r="O95">
        <f t="shared" si="11"/>
        <v>0</v>
      </c>
      <c r="Q95" s="8">
        <f>'Wholesale OLS model'!$B$5</f>
        <v>-50878161.758948997</v>
      </c>
      <c r="R95" s="8">
        <f t="shared" si="12"/>
        <v>-1219965.1010209082</v>
      </c>
      <c r="S95" s="8">
        <f ca="1">'Wholesale OLS model'!$B$6*D95</f>
        <v>3752099.10652859</v>
      </c>
      <c r="T95" s="8">
        <f ca="1">'Wholesale OLS model'!$B$7*E95</f>
        <v>0</v>
      </c>
      <c r="U95" s="8">
        <f>'Wholesale OLS model'!$B$8*F95</f>
        <v>87654537.388723537</v>
      </c>
      <c r="V95" s="8">
        <f>'Wholesale OLS model'!$B$9*G95</f>
        <v>-5292525.1616946813</v>
      </c>
      <c r="W95" s="8">
        <f>'Wholesale OLS model'!$B$10*H95</f>
        <v>9272931.8142328393</v>
      </c>
      <c r="X95" s="8">
        <f>'Wholesale OLS model'!$B$11*I95</f>
        <v>-1980487.4456003499</v>
      </c>
      <c r="Y95" s="8">
        <f>'Wholesale OLS model'!$B$12*J95</f>
        <v>-3831306.3111841921</v>
      </c>
      <c r="Z95" s="8">
        <f>'Wholesale OLS model'!$B$13*K95</f>
        <v>0</v>
      </c>
      <c r="AA95" s="8">
        <f>'Wholesale OLS model'!$B$14*L95</f>
        <v>0</v>
      </c>
      <c r="AB95" s="8">
        <f>'Wholesale OLS model'!$B$15*M95</f>
        <v>0</v>
      </c>
      <c r="AC95" s="8">
        <f>'Wholesale OLS model'!$B$16*N95</f>
        <v>0</v>
      </c>
      <c r="AD95" s="8">
        <f>'Wholesale OLS model'!$B$17*O95</f>
        <v>0</v>
      </c>
      <c r="AE95" s="8">
        <f t="shared" ca="1" si="7"/>
        <v>37477122.531035833</v>
      </c>
    </row>
    <row r="96" spans="1:31" x14ac:dyDescent="0.2">
      <c r="A96" s="99">
        <v>42675</v>
      </c>
      <c r="B96">
        <f t="shared" si="8"/>
        <v>2016</v>
      </c>
      <c r="D96">
        <f t="shared" ca="1" si="5"/>
        <v>398.34999999999997</v>
      </c>
      <c r="E96">
        <f t="shared" ca="1" si="6"/>
        <v>0</v>
      </c>
      <c r="F96">
        <f>F84*(1+'Employment Data'!$J$3)</f>
        <v>7013.205899999999</v>
      </c>
      <c r="G96">
        <f t="shared" si="9"/>
        <v>95</v>
      </c>
      <c r="H96">
        <v>21</v>
      </c>
      <c r="I96">
        <f t="shared" si="10"/>
        <v>1</v>
      </c>
      <c r="J96">
        <v>36</v>
      </c>
      <c r="K96">
        <f t="shared" si="11"/>
        <v>0</v>
      </c>
      <c r="L96">
        <f t="shared" si="11"/>
        <v>0</v>
      </c>
      <c r="M96">
        <f t="shared" si="11"/>
        <v>0</v>
      </c>
      <c r="N96">
        <f t="shared" si="11"/>
        <v>0</v>
      </c>
      <c r="O96">
        <f t="shared" si="11"/>
        <v>1</v>
      </c>
      <c r="Q96" s="8">
        <f>'Wholesale OLS model'!$B$5</f>
        <v>-50878161.758948997</v>
      </c>
      <c r="R96" s="8">
        <f t="shared" si="12"/>
        <v>-1219965.1010209082</v>
      </c>
      <c r="S96" s="8">
        <f ca="1">'Wholesale OLS model'!$B$6*D96</f>
        <v>6316929.4581195358</v>
      </c>
      <c r="T96" s="8">
        <f ca="1">'Wholesale OLS model'!$B$7*E96</f>
        <v>0</v>
      </c>
      <c r="U96" s="8">
        <f>'Wholesale OLS model'!$B$8*F96</f>
        <v>87250790.703377277</v>
      </c>
      <c r="V96" s="8">
        <f>'Wholesale OLS model'!$B$9*G96</f>
        <v>-5348828.6208616467</v>
      </c>
      <c r="W96" s="8">
        <f>'Wholesale OLS model'!$B$10*H96</f>
        <v>9736578.4049444813</v>
      </c>
      <c r="X96" s="8">
        <f>'Wholesale OLS model'!$B$11*I96</f>
        <v>-1980487.4456003499</v>
      </c>
      <c r="Y96" s="8">
        <f>'Wholesale OLS model'!$B$12*J96</f>
        <v>-3831306.3111841921</v>
      </c>
      <c r="Z96" s="8">
        <f>'Wholesale OLS model'!$B$13*K96</f>
        <v>0</v>
      </c>
      <c r="AA96" s="8">
        <f>'Wholesale OLS model'!$B$14*L96</f>
        <v>0</v>
      </c>
      <c r="AB96" s="8">
        <f>'Wholesale OLS model'!$B$15*M96</f>
        <v>0</v>
      </c>
      <c r="AC96" s="8">
        <f>'Wholesale OLS model'!$B$16*N96</f>
        <v>0</v>
      </c>
      <c r="AD96" s="8">
        <f>'Wholesale OLS model'!$B$17*O96</f>
        <v>-1766353.8816768799</v>
      </c>
      <c r="AE96" s="8">
        <f t="shared" ca="1" si="7"/>
        <v>38279195.447148308</v>
      </c>
    </row>
    <row r="97" spans="1:31" x14ac:dyDescent="0.2">
      <c r="A97" s="99">
        <v>42705</v>
      </c>
      <c r="B97">
        <f t="shared" si="8"/>
        <v>2016</v>
      </c>
      <c r="D97">
        <f t="shared" ca="1" si="5"/>
        <v>558.68999999999994</v>
      </c>
      <c r="E97">
        <f t="shared" si="6"/>
        <v>0</v>
      </c>
      <c r="F97">
        <f>F85*(1+'Employment Data'!$J$3)</f>
        <v>7024.6301999999987</v>
      </c>
      <c r="G97">
        <f t="shared" si="9"/>
        <v>96</v>
      </c>
      <c r="H97">
        <v>20</v>
      </c>
      <c r="I97">
        <f t="shared" si="10"/>
        <v>1</v>
      </c>
      <c r="J97">
        <v>36</v>
      </c>
      <c r="K97">
        <f t="shared" si="11"/>
        <v>0</v>
      </c>
      <c r="L97">
        <f t="shared" si="11"/>
        <v>0</v>
      </c>
      <c r="M97">
        <f t="shared" si="11"/>
        <v>0</v>
      </c>
      <c r="N97">
        <f t="shared" si="11"/>
        <v>0</v>
      </c>
      <c r="O97">
        <f t="shared" si="11"/>
        <v>0</v>
      </c>
      <c r="Q97" s="8">
        <f>'Wholesale OLS model'!$B$5</f>
        <v>-50878161.758948997</v>
      </c>
      <c r="R97" s="8">
        <f t="shared" si="12"/>
        <v>-1219965.1010209082</v>
      </c>
      <c r="S97" s="8">
        <f ca="1">'Wholesale OLS model'!$B$6*D97</f>
        <v>8859558.9781769887</v>
      </c>
      <c r="T97" s="8">
        <f>'Wholesale OLS model'!$B$7*E97</f>
        <v>0</v>
      </c>
      <c r="U97" s="8">
        <f>'Wholesale OLS model'!$B$8*F97</f>
        <v>87392919.598841846</v>
      </c>
      <c r="V97" s="8">
        <f>'Wholesale OLS model'!$B$9*G97</f>
        <v>-5405132.0800286112</v>
      </c>
      <c r="W97" s="8">
        <f>'Wholesale OLS model'!$B$10*H97</f>
        <v>9272931.8142328393</v>
      </c>
      <c r="X97" s="8">
        <f>'Wholesale OLS model'!$B$11*I97</f>
        <v>-1980487.4456003499</v>
      </c>
      <c r="Y97" s="8">
        <f>'Wholesale OLS model'!$B$12*J97</f>
        <v>-3831306.3111841921</v>
      </c>
      <c r="Z97" s="8">
        <f>'Wholesale OLS model'!$B$13*K97</f>
        <v>0</v>
      </c>
      <c r="AA97" s="8">
        <f>'Wholesale OLS model'!$B$14*L97</f>
        <v>0</v>
      </c>
      <c r="AB97" s="8">
        <f>'Wholesale OLS model'!$B$15*M97</f>
        <v>0</v>
      </c>
      <c r="AC97" s="8">
        <f>'Wholesale OLS model'!$B$16*N97</f>
        <v>0</v>
      </c>
      <c r="AD97" s="8">
        <f>'Wholesale OLS model'!$B$17*O97</f>
        <v>0</v>
      </c>
      <c r="AE97" s="8">
        <f t="shared" ca="1" si="7"/>
        <v>42210357.694468617</v>
      </c>
    </row>
    <row r="98" spans="1:31" x14ac:dyDescent="0.2">
      <c r="A98" s="99">
        <v>42736</v>
      </c>
      <c r="B98">
        <f t="shared" si="8"/>
        <v>2017</v>
      </c>
      <c r="D98">
        <f t="shared" ca="1" si="5"/>
        <v>685.8599999999999</v>
      </c>
      <c r="E98">
        <f t="shared" ca="1" si="6"/>
        <v>0</v>
      </c>
      <c r="F98">
        <f>F86*(1+'Employment Data'!$J$4)</f>
        <v>6987.8699619749996</v>
      </c>
      <c r="G98">
        <f t="shared" si="9"/>
        <v>97</v>
      </c>
      <c r="H98">
        <v>21</v>
      </c>
      <c r="I98">
        <f t="shared" si="10"/>
        <v>1</v>
      </c>
      <c r="J98">
        <v>36</v>
      </c>
      <c r="K98">
        <f t="shared" si="11"/>
        <v>1</v>
      </c>
      <c r="L98">
        <f t="shared" si="11"/>
        <v>0</v>
      </c>
      <c r="M98">
        <f t="shared" si="11"/>
        <v>0</v>
      </c>
      <c r="N98">
        <f t="shared" si="11"/>
        <v>0</v>
      </c>
      <c r="O98">
        <f t="shared" si="11"/>
        <v>0</v>
      </c>
      <c r="Q98" s="8">
        <f>'Wholesale OLS model'!$B$5</f>
        <v>-50878161.758948997</v>
      </c>
      <c r="R98" s="8">
        <f>-12889873.8726318/12</f>
        <v>-1074156.15605265</v>
      </c>
      <c r="S98" s="8">
        <f ca="1">'Wholesale OLS model'!$B$6*D98</f>
        <v>10876187.368258728</v>
      </c>
      <c r="T98" s="8">
        <f ca="1">'Wholesale OLS model'!$B$7*E98</f>
        <v>0</v>
      </c>
      <c r="U98" s="8">
        <f>'Wholesale OLS model'!$B$8*F98</f>
        <v>86935588.118794248</v>
      </c>
      <c r="V98" s="8">
        <f>'Wholesale OLS model'!$B$9*G98</f>
        <v>-5461435.5391955758</v>
      </c>
      <c r="W98" s="8">
        <f>'Wholesale OLS model'!$B$10*H98</f>
        <v>9736578.4049444813</v>
      </c>
      <c r="X98" s="8">
        <f>'Wholesale OLS model'!$B$11*I98</f>
        <v>-1980487.4456003499</v>
      </c>
      <c r="Y98" s="8">
        <f>'Wholesale OLS model'!$B$12*J98</f>
        <v>-3831306.3111841921</v>
      </c>
      <c r="Z98" s="8">
        <f>'Wholesale OLS model'!$B$13*K98</f>
        <v>2647304.3437043098</v>
      </c>
      <c r="AA98" s="8">
        <f>'Wholesale OLS model'!$B$14*L98</f>
        <v>0</v>
      </c>
      <c r="AB98" s="8">
        <f>'Wholesale OLS model'!$B$15*M98</f>
        <v>0</v>
      </c>
      <c r="AC98" s="8">
        <f>'Wholesale OLS model'!$B$16*N98</f>
        <v>0</v>
      </c>
      <c r="AD98" s="8">
        <f>'Wholesale OLS model'!$B$17*O98</f>
        <v>0</v>
      </c>
      <c r="AE98" s="8">
        <f t="shared" ca="1" si="7"/>
        <v>46970111.024720006</v>
      </c>
    </row>
    <row r="99" spans="1:31" x14ac:dyDescent="0.2">
      <c r="A99" s="99">
        <v>42767</v>
      </c>
      <c r="B99">
        <f t="shared" si="8"/>
        <v>2017</v>
      </c>
      <c r="D99">
        <f t="shared" ca="1" si="5"/>
        <v>660.08</v>
      </c>
      <c r="E99">
        <f t="shared" ca="1" si="6"/>
        <v>0</v>
      </c>
      <c r="F99">
        <f>F87*(1+'Employment Data'!$J$4)</f>
        <v>6952.3441296749988</v>
      </c>
      <c r="G99">
        <f t="shared" si="9"/>
        <v>98</v>
      </c>
      <c r="H99">
        <v>19</v>
      </c>
      <c r="I99">
        <f t="shared" si="10"/>
        <v>1</v>
      </c>
      <c r="J99">
        <v>36</v>
      </c>
      <c r="K99">
        <f t="shared" si="11"/>
        <v>0</v>
      </c>
      <c r="L99">
        <f t="shared" si="11"/>
        <v>0</v>
      </c>
      <c r="M99">
        <f t="shared" si="11"/>
        <v>0</v>
      </c>
      <c r="N99">
        <f t="shared" si="11"/>
        <v>0</v>
      </c>
      <c r="O99">
        <f t="shared" si="11"/>
        <v>0</v>
      </c>
      <c r="Q99" s="8">
        <f>'Wholesale OLS model'!$B$5</f>
        <v>-50878161.758948997</v>
      </c>
      <c r="R99" s="8">
        <f t="shared" ref="R99:R109" si="13">-12889873.8726318/12</f>
        <v>-1074156.15605265</v>
      </c>
      <c r="S99" s="8">
        <f ca="1">'Wholesale OLS model'!$B$6*D99</f>
        <v>10467374.913306247</v>
      </c>
      <c r="T99" s="8">
        <f ca="1">'Wholesale OLS model'!$B$7*E99</f>
        <v>0</v>
      </c>
      <c r="U99" s="8">
        <f>'Wholesale OLS model'!$B$8*F99</f>
        <v>86493613.791679367</v>
      </c>
      <c r="V99" s="8">
        <f>'Wholesale OLS model'!$B$9*G99</f>
        <v>-5517738.9983625403</v>
      </c>
      <c r="W99" s="8">
        <f>'Wholesale OLS model'!$B$10*H99</f>
        <v>8809285.2235211972</v>
      </c>
      <c r="X99" s="8">
        <f>'Wholesale OLS model'!$B$11*I99</f>
        <v>-1980487.4456003499</v>
      </c>
      <c r="Y99" s="8">
        <f>'Wholesale OLS model'!$B$12*J99</f>
        <v>-3831306.3111841921</v>
      </c>
      <c r="Z99" s="8">
        <f>'Wholesale OLS model'!$B$13*K99</f>
        <v>0</v>
      </c>
      <c r="AA99" s="8">
        <f>'Wholesale OLS model'!$B$14*L99</f>
        <v>0</v>
      </c>
      <c r="AB99" s="8">
        <f>'Wholesale OLS model'!$B$15*M99</f>
        <v>0</v>
      </c>
      <c r="AC99" s="8">
        <f>'Wholesale OLS model'!$B$16*N99</f>
        <v>0</v>
      </c>
      <c r="AD99" s="8">
        <f>'Wholesale OLS model'!$B$17*O99</f>
        <v>0</v>
      </c>
      <c r="AE99" s="8">
        <f t="shared" ca="1" si="7"/>
        <v>42488423.258358084</v>
      </c>
    </row>
    <row r="100" spans="1:31" x14ac:dyDescent="0.2">
      <c r="A100" s="99">
        <v>42795</v>
      </c>
      <c r="B100">
        <f t="shared" si="8"/>
        <v>2017</v>
      </c>
      <c r="D100">
        <f t="shared" ca="1" si="5"/>
        <v>543.44000000000005</v>
      </c>
      <c r="E100">
        <f t="shared" ca="1" si="6"/>
        <v>0.24</v>
      </c>
      <c r="F100">
        <f>F88*(1+'Employment Data'!$J$4)</f>
        <v>6925.1893268249987</v>
      </c>
      <c r="G100">
        <f t="shared" si="9"/>
        <v>99</v>
      </c>
      <c r="H100">
        <v>23</v>
      </c>
      <c r="I100">
        <f t="shared" si="10"/>
        <v>1</v>
      </c>
      <c r="J100">
        <v>36</v>
      </c>
      <c r="K100">
        <f t="shared" si="11"/>
        <v>0</v>
      </c>
      <c r="L100">
        <f t="shared" si="11"/>
        <v>1</v>
      </c>
      <c r="M100">
        <f t="shared" si="11"/>
        <v>0</v>
      </c>
      <c r="N100">
        <f t="shared" si="11"/>
        <v>0</v>
      </c>
      <c r="O100">
        <f t="shared" si="11"/>
        <v>0</v>
      </c>
      <c r="Q100" s="8">
        <f>'Wholesale OLS model'!$B$5</f>
        <v>-50878161.758948997</v>
      </c>
      <c r="R100" s="8">
        <f t="shared" si="13"/>
        <v>-1074156.15605265</v>
      </c>
      <c r="S100" s="8">
        <f ca="1">'Wholesale OLS model'!$B$6*D100</f>
        <v>8617728.4918300007</v>
      </c>
      <c r="T100" s="8">
        <f ca="1">'Wholesale OLS model'!$B$7*E100</f>
        <v>22639.977620703648</v>
      </c>
      <c r="U100" s="8">
        <f>'Wholesale OLS model'!$B$8*F100</f>
        <v>86155782.840493858</v>
      </c>
      <c r="V100" s="8">
        <f>'Wholesale OLS model'!$B$9*G100</f>
        <v>-5574042.4575295048</v>
      </c>
      <c r="W100" s="8">
        <f>'Wholesale OLS model'!$B$10*H100</f>
        <v>10663871.586367765</v>
      </c>
      <c r="X100" s="8">
        <f>'Wholesale OLS model'!$B$11*I100</f>
        <v>-1980487.4456003499</v>
      </c>
      <c r="Y100" s="8">
        <f>'Wholesale OLS model'!$B$12*J100</f>
        <v>-3831306.3111841921</v>
      </c>
      <c r="Z100" s="8">
        <f>'Wholesale OLS model'!$B$13*K100</f>
        <v>0</v>
      </c>
      <c r="AA100" s="8">
        <f>'Wholesale OLS model'!$B$14*L100</f>
        <v>1640135.6856942801</v>
      </c>
      <c r="AB100" s="8">
        <f>'Wholesale OLS model'!$B$15*M100</f>
        <v>0</v>
      </c>
      <c r="AC100" s="8">
        <f>'Wholesale OLS model'!$B$16*N100</f>
        <v>0</v>
      </c>
      <c r="AD100" s="8">
        <f>'Wholesale OLS model'!$B$17*O100</f>
        <v>0</v>
      </c>
      <c r="AE100" s="8">
        <f t="shared" ca="1" si="7"/>
        <v>43762004.452690907</v>
      </c>
    </row>
    <row r="101" spans="1:31" x14ac:dyDescent="0.2">
      <c r="A101" s="99">
        <v>42826</v>
      </c>
      <c r="B101">
        <f t="shared" si="8"/>
        <v>2017</v>
      </c>
      <c r="D101">
        <f t="shared" ca="1" si="5"/>
        <v>313.53000000000003</v>
      </c>
      <c r="E101">
        <f t="shared" ca="1" si="6"/>
        <v>17.5</v>
      </c>
      <c r="F101">
        <f>F89*(1+'Employment Data'!$J$4)</f>
        <v>6947.5461005999987</v>
      </c>
      <c r="G101">
        <f t="shared" si="9"/>
        <v>100</v>
      </c>
      <c r="H101">
        <v>18</v>
      </c>
      <c r="I101">
        <f t="shared" si="10"/>
        <v>1</v>
      </c>
      <c r="J101">
        <v>36</v>
      </c>
      <c r="K101">
        <f t="shared" si="11"/>
        <v>0</v>
      </c>
      <c r="L101">
        <f t="shared" si="11"/>
        <v>0</v>
      </c>
      <c r="M101">
        <f t="shared" si="11"/>
        <v>0</v>
      </c>
      <c r="N101">
        <f t="shared" si="11"/>
        <v>0</v>
      </c>
      <c r="O101">
        <f t="shared" si="11"/>
        <v>0</v>
      </c>
      <c r="Q101" s="8">
        <f>'Wholesale OLS model'!$B$5</f>
        <v>-50878161.758948997</v>
      </c>
      <c r="R101" s="8">
        <f t="shared" si="13"/>
        <v>-1074156.15605265</v>
      </c>
      <c r="S101" s="8">
        <f ca="1">'Wholesale OLS model'!$B$6*D101</f>
        <v>4971876.2219259907</v>
      </c>
      <c r="T101" s="8">
        <f ca="1">'Wholesale OLS model'!$B$7*E101</f>
        <v>1650831.701509641</v>
      </c>
      <c r="U101" s="8">
        <f>'Wholesale OLS model'!$B$8*F101</f>
        <v>86433921.856695458</v>
      </c>
      <c r="V101" s="8">
        <f>'Wholesale OLS model'!$B$9*G101</f>
        <v>-5630345.9166964702</v>
      </c>
      <c r="W101" s="8">
        <f>'Wholesale OLS model'!$B$10*H101</f>
        <v>8345638.6328095561</v>
      </c>
      <c r="X101" s="8">
        <f>'Wholesale OLS model'!$B$11*I101</f>
        <v>-1980487.4456003499</v>
      </c>
      <c r="Y101" s="8">
        <f>'Wholesale OLS model'!$B$12*J101</f>
        <v>-3831306.3111841921</v>
      </c>
      <c r="Z101" s="8">
        <f>'Wholesale OLS model'!$B$13*K101</f>
        <v>0</v>
      </c>
      <c r="AA101" s="8">
        <f>'Wholesale OLS model'!$B$14*L101</f>
        <v>0</v>
      </c>
      <c r="AB101" s="8">
        <f>'Wholesale OLS model'!$B$15*M101</f>
        <v>0</v>
      </c>
      <c r="AC101" s="8">
        <f>'Wholesale OLS model'!$B$16*N101</f>
        <v>0</v>
      </c>
      <c r="AD101" s="8">
        <f>'Wholesale OLS model'!$B$17*O101</f>
        <v>0</v>
      </c>
      <c r="AE101" s="8">
        <f t="shared" ca="1" si="7"/>
        <v>38007810.824457981</v>
      </c>
    </row>
    <row r="102" spans="1:31" x14ac:dyDescent="0.2">
      <c r="A102" s="99">
        <v>42856</v>
      </c>
      <c r="B102">
        <f t="shared" si="8"/>
        <v>2017</v>
      </c>
      <c r="D102">
        <f t="shared" ca="1" si="5"/>
        <v>134.15000000000003</v>
      </c>
      <c r="E102">
        <f t="shared" ca="1" si="6"/>
        <v>73.010000000000019</v>
      </c>
      <c r="F102">
        <f>F90*(1+'Employment Data'!$J$4)</f>
        <v>7014.2080790249993</v>
      </c>
      <c r="G102">
        <f t="shared" si="9"/>
        <v>101</v>
      </c>
      <c r="H102">
        <v>22</v>
      </c>
      <c r="I102">
        <f t="shared" si="10"/>
        <v>1</v>
      </c>
      <c r="J102">
        <v>36</v>
      </c>
      <c r="K102">
        <f t="shared" si="11"/>
        <v>0</v>
      </c>
      <c r="L102">
        <f t="shared" si="11"/>
        <v>0</v>
      </c>
      <c r="M102">
        <f t="shared" si="11"/>
        <v>0</v>
      </c>
      <c r="N102">
        <f t="shared" si="11"/>
        <v>0</v>
      </c>
      <c r="O102">
        <f t="shared" si="11"/>
        <v>0</v>
      </c>
      <c r="Q102" s="8">
        <f>'Wholesale OLS model'!$B$5</f>
        <v>-50878161.758948997</v>
      </c>
      <c r="R102" s="8">
        <f t="shared" si="13"/>
        <v>-1074156.15605265</v>
      </c>
      <c r="S102" s="8">
        <f ca="1">'Wholesale OLS model'!$B$6*D102</f>
        <v>2127315.3930130186</v>
      </c>
      <c r="T102" s="8">
        <f ca="1">'Wholesale OLS model'!$B$7*E102</f>
        <v>6887269.8586982237</v>
      </c>
      <c r="U102" s="8">
        <f>'Wholesale OLS model'!$B$8*F102</f>
        <v>87263258.740620792</v>
      </c>
      <c r="V102" s="8">
        <f>'Wholesale OLS model'!$B$9*G102</f>
        <v>-5686649.3758634347</v>
      </c>
      <c r="W102" s="8">
        <f>'Wholesale OLS model'!$B$10*H102</f>
        <v>10200224.995656123</v>
      </c>
      <c r="X102" s="8">
        <f>'Wholesale OLS model'!$B$11*I102</f>
        <v>-1980487.4456003499</v>
      </c>
      <c r="Y102" s="8">
        <f>'Wholesale OLS model'!$B$12*J102</f>
        <v>-3831306.3111841921</v>
      </c>
      <c r="Z102" s="8">
        <f>'Wholesale OLS model'!$B$13*K102</f>
        <v>0</v>
      </c>
      <c r="AA102" s="8">
        <f>'Wholesale OLS model'!$B$14*L102</f>
        <v>0</v>
      </c>
      <c r="AB102" s="8">
        <f>'Wholesale OLS model'!$B$15*M102</f>
        <v>0</v>
      </c>
      <c r="AC102" s="8">
        <f>'Wholesale OLS model'!$B$16*N102</f>
        <v>0</v>
      </c>
      <c r="AD102" s="8">
        <f>'Wholesale OLS model'!$B$17*O102</f>
        <v>0</v>
      </c>
      <c r="AE102" s="8">
        <f t="shared" ca="1" si="7"/>
        <v>43027307.940338537</v>
      </c>
    </row>
    <row r="103" spans="1:31" x14ac:dyDescent="0.2">
      <c r="A103" s="99">
        <v>42887</v>
      </c>
      <c r="B103">
        <f t="shared" si="8"/>
        <v>2017</v>
      </c>
      <c r="D103">
        <f t="shared" ca="1" si="5"/>
        <v>28.409999999999997</v>
      </c>
      <c r="E103">
        <f t="shared" ca="1" si="6"/>
        <v>106.29</v>
      </c>
      <c r="F103">
        <f>F91*(1+'Employment Data'!$J$4)</f>
        <v>7111.0874320499988</v>
      </c>
      <c r="G103">
        <f t="shared" si="9"/>
        <v>102</v>
      </c>
      <c r="H103">
        <v>22</v>
      </c>
      <c r="I103">
        <f t="shared" si="10"/>
        <v>1</v>
      </c>
      <c r="J103">
        <v>36</v>
      </c>
      <c r="K103">
        <f t="shared" ref="K103:O109" si="14">K91</f>
        <v>0</v>
      </c>
      <c r="L103">
        <f t="shared" si="14"/>
        <v>0</v>
      </c>
      <c r="M103">
        <f t="shared" si="14"/>
        <v>0</v>
      </c>
      <c r="N103">
        <f t="shared" si="14"/>
        <v>0</v>
      </c>
      <c r="O103">
        <f t="shared" si="14"/>
        <v>0</v>
      </c>
      <c r="Q103" s="8">
        <f>'Wholesale OLS model'!$B$5</f>
        <v>-50878161.758948997</v>
      </c>
      <c r="R103" s="8">
        <f t="shared" si="13"/>
        <v>-1074156.15605265</v>
      </c>
      <c r="S103" s="8">
        <f ca="1">'Wholesale OLS model'!$B$6*D103</f>
        <v>450518.30276183254</v>
      </c>
      <c r="T103" s="8">
        <f ca="1">'Wholesale OLS model'!$B$7*E103</f>
        <v>10026680.088769129</v>
      </c>
      <c r="U103" s="8">
        <f>'Wholesale OLS model'!$B$8*F103</f>
        <v>88468527.810827732</v>
      </c>
      <c r="V103" s="8">
        <f>'Wholesale OLS model'!$B$9*G103</f>
        <v>-5742952.8350303993</v>
      </c>
      <c r="W103" s="8">
        <f>'Wholesale OLS model'!$B$10*H103</f>
        <v>10200224.995656123</v>
      </c>
      <c r="X103" s="8">
        <f>'Wholesale OLS model'!$B$11*I103</f>
        <v>-1980487.4456003499</v>
      </c>
      <c r="Y103" s="8">
        <f>'Wholesale OLS model'!$B$12*J103</f>
        <v>-3831306.3111841921</v>
      </c>
      <c r="Z103" s="8">
        <f>'Wholesale OLS model'!$B$13*K103</f>
        <v>0</v>
      </c>
      <c r="AA103" s="8">
        <f>'Wholesale OLS model'!$B$14*L103</f>
        <v>0</v>
      </c>
      <c r="AB103" s="8">
        <f>'Wholesale OLS model'!$B$15*M103</f>
        <v>0</v>
      </c>
      <c r="AC103" s="8">
        <f>'Wholesale OLS model'!$B$16*N103</f>
        <v>0</v>
      </c>
      <c r="AD103" s="8">
        <f>'Wholesale OLS model'!$B$17*O103</f>
        <v>0</v>
      </c>
      <c r="AE103" s="8">
        <f t="shared" ca="1" si="7"/>
        <v>45638886.69119823</v>
      </c>
    </row>
    <row r="104" spans="1:31" x14ac:dyDescent="0.2">
      <c r="A104" s="99">
        <v>42917</v>
      </c>
      <c r="B104">
        <f t="shared" si="8"/>
        <v>2017</v>
      </c>
      <c r="D104">
        <f t="shared" ca="1" si="5"/>
        <v>5.84</v>
      </c>
      <c r="E104">
        <f t="shared" ca="1" si="6"/>
        <v>81.070000000000007</v>
      </c>
      <c r="F104">
        <f>F92*(1+'Employment Data'!$J$4)</f>
        <v>7178.9744391749991</v>
      </c>
      <c r="G104">
        <f t="shared" si="9"/>
        <v>103</v>
      </c>
      <c r="H104">
        <v>20</v>
      </c>
      <c r="I104">
        <f t="shared" si="10"/>
        <v>1</v>
      </c>
      <c r="J104">
        <v>36</v>
      </c>
      <c r="K104">
        <f t="shared" si="14"/>
        <v>0</v>
      </c>
      <c r="L104">
        <f t="shared" si="14"/>
        <v>0</v>
      </c>
      <c r="M104">
        <f t="shared" si="14"/>
        <v>1</v>
      </c>
      <c r="N104">
        <f t="shared" si="14"/>
        <v>0</v>
      </c>
      <c r="O104">
        <f t="shared" si="14"/>
        <v>0</v>
      </c>
      <c r="Q104" s="8">
        <f>'Wholesale OLS model'!$B$5</f>
        <v>-50878161.758948997</v>
      </c>
      <c r="R104" s="8">
        <f t="shared" si="13"/>
        <v>-1074156.15605265</v>
      </c>
      <c r="S104" s="8">
        <f ca="1">'Wholesale OLS model'!$B$6*D104</f>
        <v>92609.182968289417</v>
      </c>
      <c r="T104" s="8">
        <f ca="1">'Wholesale OLS model'!$B$7*E104</f>
        <v>7647595.7737935204</v>
      </c>
      <c r="U104" s="8">
        <f>'Wholesale OLS model'!$B$8*F104</f>
        <v>89313105.188791513</v>
      </c>
      <c r="V104" s="8">
        <f>'Wholesale OLS model'!$B$9*G104</f>
        <v>-5799256.2941973638</v>
      </c>
      <c r="W104" s="8">
        <f>'Wholesale OLS model'!$B$10*H104</f>
        <v>9272931.8142328393</v>
      </c>
      <c r="X104" s="8">
        <f>'Wholesale OLS model'!$B$11*I104</f>
        <v>-1980487.4456003499</v>
      </c>
      <c r="Y104" s="8">
        <f>'Wholesale OLS model'!$B$12*J104</f>
        <v>-3831306.3111841921</v>
      </c>
      <c r="Z104" s="8">
        <f>'Wholesale OLS model'!$B$13*K104</f>
        <v>0</v>
      </c>
      <c r="AA104" s="8">
        <f>'Wholesale OLS model'!$B$14*L104</f>
        <v>0</v>
      </c>
      <c r="AB104" s="8">
        <f>'Wholesale OLS model'!$B$15*M104</f>
        <v>2370057.8473386201</v>
      </c>
      <c r="AC104" s="8">
        <f>'Wholesale OLS model'!$B$16*N104</f>
        <v>0</v>
      </c>
      <c r="AD104" s="8">
        <f>'Wholesale OLS model'!$B$17*O104</f>
        <v>0</v>
      </c>
      <c r="AE104" s="8">
        <f t="shared" ca="1" si="7"/>
        <v>45132931.841141224</v>
      </c>
    </row>
    <row r="105" spans="1:31" x14ac:dyDescent="0.2">
      <c r="A105" s="99">
        <v>42948</v>
      </c>
      <c r="B105">
        <f t="shared" si="8"/>
        <v>2017</v>
      </c>
      <c r="D105">
        <f t="shared" ca="1" si="5"/>
        <v>10.420000000000002</v>
      </c>
      <c r="E105">
        <f t="shared" ca="1" si="6"/>
        <v>31.57</v>
      </c>
      <c r="F105">
        <f>F93*(1+'Employment Data'!$J$4)</f>
        <v>7192.6539263249988</v>
      </c>
      <c r="G105">
        <f t="shared" si="9"/>
        <v>104</v>
      </c>
      <c r="H105">
        <v>22</v>
      </c>
      <c r="I105">
        <f t="shared" si="10"/>
        <v>1</v>
      </c>
      <c r="J105">
        <v>36</v>
      </c>
      <c r="K105">
        <f t="shared" si="14"/>
        <v>0</v>
      </c>
      <c r="L105">
        <f t="shared" si="14"/>
        <v>0</v>
      </c>
      <c r="M105">
        <f t="shared" si="14"/>
        <v>0</v>
      </c>
      <c r="N105">
        <f t="shared" si="14"/>
        <v>1</v>
      </c>
      <c r="O105">
        <f t="shared" si="14"/>
        <v>0</v>
      </c>
      <c r="Q105" s="8">
        <f>'Wholesale OLS model'!$B$5</f>
        <v>-50878161.758948997</v>
      </c>
      <c r="R105" s="8">
        <f t="shared" si="13"/>
        <v>-1074156.15605265</v>
      </c>
      <c r="S105" s="8">
        <f ca="1">'Wholesale OLS model'!$B$6*D105</f>
        <v>165237.61755643424</v>
      </c>
      <c r="T105" s="8">
        <f ca="1">'Wholesale OLS model'!$B$7*E105</f>
        <v>2978100.3895233925</v>
      </c>
      <c r="U105" s="8">
        <f>'Wholesale OLS model'!$B$8*F105</f>
        <v>89483290.705554128</v>
      </c>
      <c r="V105" s="8">
        <f>'Wholesale OLS model'!$B$9*G105</f>
        <v>-5855559.7533643283</v>
      </c>
      <c r="W105" s="8">
        <f>'Wholesale OLS model'!$B$10*H105</f>
        <v>10200224.995656123</v>
      </c>
      <c r="X105" s="8">
        <f>'Wholesale OLS model'!$B$11*I105</f>
        <v>-1980487.4456003499</v>
      </c>
      <c r="Y105" s="8">
        <f>'Wholesale OLS model'!$B$12*J105</f>
        <v>-3831306.3111841921</v>
      </c>
      <c r="Z105" s="8">
        <f>'Wholesale OLS model'!$B$13*K105</f>
        <v>0</v>
      </c>
      <c r="AA105" s="8">
        <f>'Wholesale OLS model'!$B$14*L105</f>
        <v>0</v>
      </c>
      <c r="AB105" s="8">
        <f>'Wholesale OLS model'!$B$15*M105</f>
        <v>0</v>
      </c>
      <c r="AC105" s="8">
        <f>'Wholesale OLS model'!$B$16*N105</f>
        <v>3743904.46078429</v>
      </c>
      <c r="AD105" s="8">
        <f>'Wholesale OLS model'!$B$17*O105</f>
        <v>0</v>
      </c>
      <c r="AE105" s="8">
        <f t="shared" ca="1" si="7"/>
        <v>42951086.743923858</v>
      </c>
    </row>
    <row r="106" spans="1:31" x14ac:dyDescent="0.2">
      <c r="A106" s="99">
        <v>42979</v>
      </c>
      <c r="B106">
        <f t="shared" si="8"/>
        <v>2017</v>
      </c>
      <c r="D106">
        <f t="shared" ca="1" si="5"/>
        <v>69.52000000000001</v>
      </c>
      <c r="E106">
        <f t="shared" ca="1" si="6"/>
        <v>3.6300000000000003</v>
      </c>
      <c r="F106">
        <f>F94*(1+'Employment Data'!$J$4)</f>
        <v>7140.794378024998</v>
      </c>
      <c r="G106">
        <f t="shared" si="9"/>
        <v>105</v>
      </c>
      <c r="H106">
        <v>20</v>
      </c>
      <c r="I106">
        <f t="shared" si="10"/>
        <v>1</v>
      </c>
      <c r="J106">
        <v>36</v>
      </c>
      <c r="K106">
        <f t="shared" si="14"/>
        <v>0</v>
      </c>
      <c r="L106">
        <f t="shared" si="14"/>
        <v>0</v>
      </c>
      <c r="M106">
        <f t="shared" si="14"/>
        <v>0</v>
      </c>
      <c r="N106">
        <f t="shared" si="14"/>
        <v>0</v>
      </c>
      <c r="O106">
        <f t="shared" si="14"/>
        <v>0</v>
      </c>
      <c r="Q106" s="8">
        <f>'Wholesale OLS model'!$B$5</f>
        <v>-50878161.758948997</v>
      </c>
      <c r="R106" s="8">
        <f t="shared" si="13"/>
        <v>-1074156.15605265</v>
      </c>
      <c r="S106" s="8">
        <f ca="1">'Wholesale OLS model'!$B$6*D106</f>
        <v>1102429.8630060756</v>
      </c>
      <c r="T106" s="8">
        <f ca="1">'Wholesale OLS model'!$B$7*E106</f>
        <v>342429.6615131427</v>
      </c>
      <c r="U106" s="8">
        <f>'Wholesale OLS model'!$B$8*F106</f>
        <v>88838109.791259989</v>
      </c>
      <c r="V106" s="8">
        <f>'Wholesale OLS model'!$B$9*G106</f>
        <v>-5911863.2125312937</v>
      </c>
      <c r="W106" s="8">
        <f>'Wholesale OLS model'!$B$10*H106</f>
        <v>9272931.8142328393</v>
      </c>
      <c r="X106" s="8">
        <f>'Wholesale OLS model'!$B$11*I106</f>
        <v>-1980487.4456003499</v>
      </c>
      <c r="Y106" s="8">
        <f>'Wholesale OLS model'!$B$12*J106</f>
        <v>-3831306.3111841921</v>
      </c>
      <c r="Z106" s="8">
        <f>'Wholesale OLS model'!$B$13*K106</f>
        <v>0</v>
      </c>
      <c r="AA106" s="8">
        <f>'Wholesale OLS model'!$B$14*L106</f>
        <v>0</v>
      </c>
      <c r="AB106" s="8">
        <f>'Wholesale OLS model'!$B$15*M106</f>
        <v>0</v>
      </c>
      <c r="AC106" s="8">
        <f>'Wholesale OLS model'!$B$16*N106</f>
        <v>0</v>
      </c>
      <c r="AD106" s="8">
        <f>'Wholesale OLS model'!$B$17*O106</f>
        <v>0</v>
      </c>
      <c r="AE106" s="8">
        <f t="shared" ca="1" si="7"/>
        <v>35879926.245694563</v>
      </c>
    </row>
    <row r="107" spans="1:31" x14ac:dyDescent="0.2">
      <c r="A107" s="99">
        <v>43009</v>
      </c>
      <c r="B107">
        <f t="shared" si="8"/>
        <v>2017</v>
      </c>
      <c r="D107">
        <f t="shared" ca="1" si="5"/>
        <v>236.61000000000004</v>
      </c>
      <c r="E107">
        <f t="shared" ca="1" si="6"/>
        <v>0</v>
      </c>
      <c r="F107">
        <f>F95*(1+'Employment Data'!$J$4)</f>
        <v>7114.3541752499996</v>
      </c>
      <c r="G107">
        <f t="shared" si="9"/>
        <v>106</v>
      </c>
      <c r="H107">
        <v>21</v>
      </c>
      <c r="I107">
        <f t="shared" si="10"/>
        <v>1</v>
      </c>
      <c r="J107">
        <v>36</v>
      </c>
      <c r="K107">
        <f t="shared" si="14"/>
        <v>0</v>
      </c>
      <c r="L107">
        <f t="shared" si="14"/>
        <v>0</v>
      </c>
      <c r="M107">
        <f t="shared" si="14"/>
        <v>0</v>
      </c>
      <c r="N107">
        <f t="shared" si="14"/>
        <v>0</v>
      </c>
      <c r="O107">
        <f t="shared" si="14"/>
        <v>0</v>
      </c>
      <c r="Q107" s="8">
        <f>'Wholesale OLS model'!$B$5</f>
        <v>-50878161.758948997</v>
      </c>
      <c r="R107" s="8">
        <f t="shared" si="13"/>
        <v>-1074156.15605265</v>
      </c>
      <c r="S107" s="8">
        <f ca="1">'Wholesale OLS model'!$B$6*D107</f>
        <v>3752099.10652859</v>
      </c>
      <c r="T107" s="8">
        <f ca="1">'Wholesale OLS model'!$B$7*E107</f>
        <v>0</v>
      </c>
      <c r="U107" s="8">
        <f>'Wholesale OLS model'!$B$8*F107</f>
        <v>88509169.128263593</v>
      </c>
      <c r="V107" s="8">
        <f>'Wholesale OLS model'!$B$9*G107</f>
        <v>-5968166.6716982583</v>
      </c>
      <c r="W107" s="8">
        <f>'Wholesale OLS model'!$B$10*H107</f>
        <v>9736578.4049444813</v>
      </c>
      <c r="X107" s="8">
        <f>'Wholesale OLS model'!$B$11*I107</f>
        <v>-1980487.4456003499</v>
      </c>
      <c r="Y107" s="8">
        <f>'Wholesale OLS model'!$B$12*J107</f>
        <v>-3831306.3111841921</v>
      </c>
      <c r="Z107" s="8">
        <f>'Wholesale OLS model'!$B$13*K107</f>
        <v>0</v>
      </c>
      <c r="AA107" s="8">
        <f>'Wholesale OLS model'!$B$14*L107</f>
        <v>0</v>
      </c>
      <c r="AB107" s="8">
        <f>'Wholesale OLS model'!$B$15*M107</f>
        <v>0</v>
      </c>
      <c r="AC107" s="8">
        <f>'Wholesale OLS model'!$B$16*N107</f>
        <v>0</v>
      </c>
      <c r="AD107" s="8">
        <f>'Wholesale OLS model'!$B$17*O107</f>
        <v>0</v>
      </c>
      <c r="AE107" s="8">
        <f t="shared" ca="1" si="7"/>
        <v>38265568.296252213</v>
      </c>
    </row>
    <row r="108" spans="1:31" x14ac:dyDescent="0.2">
      <c r="A108" s="99">
        <v>43040</v>
      </c>
      <c r="B108">
        <f t="shared" si="8"/>
        <v>2017</v>
      </c>
      <c r="D108">
        <f t="shared" ca="1" si="5"/>
        <v>398.34999999999997</v>
      </c>
      <c r="E108">
        <f t="shared" ca="1" si="6"/>
        <v>0</v>
      </c>
      <c r="F108">
        <f>F96*(1+'Employment Data'!$J$4)</f>
        <v>7081.5846575249989</v>
      </c>
      <c r="G108">
        <f t="shared" si="9"/>
        <v>107</v>
      </c>
      <c r="H108">
        <v>22</v>
      </c>
      <c r="I108">
        <f t="shared" si="10"/>
        <v>1</v>
      </c>
      <c r="J108">
        <v>36</v>
      </c>
      <c r="K108">
        <f t="shared" si="14"/>
        <v>0</v>
      </c>
      <c r="L108">
        <f t="shared" si="14"/>
        <v>0</v>
      </c>
      <c r="M108">
        <f t="shared" si="14"/>
        <v>0</v>
      </c>
      <c r="N108">
        <f t="shared" si="14"/>
        <v>0</v>
      </c>
      <c r="O108">
        <f t="shared" si="14"/>
        <v>1</v>
      </c>
      <c r="Q108" s="8">
        <f>'Wholesale OLS model'!$B$5</f>
        <v>-50878161.758948997</v>
      </c>
      <c r="R108" s="8">
        <f t="shared" si="13"/>
        <v>-1074156.15605265</v>
      </c>
      <c r="S108" s="8">
        <f ca="1">'Wholesale OLS model'!$B$6*D108</f>
        <v>6316929.4581195358</v>
      </c>
      <c r="T108" s="8">
        <f ca="1">'Wholesale OLS model'!$B$7*E108</f>
        <v>0</v>
      </c>
      <c r="U108" s="8">
        <f>'Wholesale OLS model'!$B$8*F108</f>
        <v>88101485.912735209</v>
      </c>
      <c r="V108" s="8">
        <f>'Wholesale OLS model'!$B$9*G108</f>
        <v>-6024470.1308652228</v>
      </c>
      <c r="W108" s="8">
        <f>'Wholesale OLS model'!$B$10*H108</f>
        <v>10200224.995656123</v>
      </c>
      <c r="X108" s="8">
        <f>'Wholesale OLS model'!$B$11*I108</f>
        <v>-1980487.4456003499</v>
      </c>
      <c r="Y108" s="8">
        <f>'Wholesale OLS model'!$B$12*J108</f>
        <v>-3831306.3111841921</v>
      </c>
      <c r="Z108" s="8">
        <f>'Wholesale OLS model'!$B$13*K108</f>
        <v>0</v>
      </c>
      <c r="AA108" s="8">
        <f>'Wholesale OLS model'!$B$14*L108</f>
        <v>0</v>
      </c>
      <c r="AB108" s="8">
        <f>'Wholesale OLS model'!$B$15*M108</f>
        <v>0</v>
      </c>
      <c r="AC108" s="8">
        <f>'Wholesale OLS model'!$B$16*N108</f>
        <v>0</v>
      </c>
      <c r="AD108" s="8">
        <f>'Wholesale OLS model'!$B$17*O108</f>
        <v>-1766353.8816768799</v>
      </c>
      <c r="AE108" s="8">
        <f t="shared" ca="1" si="7"/>
        <v>39063704.682182573</v>
      </c>
    </row>
    <row r="109" spans="1:31" x14ac:dyDescent="0.2">
      <c r="A109" s="99">
        <v>43070</v>
      </c>
      <c r="B109">
        <f t="shared" si="8"/>
        <v>2017</v>
      </c>
      <c r="D109">
        <f t="shared" ca="1" si="5"/>
        <v>558.68999999999994</v>
      </c>
      <c r="E109">
        <f t="shared" si="6"/>
        <v>0</v>
      </c>
      <c r="F109">
        <f>F97*(1+'Employment Data'!$J$4)</f>
        <v>7093.1203444499979</v>
      </c>
      <c r="G109">
        <f t="shared" si="9"/>
        <v>108</v>
      </c>
      <c r="H109">
        <v>19</v>
      </c>
      <c r="I109">
        <f t="shared" si="10"/>
        <v>1</v>
      </c>
      <c r="J109">
        <v>36</v>
      </c>
      <c r="K109">
        <f t="shared" si="14"/>
        <v>0</v>
      </c>
      <c r="L109">
        <f t="shared" si="14"/>
        <v>0</v>
      </c>
      <c r="M109">
        <f t="shared" si="14"/>
        <v>0</v>
      </c>
      <c r="N109">
        <f t="shared" si="14"/>
        <v>0</v>
      </c>
      <c r="O109">
        <f t="shared" si="14"/>
        <v>0</v>
      </c>
      <c r="Q109" s="8">
        <f>'Wholesale OLS model'!$B$5</f>
        <v>-50878161.758948997</v>
      </c>
      <c r="R109" s="8">
        <f t="shared" si="13"/>
        <v>-1074156.15605265</v>
      </c>
      <c r="S109" s="8">
        <f ca="1">'Wholesale OLS model'!$B$6*D109</f>
        <v>8859558.9781769887</v>
      </c>
      <c r="T109" s="8">
        <f>'Wholesale OLS model'!$B$7*E109</f>
        <v>0</v>
      </c>
      <c r="U109" s="8">
        <f>'Wholesale OLS model'!$B$8*F109</f>
        <v>88245000.564930543</v>
      </c>
      <c r="V109" s="8">
        <f>'Wholesale OLS model'!$B$9*G109</f>
        <v>-6080773.5900321873</v>
      </c>
      <c r="W109" s="8">
        <f>'Wholesale OLS model'!$B$10*H109</f>
        <v>8809285.2235211972</v>
      </c>
      <c r="X109" s="8">
        <f>'Wholesale OLS model'!$B$11*I109</f>
        <v>-1980487.4456003499</v>
      </c>
      <c r="Y109" s="8">
        <f>'Wholesale OLS model'!$B$12*J109</f>
        <v>-3831306.3111841921</v>
      </c>
      <c r="Z109" s="8">
        <f>'Wholesale OLS model'!$B$13*K109</f>
        <v>0</v>
      </c>
      <c r="AA109" s="8">
        <f>'Wholesale OLS model'!$B$14*L109</f>
        <v>0</v>
      </c>
      <c r="AB109" s="8">
        <f>'Wholesale OLS model'!$B$15*M109</f>
        <v>0</v>
      </c>
      <c r="AC109" s="8">
        <f>'Wholesale OLS model'!$B$16*N109</f>
        <v>0</v>
      </c>
      <c r="AD109" s="8">
        <f>'Wholesale OLS model'!$B$17*O109</f>
        <v>0</v>
      </c>
      <c r="AE109" s="8">
        <f t="shared" ca="1" si="7"/>
        <v>42068959.504810348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3"/>
  <sheetViews>
    <sheetView workbookViewId="0">
      <selection activeCell="M5" sqref="M5"/>
    </sheetView>
  </sheetViews>
  <sheetFormatPr defaultColWidth="9.33203125" defaultRowHeight="12.75" x14ac:dyDescent="0.2"/>
  <cols>
    <col min="1" max="1" width="3.5" style="112" customWidth="1"/>
    <col min="2" max="2" width="5.83203125" style="112" bestFit="1" customWidth="1"/>
    <col min="3" max="3" width="11.6640625" style="112" bestFit="1" customWidth="1"/>
    <col min="4" max="4" width="8.5" style="112" customWidth="1"/>
    <col min="5" max="5" width="15.6640625" style="112" customWidth="1"/>
    <col min="6" max="6" width="3.5" style="112" customWidth="1"/>
    <col min="7" max="7" width="5.83203125" style="112" bestFit="1" customWidth="1"/>
    <col min="8" max="8" width="11.6640625" style="112" bestFit="1" customWidth="1"/>
    <col min="9" max="9" width="8.5" style="112" customWidth="1"/>
    <col min="10" max="10" width="15.6640625" style="112" customWidth="1"/>
    <col min="11" max="11" width="3.5" style="112" customWidth="1"/>
    <col min="12" max="12" width="5.83203125" style="112" bestFit="1" customWidth="1"/>
    <col min="13" max="13" width="11.6640625" style="112" bestFit="1" customWidth="1"/>
    <col min="14" max="14" width="8.83203125" style="112" customWidth="1"/>
    <col min="15" max="15" width="14.5" style="112" customWidth="1"/>
    <col min="16" max="16" width="3" style="112" customWidth="1"/>
    <col min="17" max="17" width="7.83203125" style="112" customWidth="1"/>
    <col min="18" max="18" width="11.5" style="112" customWidth="1"/>
    <col min="19" max="19" width="3" style="112" customWidth="1"/>
    <col min="20" max="20" width="10.1640625" style="112" bestFit="1" customWidth="1"/>
    <col min="21" max="21" width="10.6640625" style="112" customWidth="1"/>
    <col min="22" max="22" width="8.5" style="112" customWidth="1"/>
    <col min="23" max="23" width="14.1640625" style="112" hidden="1" customWidth="1"/>
    <col min="24" max="24" width="3.5" style="112" customWidth="1"/>
    <col min="25" max="25" width="5.83203125" style="112" bestFit="1" customWidth="1"/>
    <col min="26" max="26" width="13.1640625" style="112" bestFit="1" customWidth="1"/>
    <col min="27" max="27" width="8.5" style="112" customWidth="1"/>
    <col min="28" max="28" width="14.1640625" style="112" hidden="1" customWidth="1"/>
    <col min="29" max="29" width="3.5" style="112" customWidth="1"/>
    <col min="30" max="30" width="9.33203125" style="112"/>
    <col min="31" max="31" width="13.33203125" style="112" bestFit="1" customWidth="1"/>
    <col min="32" max="32" width="9.33203125" style="112"/>
    <col min="33" max="33" width="14.1640625" style="112" hidden="1" customWidth="1"/>
    <col min="34" max="16384" width="9.33203125" style="112"/>
  </cols>
  <sheetData>
    <row r="1" spans="2:33" x14ac:dyDescent="0.2">
      <c r="T1" s="185" t="s">
        <v>179</v>
      </c>
    </row>
    <row r="2" spans="2:33" ht="13.15" customHeight="1" x14ac:dyDescent="0.2">
      <c r="B2" s="186" t="s">
        <v>180</v>
      </c>
      <c r="C2" s="186"/>
      <c r="D2" s="185" t="s">
        <v>181</v>
      </c>
      <c r="E2" s="185" t="s">
        <v>255</v>
      </c>
      <c r="G2" s="186" t="s">
        <v>182</v>
      </c>
      <c r="H2" s="186"/>
      <c r="I2" s="185" t="s">
        <v>181</v>
      </c>
      <c r="J2" s="185" t="s">
        <v>255</v>
      </c>
      <c r="L2" s="186" t="s">
        <v>183</v>
      </c>
      <c r="M2" s="186"/>
      <c r="N2" s="185" t="s">
        <v>181</v>
      </c>
      <c r="O2" s="185" t="s">
        <v>255</v>
      </c>
      <c r="Q2" s="186" t="s">
        <v>245</v>
      </c>
      <c r="R2" s="186"/>
      <c r="T2" s="185"/>
      <c r="U2" s="185" t="s">
        <v>184</v>
      </c>
      <c r="V2" s="185" t="s">
        <v>181</v>
      </c>
      <c r="Y2" s="112" t="s">
        <v>185</v>
      </c>
      <c r="Z2" s="113"/>
      <c r="AA2" s="185" t="s">
        <v>181</v>
      </c>
      <c r="AD2" s="112" t="s">
        <v>42</v>
      </c>
      <c r="AE2" s="113"/>
      <c r="AF2" s="185" t="s">
        <v>181</v>
      </c>
    </row>
    <row r="3" spans="2:33" x14ac:dyDescent="0.2">
      <c r="B3" s="113" t="s">
        <v>158</v>
      </c>
      <c r="C3" s="113" t="s">
        <v>64</v>
      </c>
      <c r="D3" s="185"/>
      <c r="E3" s="185"/>
      <c r="G3" s="113" t="s">
        <v>158</v>
      </c>
      <c r="H3" s="113" t="s">
        <v>64</v>
      </c>
      <c r="I3" s="185"/>
      <c r="J3" s="185"/>
      <c r="L3" s="113" t="s">
        <v>158</v>
      </c>
      <c r="M3" s="113" t="s">
        <v>64</v>
      </c>
      <c r="N3" s="185"/>
      <c r="O3" s="185"/>
      <c r="Q3" s="113" t="s">
        <v>158</v>
      </c>
      <c r="R3" s="113" t="s">
        <v>64</v>
      </c>
      <c r="T3" s="113" t="s">
        <v>158</v>
      </c>
      <c r="U3" s="185"/>
      <c r="V3" s="185"/>
      <c r="Y3" s="113" t="s">
        <v>158</v>
      </c>
      <c r="Z3" s="113" t="s">
        <v>186</v>
      </c>
      <c r="AA3" s="185"/>
      <c r="AD3" s="113" t="s">
        <v>158</v>
      </c>
      <c r="AE3" s="113" t="s">
        <v>186</v>
      </c>
      <c r="AF3" s="185"/>
    </row>
    <row r="4" spans="2:33" x14ac:dyDescent="0.2">
      <c r="B4" s="112">
        <v>2009</v>
      </c>
      <c r="C4" s="114">
        <f>SUMIF('Combined Monthly Data'!$B:$B,B4,'Combined Monthly Data'!J:J)/12</f>
        <v>25522</v>
      </c>
      <c r="D4" s="116"/>
      <c r="G4" s="112">
        <v>2009</v>
      </c>
      <c r="H4" s="114">
        <f>SUMIF('Combined Monthly Data'!$B:$B,G4,'Combined Monthly Data'!L:L)/12</f>
        <v>2520</v>
      </c>
      <c r="I4" s="116"/>
      <c r="L4" s="112">
        <v>2009</v>
      </c>
      <c r="M4" s="114">
        <f>SUMIF('Combined Monthly Data'!$B:$B,L4,'Combined Monthly Data'!S:S)/12-1</f>
        <v>244</v>
      </c>
      <c r="N4" s="116"/>
      <c r="Q4" s="112">
        <v>2009</v>
      </c>
      <c r="R4" s="114">
        <v>1</v>
      </c>
      <c r="T4" s="112">
        <v>2009</v>
      </c>
      <c r="U4" s="114">
        <f>SUMIF('Combined Monthly Data'!$B:$B,T4,'Combined Monthly Data'!V:V)/12</f>
        <v>5743</v>
      </c>
      <c r="V4" s="116"/>
      <c r="Y4" s="112">
        <v>2009</v>
      </c>
      <c r="Z4" s="114">
        <f>SUMIF('Combined Monthly Data'!$B:$B,Y4,'Combined Monthly Data'!Y:Y)/12</f>
        <v>1088</v>
      </c>
      <c r="AA4" s="116"/>
      <c r="AD4" s="112">
        <v>2009</v>
      </c>
      <c r="AE4" s="114">
        <f>SUMIF('Combined Monthly Data'!$B:$B,AD4,'Combined Monthly Data'!AA:AA)/12</f>
        <v>39</v>
      </c>
      <c r="AF4" s="116"/>
    </row>
    <row r="5" spans="2:33" x14ac:dyDescent="0.2">
      <c r="B5" s="112">
        <v>2010</v>
      </c>
      <c r="C5" s="114">
        <f>SUMIF('Combined Monthly Data'!$B:$B,B5,'Combined Monthly Data'!J:J)/12</f>
        <v>25529</v>
      </c>
      <c r="D5" s="116">
        <f t="shared" ref="D5:D10" si="0">(C5-C4)/C4</f>
        <v>2.7427317608337906E-4</v>
      </c>
      <c r="E5" s="117">
        <f t="shared" ref="E5:E10" si="1">D5+1</f>
        <v>1.0002742731760834</v>
      </c>
      <c r="F5" s="117"/>
      <c r="G5" s="112">
        <v>2010</v>
      </c>
      <c r="H5" s="114">
        <f>SUMIF('Combined Monthly Data'!$B:$B,G5,'Combined Monthly Data'!L:L)/12</f>
        <v>2501</v>
      </c>
      <c r="I5" s="116">
        <f t="shared" ref="I5:I10" si="2">(H5-H4)/H4</f>
        <v>-7.5396825396825398E-3</v>
      </c>
      <c r="J5" s="117">
        <f t="shared" ref="J5:J10" si="3">I5+1</f>
        <v>0.99246031746031749</v>
      </c>
      <c r="K5" s="117"/>
      <c r="L5" s="112">
        <v>2010</v>
      </c>
      <c r="M5" s="114">
        <f>SUMIF('Combined Monthly Data'!$B:$B,L5,'Combined Monthly Data'!S:S)/12-1</f>
        <v>233</v>
      </c>
      <c r="N5" s="116">
        <f t="shared" ref="N5:N10" si="4">(M5-M4)/M4</f>
        <v>-4.5081967213114756E-2</v>
      </c>
      <c r="O5" s="117">
        <f t="shared" ref="O5:O10" si="5">N5+1</f>
        <v>0.95491803278688525</v>
      </c>
      <c r="Q5" s="112">
        <v>2010</v>
      </c>
      <c r="R5" s="114">
        <v>1</v>
      </c>
      <c r="T5" s="112">
        <v>2010</v>
      </c>
      <c r="U5" s="114">
        <f>SUMIF('Combined Monthly Data'!$B:$B,T5,'Combined Monthly Data'!V:V)/12</f>
        <v>5711</v>
      </c>
      <c r="V5" s="116">
        <f t="shared" ref="V5:V10" si="6">(U5-U4)/U4</f>
        <v>-5.5720006965000873E-3</v>
      </c>
      <c r="W5" s="117">
        <f t="shared" ref="W5:W10" si="7">V5+1</f>
        <v>0.9944279993034999</v>
      </c>
      <c r="X5" s="117"/>
      <c r="Y5" s="112">
        <v>2010</v>
      </c>
      <c r="Z5" s="114">
        <f>SUMIF('Combined Monthly Data'!$B:$B,Y5,'Combined Monthly Data'!Y:Y)/12</f>
        <v>966</v>
      </c>
      <c r="AA5" s="116">
        <f t="shared" ref="AA5:AA10" si="8">(Z5-Z4)/Z4</f>
        <v>-0.11213235294117647</v>
      </c>
      <c r="AB5" s="117">
        <f t="shared" ref="AB5:AB10" si="9">AA5+1</f>
        <v>0.88786764705882348</v>
      </c>
      <c r="AD5" s="112">
        <v>2010</v>
      </c>
      <c r="AE5" s="114">
        <f>SUMIF('Combined Monthly Data'!$B:$B,AD5,'Combined Monthly Data'!AA:AA)/12</f>
        <v>39</v>
      </c>
      <c r="AF5" s="116">
        <f t="shared" ref="AF5:AF10" si="10">(AE5-AE4)/AE4</f>
        <v>0</v>
      </c>
      <c r="AG5" s="117">
        <f t="shared" ref="AG5:AG10" si="11">AF5+1</f>
        <v>1</v>
      </c>
    </row>
    <row r="6" spans="2:33" x14ac:dyDescent="0.2">
      <c r="B6" s="112">
        <v>2011</v>
      </c>
      <c r="C6" s="114">
        <f>SUMIF('Combined Monthly Data'!$B:$B,B6,'Combined Monthly Data'!J:J)/12</f>
        <v>25559.5</v>
      </c>
      <c r="D6" s="116">
        <f t="shared" si="0"/>
        <v>1.1947197305025657E-3</v>
      </c>
      <c r="E6" s="117">
        <f t="shared" si="1"/>
        <v>1.0011947197305027</v>
      </c>
      <c r="F6" s="117"/>
      <c r="G6" s="112">
        <v>2011</v>
      </c>
      <c r="H6" s="114">
        <f>SUMIF('Combined Monthly Data'!$B:$B,G6,'Combined Monthly Data'!L:L)/12</f>
        <v>2506</v>
      </c>
      <c r="I6" s="116">
        <f t="shared" si="2"/>
        <v>1.9992003198720512E-3</v>
      </c>
      <c r="J6" s="117">
        <f t="shared" si="3"/>
        <v>1.0019992003198721</v>
      </c>
      <c r="K6" s="117"/>
      <c r="L6" s="112">
        <v>2011</v>
      </c>
      <c r="M6" s="114">
        <f>SUMIF('Combined Monthly Data'!$B:$B,L6,'Combined Monthly Data'!S:S)/12-1</f>
        <v>225.5</v>
      </c>
      <c r="N6" s="116">
        <f t="shared" si="4"/>
        <v>-3.2188841201716736E-2</v>
      </c>
      <c r="O6" s="117">
        <f t="shared" si="5"/>
        <v>0.96781115879828328</v>
      </c>
      <c r="Q6" s="112">
        <v>2011</v>
      </c>
      <c r="R6" s="114">
        <v>1</v>
      </c>
      <c r="T6" s="112">
        <v>2011</v>
      </c>
      <c r="U6" s="114">
        <f>SUMIF('Combined Monthly Data'!$B:$B,T6,'Combined Monthly Data'!V:V)/12</f>
        <v>5696</v>
      </c>
      <c r="V6" s="116">
        <f t="shared" si="6"/>
        <v>-2.6265102433899491E-3</v>
      </c>
      <c r="W6" s="117">
        <f t="shared" si="7"/>
        <v>0.99737348975661</v>
      </c>
      <c r="X6" s="117"/>
      <c r="Y6" s="112">
        <v>2011</v>
      </c>
      <c r="Z6" s="114">
        <f>SUMIF('Combined Monthly Data'!$B:$B,Y6,'Combined Monthly Data'!Y:Y)/12</f>
        <v>961</v>
      </c>
      <c r="AA6" s="116">
        <f t="shared" si="8"/>
        <v>-5.175983436853002E-3</v>
      </c>
      <c r="AB6" s="117">
        <f t="shared" si="9"/>
        <v>0.99482401656314701</v>
      </c>
      <c r="AD6" s="112">
        <v>2011</v>
      </c>
      <c r="AE6" s="114">
        <f>SUMIF('Combined Monthly Data'!$B:$B,AD6,'Combined Monthly Data'!AA:AA)/12</f>
        <v>38.666666666666664</v>
      </c>
      <c r="AF6" s="116">
        <f t="shared" si="10"/>
        <v>-8.5470085470086086E-3</v>
      </c>
      <c r="AG6" s="117">
        <f t="shared" si="11"/>
        <v>0.99145299145299137</v>
      </c>
    </row>
    <row r="7" spans="2:33" x14ac:dyDescent="0.2">
      <c r="B7" s="118">
        <v>2012</v>
      </c>
      <c r="C7" s="114">
        <f>SUMIF('Combined Monthly Data'!$B:$B,B7,'Combined Monthly Data'!J:J)/12</f>
        <v>25711</v>
      </c>
      <c r="D7" s="116">
        <f t="shared" si="0"/>
        <v>5.9273459965961776E-3</v>
      </c>
      <c r="E7" s="117">
        <f t="shared" si="1"/>
        <v>1.0059273459965963</v>
      </c>
      <c r="F7" s="117"/>
      <c r="G7" s="118">
        <v>2012</v>
      </c>
      <c r="H7" s="114">
        <f>SUMIF('Combined Monthly Data'!$B:$B,G7,'Combined Monthly Data'!L:L)/12</f>
        <v>2530.5</v>
      </c>
      <c r="I7" s="116">
        <f t="shared" si="2"/>
        <v>9.7765363128491621E-3</v>
      </c>
      <c r="J7" s="117">
        <f t="shared" si="3"/>
        <v>1.0097765363128492</v>
      </c>
      <c r="K7" s="117"/>
      <c r="L7" s="118">
        <v>2012</v>
      </c>
      <c r="M7" s="114">
        <f>SUMIF('Combined Monthly Data'!$B:$B,L7,'Combined Monthly Data'!S:S)/12-1</f>
        <v>224.66666666666666</v>
      </c>
      <c r="N7" s="116">
        <f t="shared" si="4"/>
        <v>-3.6954915003695912E-3</v>
      </c>
      <c r="O7" s="117">
        <f t="shared" si="5"/>
        <v>0.99630450849963037</v>
      </c>
      <c r="Q7" s="118">
        <v>2012</v>
      </c>
      <c r="R7" s="114">
        <v>1</v>
      </c>
      <c r="T7" s="118">
        <v>2012</v>
      </c>
      <c r="U7" s="114">
        <f>SUMIF('Combined Monthly Data'!$B:$B,T7,'Combined Monthly Data'!V:V)/12</f>
        <v>5713.083333333333</v>
      </c>
      <c r="V7" s="116">
        <f t="shared" si="6"/>
        <v>2.9991807116104335E-3</v>
      </c>
      <c r="W7" s="117">
        <f t="shared" si="7"/>
        <v>1.0029991807116105</v>
      </c>
      <c r="X7" s="117"/>
      <c r="Y7" s="118">
        <v>2012</v>
      </c>
      <c r="Z7" s="114">
        <f>SUMIF('Combined Monthly Data'!$B:$B,Y7,'Combined Monthly Data'!Y:Y)/12</f>
        <v>870.08333333333337</v>
      </c>
      <c r="AA7" s="116">
        <f t="shared" si="8"/>
        <v>-9.4606312868539683E-2</v>
      </c>
      <c r="AB7" s="117">
        <f t="shared" si="9"/>
        <v>0.90539368713146029</v>
      </c>
      <c r="AD7" s="118">
        <v>2012</v>
      </c>
      <c r="AE7" s="114">
        <f>SUMIF('Combined Monthly Data'!$B:$B,AD7,'Combined Monthly Data'!AA:AA)/12</f>
        <v>38.25</v>
      </c>
      <c r="AF7" s="116">
        <f t="shared" si="10"/>
        <v>-1.0775862068965457E-2</v>
      </c>
      <c r="AG7" s="117">
        <f t="shared" si="11"/>
        <v>0.98922413793103459</v>
      </c>
    </row>
    <row r="8" spans="2:33" x14ac:dyDescent="0.2">
      <c r="B8" s="112">
        <v>2013</v>
      </c>
      <c r="C8" s="114">
        <f>SUMIF('Combined Monthly Data'!$B:$B,B8,'Combined Monthly Data'!J:J)/12</f>
        <v>25797.666666666668</v>
      </c>
      <c r="D8" s="116">
        <f t="shared" si="0"/>
        <v>3.3708010838422418E-3</v>
      </c>
      <c r="E8" s="117">
        <f t="shared" si="1"/>
        <v>1.0033708010838422</v>
      </c>
      <c r="F8" s="117"/>
      <c r="G8" s="112">
        <v>2013</v>
      </c>
      <c r="H8" s="114">
        <f>SUMIF('Combined Monthly Data'!$B:$B,G8,'Combined Monthly Data'!L:L)/12</f>
        <v>2524.5833333333335</v>
      </c>
      <c r="I8" s="116">
        <f t="shared" si="2"/>
        <v>-2.33814134229066E-3</v>
      </c>
      <c r="J8" s="117">
        <f t="shared" si="3"/>
        <v>0.99766185865770929</v>
      </c>
      <c r="K8" s="117"/>
      <c r="L8" s="112">
        <v>2013</v>
      </c>
      <c r="M8" s="114">
        <f>SUMIF('Combined Monthly Data'!$B:$B,L8,'Combined Monthly Data'!S:S)/12-1</f>
        <v>225.08333333333334</v>
      </c>
      <c r="N8" s="116">
        <f t="shared" si="4"/>
        <v>1.8545994065282743E-3</v>
      </c>
      <c r="O8" s="117">
        <f t="shared" si="5"/>
        <v>1.0018545994065282</v>
      </c>
      <c r="Q8" s="112">
        <v>2013</v>
      </c>
      <c r="R8" s="114">
        <v>1</v>
      </c>
      <c r="T8" s="112">
        <v>2013</v>
      </c>
      <c r="U8" s="114">
        <f>SUMIF('Combined Monthly Data'!$B:$B,T8,'Combined Monthly Data'!V:V)/12</f>
        <v>5723.25</v>
      </c>
      <c r="V8" s="116">
        <f t="shared" si="6"/>
        <v>1.7795411117756559E-3</v>
      </c>
      <c r="W8" s="117">
        <f t="shared" si="7"/>
        <v>1.0017795411117756</v>
      </c>
      <c r="X8" s="117"/>
      <c r="Y8" s="112">
        <v>2013</v>
      </c>
      <c r="Z8" s="114">
        <f>SUMIF('Combined Monthly Data'!$B:$B,Y8,'Combined Monthly Data'!Y:Y)/12</f>
        <v>768.33333333333337</v>
      </c>
      <c r="AA8" s="116">
        <f t="shared" si="8"/>
        <v>-0.11694282156881525</v>
      </c>
      <c r="AB8" s="117">
        <f t="shared" si="9"/>
        <v>0.8830571784311847</v>
      </c>
      <c r="AD8" s="112">
        <v>2013</v>
      </c>
      <c r="AE8" s="114">
        <f>SUMIF('Combined Monthly Data'!$B:$B,AD8,'Combined Monthly Data'!AA:AA)/12</f>
        <v>40.083333333333336</v>
      </c>
      <c r="AF8" s="116">
        <f t="shared" si="10"/>
        <v>4.7930283224400932E-2</v>
      </c>
      <c r="AG8" s="117">
        <f t="shared" si="11"/>
        <v>1.0479302832244008</v>
      </c>
    </row>
    <row r="9" spans="2:33" s="119" customFormat="1" x14ac:dyDescent="0.2">
      <c r="B9" s="112">
        <v>2014</v>
      </c>
      <c r="C9" s="114">
        <f>SUMIF('Combined Monthly Data'!$B:$B,B9,'Combined Monthly Data'!J:J)/12</f>
        <v>25861.166666666668</v>
      </c>
      <c r="D9" s="116">
        <f t="shared" si="0"/>
        <v>2.4614629230033723E-3</v>
      </c>
      <c r="E9" s="117">
        <f t="shared" si="1"/>
        <v>1.0024614629230033</v>
      </c>
      <c r="G9" s="112">
        <v>2014</v>
      </c>
      <c r="H9" s="114">
        <f>SUMIF('Combined Monthly Data'!$B:$B,G9,'Combined Monthly Data'!L:L)/12</f>
        <v>2512.5</v>
      </c>
      <c r="I9" s="116">
        <f t="shared" si="2"/>
        <v>-4.7862683611157551E-3</v>
      </c>
      <c r="J9" s="117">
        <f t="shared" si="3"/>
        <v>0.99521373163888427</v>
      </c>
      <c r="K9" s="117"/>
      <c r="L9" s="112">
        <v>2014</v>
      </c>
      <c r="M9" s="114">
        <f>SUMIF('Combined Monthly Data'!$B:$B,L9,'Combined Monthly Data'!S:S)/12-1</f>
        <v>225.16666666666666</v>
      </c>
      <c r="N9" s="116">
        <f t="shared" si="4"/>
        <v>3.7023324694549154E-4</v>
      </c>
      <c r="O9" s="117">
        <f t="shared" si="5"/>
        <v>1.0003702332469455</v>
      </c>
      <c r="Q9" s="112">
        <v>2014</v>
      </c>
      <c r="R9" s="114">
        <v>1</v>
      </c>
      <c r="T9" s="112">
        <v>2014</v>
      </c>
      <c r="U9" s="114">
        <f>SUMIF('Combined Monthly Data'!$B:$B,T9,'Combined Monthly Data'!V:V)/12</f>
        <v>5716.583333333333</v>
      </c>
      <c r="V9" s="116">
        <f t="shared" si="6"/>
        <v>-1.1648393249756642E-3</v>
      </c>
      <c r="W9" s="117">
        <f t="shared" si="7"/>
        <v>0.99883516067502431</v>
      </c>
      <c r="Y9" s="112">
        <v>2014</v>
      </c>
      <c r="Z9" s="114">
        <f>SUMIF('Combined Monthly Data'!$B:$B,Y9,'Combined Monthly Data'!Y:Y)/12</f>
        <v>775.33333333333337</v>
      </c>
      <c r="AA9" s="116">
        <f t="shared" si="8"/>
        <v>9.1106290672451195E-3</v>
      </c>
      <c r="AB9" s="117">
        <f t="shared" si="9"/>
        <v>1.0091106290672451</v>
      </c>
      <c r="AD9" s="112">
        <v>2014</v>
      </c>
      <c r="AE9" s="114">
        <f>SUMIF('Combined Monthly Data'!$B:$B,AD9,'Combined Monthly Data'!AA:AA)/12</f>
        <v>39.75</v>
      </c>
      <c r="AF9" s="116">
        <f t="shared" si="10"/>
        <v>-8.3160083160083755E-3</v>
      </c>
      <c r="AG9" s="117">
        <f t="shared" si="11"/>
        <v>0.99168399168399157</v>
      </c>
    </row>
    <row r="10" spans="2:33" s="119" customFormat="1" x14ac:dyDescent="0.2">
      <c r="B10" s="112">
        <v>2015</v>
      </c>
      <c r="C10" s="114">
        <f>SUMIF('Combined Monthly Data'!$B:$B,B10,'Combined Monthly Data'!J:J)/12</f>
        <v>25917.083333333332</v>
      </c>
      <c r="D10" s="116">
        <f t="shared" si="0"/>
        <v>2.1621865473972265E-3</v>
      </c>
      <c r="E10" s="117">
        <f t="shared" si="1"/>
        <v>1.0021621865473973</v>
      </c>
      <c r="G10" s="112">
        <v>2015</v>
      </c>
      <c r="H10" s="114">
        <f>SUMIF('Combined Monthly Data'!$B:$B,G10,'Combined Monthly Data'!L:L)/12</f>
        <v>2492.25</v>
      </c>
      <c r="I10" s="116">
        <f t="shared" si="2"/>
        <v>-8.0597014925373137E-3</v>
      </c>
      <c r="J10" s="117">
        <f t="shared" si="3"/>
        <v>0.99194029850746268</v>
      </c>
      <c r="L10" s="112">
        <v>2015</v>
      </c>
      <c r="M10" s="114">
        <f>SUMIF('Combined Monthly Data'!$B:$B,L10,'Combined Monthly Data'!S:S)/12-1</f>
        <v>219.66666666666666</v>
      </c>
      <c r="N10" s="116">
        <f t="shared" si="4"/>
        <v>-2.4426350851221319E-2</v>
      </c>
      <c r="O10" s="117">
        <f t="shared" si="5"/>
        <v>0.97557364914877864</v>
      </c>
      <c r="Q10" s="112">
        <v>2015</v>
      </c>
      <c r="R10" s="114">
        <v>1</v>
      </c>
      <c r="T10" s="112">
        <v>2015</v>
      </c>
      <c r="U10" s="114">
        <f>SUMIF('Combined Monthly Data'!$B:$B,T10,'Combined Monthly Data'!V:V)/12</f>
        <v>5712.583333333333</v>
      </c>
      <c r="V10" s="116">
        <f t="shared" si="6"/>
        <v>-6.9971865479088622E-4</v>
      </c>
      <c r="W10" s="117">
        <f t="shared" si="7"/>
        <v>0.9993002813452091</v>
      </c>
      <c r="Y10" s="112">
        <v>2015</v>
      </c>
      <c r="Z10" s="114">
        <f>SUMIF('Combined Monthly Data'!$B:$B,Y10,'Combined Monthly Data'!Y:Y)/12</f>
        <v>763.41666666666663</v>
      </c>
      <c r="AA10" s="116">
        <f t="shared" si="8"/>
        <v>-1.5369733447979461E-2</v>
      </c>
      <c r="AB10" s="117">
        <f t="shared" si="9"/>
        <v>0.98463026655202057</v>
      </c>
      <c r="AD10" s="112">
        <v>2015</v>
      </c>
      <c r="AE10" s="114">
        <f>SUMIF('Combined Monthly Data'!$B:$B,AD10,'Combined Monthly Data'!AA:AA)/12</f>
        <v>36.25</v>
      </c>
      <c r="AF10" s="116">
        <f t="shared" si="10"/>
        <v>-8.8050314465408799E-2</v>
      </c>
      <c r="AG10" s="117">
        <f t="shared" si="11"/>
        <v>0.91194968553459121</v>
      </c>
    </row>
    <row r="11" spans="2:33" s="119" customFormat="1" x14ac:dyDescent="0.2">
      <c r="B11" s="119">
        <v>2016</v>
      </c>
      <c r="C11" s="120">
        <f t="shared" ref="C11:C12" si="12">C10*(1+D11)</f>
        <v>25995.405091217843</v>
      </c>
      <c r="D11" s="122">
        <f>E11-1</f>
        <v>3.0220128120581613E-3</v>
      </c>
      <c r="E11" s="158">
        <f>GEOMEAN(E6:E10)</f>
        <v>1.0030220128120582</v>
      </c>
      <c r="G11" s="119">
        <v>2016</v>
      </c>
      <c r="H11" s="120">
        <f t="shared" ref="H11:H12" si="13">H10*(1+I11)</f>
        <v>2490.503676963252</v>
      </c>
      <c r="I11" s="122">
        <f>J11-1</f>
        <v>-7.0070138900513168E-4</v>
      </c>
      <c r="J11" s="158">
        <f>GEOMEAN(J6:J10)</f>
        <v>0.99929929861099487</v>
      </c>
      <c r="L11" s="119">
        <v>2016</v>
      </c>
      <c r="M11" s="120">
        <f t="shared" ref="M11:M12" si="14">M10*(1+N11)</f>
        <v>218.23206557121696</v>
      </c>
      <c r="N11" s="122">
        <f>O11-1</f>
        <v>-6.5308092357345693E-3</v>
      </c>
      <c r="O11" s="158">
        <f>GEOMEAN(O7:O10)</f>
        <v>0.99346919076426543</v>
      </c>
      <c r="Q11" s="119">
        <v>2016</v>
      </c>
      <c r="R11" s="120">
        <v>1</v>
      </c>
      <c r="T11" s="119">
        <v>2016</v>
      </c>
      <c r="U11" s="120">
        <f t="shared" ref="U11:U12" si="15">U10*(1+V11)</f>
        <v>5712.9000526722275</v>
      </c>
      <c r="V11" s="122">
        <f>W11-1</f>
        <v>5.5442401521998974E-5</v>
      </c>
      <c r="W11" s="119">
        <f>GEOMEAN(W6:W10)</f>
        <v>1.000055442401522</v>
      </c>
      <c r="Y11" s="119">
        <v>2016</v>
      </c>
      <c r="Z11" s="120">
        <f t="shared" ref="Z11:Z12" si="16">Z10*(1+AA11)</f>
        <v>728.31380040070019</v>
      </c>
      <c r="AA11" s="122">
        <f>AB11-1</f>
        <v>-4.5981267895600642E-2</v>
      </c>
      <c r="AB11" s="119">
        <f>GEOMEAN(AB6:AB10)</f>
        <v>0.95401873210439936</v>
      </c>
      <c r="AD11" s="119">
        <v>2016</v>
      </c>
      <c r="AE11" s="120">
        <f t="shared" ref="AE11:AE12" si="17">AE10*(1+AF11)</f>
        <v>35.72372122932709</v>
      </c>
      <c r="AF11" s="122">
        <f>AG11-1</f>
        <v>-1.4518035053045719E-2</v>
      </c>
      <c r="AG11" s="119">
        <f>GEOMEAN(AG6:AG10)</f>
        <v>0.98548196494695428</v>
      </c>
    </row>
    <row r="12" spans="2:33" x14ac:dyDescent="0.2">
      <c r="B12" s="119">
        <v>2017</v>
      </c>
      <c r="C12" s="120">
        <f t="shared" si="12"/>
        <v>26073.963538458145</v>
      </c>
      <c r="D12" s="122">
        <f t="shared" ref="D12" si="18">D11</f>
        <v>3.0220128120581613E-3</v>
      </c>
      <c r="E12" s="119"/>
      <c r="F12" s="119"/>
      <c r="G12" s="119">
        <v>2017</v>
      </c>
      <c r="H12" s="120">
        <f t="shared" si="13"/>
        <v>2488.7585775774814</v>
      </c>
      <c r="I12" s="122">
        <f t="shared" ref="I12" si="19">I11</f>
        <v>-7.0070138900513168E-4</v>
      </c>
      <c r="J12" s="119"/>
      <c r="K12" s="119"/>
      <c r="L12" s="119">
        <v>2017</v>
      </c>
      <c r="M12" s="120">
        <f t="shared" si="14"/>
        <v>216.80683358185104</v>
      </c>
      <c r="N12" s="122">
        <f t="shared" ref="N12" si="20">N11</f>
        <v>-6.5308092357345693E-3</v>
      </c>
      <c r="O12" s="119"/>
      <c r="P12" s="119"/>
      <c r="Q12" s="119">
        <v>2017</v>
      </c>
      <c r="R12" s="120">
        <v>1</v>
      </c>
      <c r="S12" s="119"/>
      <c r="T12" s="119">
        <v>2017</v>
      </c>
      <c r="U12" s="120">
        <f t="shared" si="15"/>
        <v>5713.2167895708026</v>
      </c>
      <c r="V12" s="122">
        <f t="shared" ref="V12" si="21">V11</f>
        <v>5.5442401521998974E-5</v>
      </c>
      <c r="W12" s="119"/>
      <c r="X12" s="119"/>
      <c r="Y12" s="119">
        <v>2017</v>
      </c>
      <c r="Z12" s="120">
        <f t="shared" si="16"/>
        <v>694.82500843241257</v>
      </c>
      <c r="AA12" s="122">
        <f t="shared" ref="AA12" si="22">AA11</f>
        <v>-4.5981267895600642E-2</v>
      </c>
      <c r="AB12" s="119"/>
      <c r="AC12" s="119"/>
      <c r="AD12" s="119">
        <v>2017</v>
      </c>
      <c r="AE12" s="120">
        <f t="shared" si="17"/>
        <v>35.205082992294486</v>
      </c>
      <c r="AF12" s="122">
        <f t="shared" ref="AF12" si="23">AF11</f>
        <v>-1.4518035053045719E-2</v>
      </c>
    </row>
    <row r="13" spans="2:33" x14ac:dyDescent="0.2">
      <c r="L13" s="112" t="s">
        <v>249</v>
      </c>
    </row>
  </sheetData>
  <mergeCells count="15">
    <mergeCell ref="Q2:R2"/>
    <mergeCell ref="U2:U3"/>
    <mergeCell ref="V2:V3"/>
    <mergeCell ref="AA2:AA3"/>
    <mergeCell ref="AF2:AF3"/>
    <mergeCell ref="T1:T2"/>
    <mergeCell ref="O2:O3"/>
    <mergeCell ref="N2:N3"/>
    <mergeCell ref="B2:C2"/>
    <mergeCell ref="D2:D3"/>
    <mergeCell ref="G2:H2"/>
    <mergeCell ref="I2:I3"/>
    <mergeCell ref="L2:M2"/>
    <mergeCell ref="E2:E3"/>
    <mergeCell ref="J2:J3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workbookViewId="0">
      <selection activeCell="O20" sqref="O20"/>
    </sheetView>
  </sheetViews>
  <sheetFormatPr defaultColWidth="9.33203125" defaultRowHeight="12.75" x14ac:dyDescent="0.2"/>
  <cols>
    <col min="1" max="1" width="14.33203125" style="112" bestFit="1" customWidth="1"/>
    <col min="2" max="2" width="5" style="112" bestFit="1" customWidth="1"/>
    <col min="3" max="3" width="13.83203125" style="112" bestFit="1" customWidth="1"/>
    <col min="4" max="4" width="7.33203125" style="112" bestFit="1" customWidth="1"/>
    <col min="5" max="5" width="11.1640625" style="112" bestFit="1" customWidth="1"/>
    <col min="6" max="6" width="7.33203125" style="112" bestFit="1" customWidth="1"/>
    <col min="7" max="7" width="3.33203125" style="112" customWidth="1"/>
    <col min="8" max="8" width="5" style="112" bestFit="1" customWidth="1"/>
    <col min="9" max="9" width="11.1640625" style="112" bestFit="1" customWidth="1"/>
    <col min="10" max="10" width="13.83203125" style="112" bestFit="1" customWidth="1"/>
    <col min="11" max="11" width="11.1640625" style="112" bestFit="1" customWidth="1"/>
    <col min="12" max="12" width="7.33203125" style="112" bestFit="1" customWidth="1"/>
    <col min="13" max="13" width="3.33203125" style="112" customWidth="1"/>
    <col min="14" max="14" width="5" style="112" bestFit="1" customWidth="1"/>
    <col min="15" max="15" width="10.1640625" style="112" bestFit="1" customWidth="1"/>
    <col min="16" max="16" width="13.83203125" style="112" bestFit="1" customWidth="1"/>
    <col min="17" max="17" width="10.1640625" style="112" bestFit="1" customWidth="1"/>
    <col min="18" max="18" width="7.33203125" style="112" bestFit="1" customWidth="1"/>
    <col min="19" max="19" width="3.33203125" style="112" customWidth="1"/>
    <col min="20" max="20" width="5" style="112" bestFit="1" customWidth="1"/>
    <col min="21" max="21" width="11.1640625" style="112" bestFit="1" customWidth="1"/>
    <col min="22" max="22" width="13.83203125" style="112" bestFit="1" customWidth="1"/>
    <col min="23" max="23" width="11.1640625" style="112" bestFit="1" customWidth="1"/>
    <col min="24" max="24" width="7.33203125" style="112" bestFit="1" customWidth="1"/>
    <col min="25" max="25" width="3.5" style="112" customWidth="1"/>
    <col min="26" max="26" width="5" style="112" bestFit="1" customWidth="1"/>
    <col min="27" max="27" width="9.6640625" style="112" bestFit="1" customWidth="1"/>
    <col min="28" max="28" width="13.83203125" style="112" bestFit="1" customWidth="1"/>
    <col min="29" max="29" width="10" style="112" bestFit="1" customWidth="1"/>
    <col min="30" max="30" width="7.33203125" style="112" customWidth="1"/>
    <col min="31" max="31" width="3.33203125" style="112" customWidth="1"/>
    <col min="32" max="32" width="5" style="112" bestFit="1" customWidth="1"/>
    <col min="33" max="33" width="10.1640625" style="112" bestFit="1" customWidth="1"/>
    <col min="34" max="34" width="10" style="112" bestFit="1" customWidth="1"/>
    <col min="35" max="35" width="7.33203125" style="112" bestFit="1" customWidth="1"/>
    <col min="36" max="36" width="3.1640625" style="112" customWidth="1"/>
    <col min="37" max="37" width="5" style="112" bestFit="1" customWidth="1"/>
    <col min="38" max="38" width="7.5" style="112" bestFit="1" customWidth="1"/>
    <col min="39" max="39" width="10" style="112" bestFit="1" customWidth="1"/>
    <col min="40" max="40" width="7.33203125" style="112" bestFit="1" customWidth="1"/>
    <col min="41" max="41" width="3.1640625" style="112" customWidth="1"/>
    <col min="42" max="42" width="5" style="112" bestFit="1" customWidth="1"/>
    <col min="43" max="43" width="9.1640625" style="112" bestFit="1" customWidth="1"/>
    <col min="44" max="44" width="10" style="112" bestFit="1" customWidth="1"/>
    <col min="45" max="45" width="7.33203125" style="112" bestFit="1" customWidth="1"/>
    <col min="46" max="16384" width="9.33203125" style="112"/>
  </cols>
  <sheetData>
    <row r="1" spans="1:45" x14ac:dyDescent="0.2">
      <c r="A1" s="112" t="s">
        <v>187</v>
      </c>
    </row>
    <row r="2" spans="1:45" ht="12.75" customHeight="1" x14ac:dyDescent="0.2">
      <c r="C2" s="113" t="s">
        <v>29</v>
      </c>
      <c r="D2" s="185" t="s">
        <v>181</v>
      </c>
      <c r="F2" s="185" t="s">
        <v>181</v>
      </c>
      <c r="I2" s="113" t="s">
        <v>31</v>
      </c>
      <c r="J2" s="113"/>
      <c r="L2" s="185" t="s">
        <v>181</v>
      </c>
      <c r="M2" s="113"/>
      <c r="N2" s="113"/>
      <c r="O2" s="112" t="s">
        <v>182</v>
      </c>
      <c r="P2" s="113"/>
      <c r="R2" s="185" t="s">
        <v>181</v>
      </c>
      <c r="U2" s="112" t="s">
        <v>183</v>
      </c>
      <c r="V2" s="113"/>
      <c r="X2" s="185" t="s">
        <v>181</v>
      </c>
      <c r="Y2" s="159"/>
      <c r="AA2" s="112" t="s">
        <v>248</v>
      </c>
      <c r="AB2" s="113"/>
      <c r="AD2" s="185" t="s">
        <v>181</v>
      </c>
      <c r="AG2" s="112" t="s">
        <v>179</v>
      </c>
      <c r="AI2" s="185" t="s">
        <v>181</v>
      </c>
      <c r="AL2" s="112" t="s">
        <v>185</v>
      </c>
      <c r="AN2" s="185" t="s">
        <v>181</v>
      </c>
      <c r="AQ2" s="112" t="s">
        <v>42</v>
      </c>
      <c r="AS2" s="185" t="s">
        <v>181</v>
      </c>
    </row>
    <row r="3" spans="1:45" ht="13.15" customHeight="1" x14ac:dyDescent="0.2">
      <c r="B3" s="113" t="s">
        <v>158</v>
      </c>
      <c r="C3" s="113" t="s">
        <v>45</v>
      </c>
      <c r="D3" s="185"/>
      <c r="E3" s="113" t="s">
        <v>188</v>
      </c>
      <c r="F3" s="185"/>
      <c r="H3" s="113" t="s">
        <v>158</v>
      </c>
      <c r="I3" s="113" t="s">
        <v>45</v>
      </c>
      <c r="J3" s="113" t="s">
        <v>227</v>
      </c>
      <c r="K3" s="113" t="s">
        <v>188</v>
      </c>
      <c r="L3" s="185"/>
      <c r="M3" s="113"/>
      <c r="N3" s="113" t="s">
        <v>158</v>
      </c>
      <c r="O3" s="113" t="s">
        <v>45</v>
      </c>
      <c r="P3" s="113" t="s">
        <v>227</v>
      </c>
      <c r="Q3" s="113" t="s">
        <v>188</v>
      </c>
      <c r="R3" s="185"/>
      <c r="T3" s="113" t="s">
        <v>158</v>
      </c>
      <c r="U3" s="113" t="s">
        <v>45</v>
      </c>
      <c r="V3" s="113" t="s">
        <v>227</v>
      </c>
      <c r="W3" s="113" t="s">
        <v>188</v>
      </c>
      <c r="X3" s="185"/>
      <c r="Y3" s="159"/>
      <c r="Z3" s="113" t="s">
        <v>158</v>
      </c>
      <c r="AA3" s="113" t="s">
        <v>45</v>
      </c>
      <c r="AB3" s="113" t="s">
        <v>227</v>
      </c>
      <c r="AC3" s="113" t="s">
        <v>188</v>
      </c>
      <c r="AD3" s="185"/>
      <c r="AF3" s="113" t="s">
        <v>158</v>
      </c>
      <c r="AG3" s="113" t="s">
        <v>45</v>
      </c>
      <c r="AH3" s="113" t="s">
        <v>188</v>
      </c>
      <c r="AI3" s="185"/>
      <c r="AK3" s="113" t="s">
        <v>158</v>
      </c>
      <c r="AL3" s="113" t="s">
        <v>45</v>
      </c>
      <c r="AM3" s="113" t="s">
        <v>188</v>
      </c>
      <c r="AN3" s="185"/>
      <c r="AP3" s="113" t="s">
        <v>158</v>
      </c>
      <c r="AQ3" s="113" t="s">
        <v>45</v>
      </c>
      <c r="AR3" s="113" t="s">
        <v>188</v>
      </c>
      <c r="AS3" s="185"/>
    </row>
    <row r="4" spans="1:45" x14ac:dyDescent="0.2">
      <c r="B4" s="112">
        <v>2009</v>
      </c>
      <c r="C4" s="114">
        <f>SUMIF('Wholesale Normalized Monthly'!$B$2:$B$157,B4,'Wholesale Normalized Monthly'!C$2:C$157)</f>
        <v>547655163.99999988</v>
      </c>
      <c r="D4" s="115"/>
      <c r="E4" s="114">
        <f ca="1">SUMIF('Wholesale Normalized Monthly'!$B$2:$B$157,B4,'Wholesale Normalized Monthly'!AE$2:AE$157)</f>
        <v>557721005.67375875</v>
      </c>
      <c r="F4" s="115"/>
      <c r="H4" s="112">
        <f>B4</f>
        <v>2009</v>
      </c>
      <c r="I4" s="114">
        <f>SUMIF('Combined Monthly Data'!$B$2:$B$97,H4,'Combined Monthly Data'!I$2:I$97)</f>
        <v>204220525</v>
      </c>
      <c r="J4" s="107">
        <f>I4/$C4</f>
        <v>0.3728998435957413</v>
      </c>
      <c r="K4" s="114">
        <f ca="1">$E4*J4</f>
        <v>207974075.78580418</v>
      </c>
      <c r="L4" s="114"/>
      <c r="M4" s="114"/>
      <c r="N4" s="112">
        <f>H4</f>
        <v>2009</v>
      </c>
      <c r="O4" s="114">
        <f>SUMIF('Combined Monthly Data'!$B$2:$B$97,N4,'Combined Monthly Data'!K$2:K$97)</f>
        <v>69599095</v>
      </c>
      <c r="P4" s="107">
        <f>O4/$C4</f>
        <v>0.12708561805873891</v>
      </c>
      <c r="Q4" s="114">
        <f ca="1">$E4*P4</f>
        <v>70878318.71039106</v>
      </c>
      <c r="R4" s="114"/>
      <c r="S4" s="114"/>
      <c r="T4" s="112">
        <f>N4</f>
        <v>2009</v>
      </c>
      <c r="U4" s="114">
        <f>SUMIF('Combined Monthly Data'!$B$2:$B$97,T4,'Combined Monthly Data'!O$2:O$97)</f>
        <v>241348799.79074028</v>
      </c>
      <c r="V4" s="107">
        <f>U4/$C4</f>
        <v>0.4406948307178572</v>
      </c>
      <c r="W4" s="114">
        <f ca="1">$E4*V4</f>
        <v>245784764.1831902</v>
      </c>
      <c r="Z4" s="112">
        <f>T4</f>
        <v>2009</v>
      </c>
      <c r="AA4" s="114">
        <f>SUMIF('Combined Monthly Data'!$B$2:$B$97,Z4,'Combined Monthly Data'!N$2:N$97)</f>
        <v>5037472.4400000004</v>
      </c>
      <c r="AB4" s="107">
        <f>AA4/$C4</f>
        <v>9.1982560763363887E-3</v>
      </c>
      <c r="AC4" s="114">
        <f ca="1">$E4*AB4</f>
        <v>5130060.6293390933</v>
      </c>
      <c r="AF4" s="112">
        <f>T4</f>
        <v>2009</v>
      </c>
      <c r="AG4" s="114">
        <f>SUMIF('Combined Monthly Data'!$B$2:$B$97,AF4,'Combined Monthly Data'!T$2:T$97)</f>
        <v>4543568.368878861</v>
      </c>
      <c r="AH4" s="114">
        <f>AG4</f>
        <v>4543568.368878861</v>
      </c>
      <c r="AK4" s="112">
        <f>AF4</f>
        <v>2009</v>
      </c>
      <c r="AL4" s="114">
        <f>SUMIF('Combined Monthly Data'!$B$2:$B$97,AK4,'Combined Monthly Data'!W$2:W$97)</f>
        <v>767004.71365694073</v>
      </c>
      <c r="AM4" s="114">
        <f>AL4</f>
        <v>767004.71365694073</v>
      </c>
      <c r="AP4" s="112">
        <f>AK4</f>
        <v>2009</v>
      </c>
      <c r="AQ4" s="114">
        <f>SUMIF('Combined Monthly Data'!$B$2:$B$97,AP4,'Combined Monthly Data'!Z$2:Z$97)</f>
        <v>1584330.352</v>
      </c>
      <c r="AR4" s="114">
        <f>AQ4</f>
        <v>1584330.352</v>
      </c>
    </row>
    <row r="5" spans="1:45" x14ac:dyDescent="0.2">
      <c r="B5" s="112">
        <v>2010</v>
      </c>
      <c r="C5" s="114">
        <f>SUMIF('Wholesale Normalized Monthly'!$B$2:$B$157,B5,'Wholesale Normalized Monthly'!C$2:C$157)</f>
        <v>562004269.39999998</v>
      </c>
      <c r="D5" s="115">
        <f>(C5-C4)/C4</f>
        <v>2.6200986210366671E-2</v>
      </c>
      <c r="E5" s="114">
        <f ca="1">SUMIF('Wholesale Normalized Monthly'!$B$2:$B$157,B5,'Wholesale Normalized Monthly'!AE$2:AE$157)</f>
        <v>560293527.03088629</v>
      </c>
      <c r="F5" s="115">
        <f ca="1">(E5-E4)/E4</f>
        <v>4.612559561065474E-3</v>
      </c>
      <c r="H5" s="112">
        <f>B5</f>
        <v>2010</v>
      </c>
      <c r="I5" s="114">
        <f>SUMIF('Combined Monthly Data'!$B$2:$B$97,H5,'Combined Monthly Data'!I$2:I$97)</f>
        <v>206940793</v>
      </c>
      <c r="J5" s="107">
        <f>I5/$C5</f>
        <v>0.36821925431444064</v>
      </c>
      <c r="K5" s="114">
        <f ca="1">$E5*J5</f>
        <v>206310864.72052082</v>
      </c>
      <c r="L5" s="115">
        <f ca="1">(K5-K4)/K4</f>
        <v>-7.997203781284384E-3</v>
      </c>
      <c r="M5" s="114"/>
      <c r="N5" s="112">
        <f>H5</f>
        <v>2010</v>
      </c>
      <c r="O5" s="114">
        <f>SUMIF('Combined Monthly Data'!$B$2:$B$97,N5,'Combined Monthly Data'!K$2:K$97)</f>
        <v>69974111.070000008</v>
      </c>
      <c r="P5" s="107">
        <f>O5/$C5</f>
        <v>0.12450814856745644</v>
      </c>
      <c r="Q5" s="114">
        <f ca="1">$E5*P5</f>
        <v>69761109.704945758</v>
      </c>
      <c r="R5" s="115">
        <f ca="1">(Q5-Q4)/Q4</f>
        <v>-1.5762351954343324E-2</v>
      </c>
      <c r="S5" s="114"/>
      <c r="T5" s="112">
        <f>N5</f>
        <v>2010</v>
      </c>
      <c r="U5" s="114">
        <f>SUMIF('Combined Monthly Data'!$B$2:$B$97,T5,'Combined Monthly Data'!O$2:O$97)</f>
        <v>244269810.3738147</v>
      </c>
      <c r="V5" s="107">
        <f>U5/$C5</f>
        <v>0.43464048882510981</v>
      </c>
      <c r="W5" s="114">
        <f ca="1">$E5*V5</f>
        <v>243526252.4742493</v>
      </c>
      <c r="X5" s="115">
        <f ca="1">(W5-W4)/W4</f>
        <v>-9.1889817354893575E-3</v>
      </c>
      <c r="Y5" s="115"/>
      <c r="Z5" s="112">
        <f>T5</f>
        <v>2010</v>
      </c>
      <c r="AA5" s="114">
        <f>SUMIF('Combined Monthly Data'!$B$2:$B$97,Z5,'Combined Monthly Data'!N$2:N$97)</f>
        <v>5131021.1399999997</v>
      </c>
      <c r="AB5" s="107">
        <f>AA5/$C5</f>
        <v>9.1298614963867038E-3</v>
      </c>
      <c r="AC5" s="114">
        <f ca="1">$E5*AB5</f>
        <v>5115402.2991139917</v>
      </c>
      <c r="AD5" s="115">
        <f ca="1">(AC5-AC4)/AC4</f>
        <v>-2.8573405431643229E-3</v>
      </c>
      <c r="AF5" s="112">
        <f>T5</f>
        <v>2010</v>
      </c>
      <c r="AG5" s="114">
        <f>SUMIF('Combined Monthly Data'!$B$2:$B$97,AF5,'Combined Monthly Data'!T$2:T$97)</f>
        <v>3872998.1624522032</v>
      </c>
      <c r="AH5" s="114">
        <f t="shared" ref="AH5:AH10" si="0">AG5</f>
        <v>3872998.1624522032</v>
      </c>
      <c r="AI5" s="115">
        <f>(AH5-AH4)/AH4</f>
        <v>-0.14758668781562165</v>
      </c>
      <c r="AK5" s="112">
        <f t="shared" ref="AK5:AK12" si="1">AF5</f>
        <v>2010</v>
      </c>
      <c r="AL5" s="114">
        <f>SUMIF('Combined Monthly Data'!$B$2:$B$97,AK5,'Combined Monthly Data'!W$2:W$97)</f>
        <v>789879.34341817885</v>
      </c>
      <c r="AM5" s="114">
        <f t="shared" ref="AM5:AM10" si="2">AL5</f>
        <v>789879.34341817885</v>
      </c>
      <c r="AN5" s="115">
        <f>(AM5-AM4)/AM4</f>
        <v>2.9823323577994703E-2</v>
      </c>
      <c r="AP5" s="112">
        <f t="shared" ref="AP5:AP12" si="3">AK5</f>
        <v>2010</v>
      </c>
      <c r="AQ5" s="114">
        <f>SUMIF('Combined Monthly Data'!$B$2:$B$97,AP5,'Combined Monthly Data'!Z$2:Z$97)</f>
        <v>1524247.52</v>
      </c>
      <c r="AR5" s="114">
        <f t="shared" ref="AR5:AR10" si="4">AQ5</f>
        <v>1524247.52</v>
      </c>
      <c r="AS5" s="115">
        <f>(AR5-AR4)/AR4</f>
        <v>-3.7923171719934291E-2</v>
      </c>
    </row>
    <row r="6" spans="1:45" x14ac:dyDescent="0.2">
      <c r="B6" s="112">
        <v>2011</v>
      </c>
      <c r="C6" s="114">
        <f>SUMIF('Wholesale Normalized Monthly'!$B$2:$B$157,B6,'Wholesale Normalized Monthly'!C$2:C$157)</f>
        <v>567403427.05999994</v>
      </c>
      <c r="D6" s="115">
        <f t="shared" ref="D6:F12" si="5">(C6-C5)/C5</f>
        <v>9.6069691174484276E-3</v>
      </c>
      <c r="E6" s="114">
        <f ca="1">SUMIF('Wholesale Normalized Monthly'!$B$2:$B$157,B6,'Wholesale Normalized Monthly'!AE$2:AE$157)</f>
        <v>568523216.168015</v>
      </c>
      <c r="F6" s="115">
        <f t="shared" ca="1" si="5"/>
        <v>1.4688174572959232E-2</v>
      </c>
      <c r="H6" s="112">
        <f t="shared" ref="H6:H12" si="6">B6</f>
        <v>2011</v>
      </c>
      <c r="I6" s="114">
        <f>SUMIF('Combined Monthly Data'!$B$2:$B$97,H6,'Combined Monthly Data'!I$2:I$97)</f>
        <v>206782727.40000001</v>
      </c>
      <c r="J6" s="107">
        <f t="shared" ref="J6:J10" si="7">I6/$C6</f>
        <v>0.3644368672065384</v>
      </c>
      <c r="K6" s="114">
        <f t="shared" ref="K6:K12" ca="1" si="8">$E6*J6</f>
        <v>207190819.83445701</v>
      </c>
      <c r="L6" s="115">
        <f t="shared" ref="L6:L12" ca="1" si="9">(K6-K5)/K5</f>
        <v>4.2651903724421772E-3</v>
      </c>
      <c r="M6" s="114"/>
      <c r="N6" s="112">
        <f t="shared" ref="N6:N12" si="10">H6</f>
        <v>2011</v>
      </c>
      <c r="O6" s="114">
        <f>SUMIF('Combined Monthly Data'!$B$2:$B$97,N6,'Combined Monthly Data'!K$2:K$97)</f>
        <v>70933036.230000004</v>
      </c>
      <c r="P6" s="107">
        <f t="shared" ref="P6:P10" si="11">O6/$C6</f>
        <v>0.12501340818038309</v>
      </c>
      <c r="Q6" s="114">
        <f t="shared" ref="Q6:Q12" ca="1" si="12">$E6*P6</f>
        <v>71073024.882836238</v>
      </c>
      <c r="R6" s="115">
        <f t="shared" ref="R6:R12" ca="1" si="13">(Q6-Q5)/Q5</f>
        <v>1.8805824383230398E-2</v>
      </c>
      <c r="S6" s="114"/>
      <c r="T6" s="112">
        <f t="shared" ref="T6:T12" si="14">N6</f>
        <v>2011</v>
      </c>
      <c r="U6" s="114">
        <f>SUMIF('Combined Monthly Data'!$B$2:$B$97,T6,'Combined Monthly Data'!O$2:O$97)</f>
        <v>234668425.18486074</v>
      </c>
      <c r="V6" s="107">
        <f t="shared" ref="V6:V10" si="15">U6/$C6</f>
        <v>0.41358302398840779</v>
      </c>
      <c r="W6" s="114">
        <f t="shared" ref="W6:W12" ca="1" si="16">$E6*V6</f>
        <v>235131550.95038289</v>
      </c>
      <c r="X6" s="115">
        <f t="shared" ref="X6:X12" ca="1" si="17">(W6-W5)/W5</f>
        <v>-3.4471443791276993E-2</v>
      </c>
      <c r="Y6" s="115"/>
      <c r="Z6" s="112">
        <f t="shared" ref="Z6:Z12" si="18">T6</f>
        <v>2011</v>
      </c>
      <c r="AA6" s="114">
        <f>SUMIF('Combined Monthly Data'!$B$2:$B$97,Z6,'Combined Monthly Data'!N$2:N$97)</f>
        <v>5010546.66</v>
      </c>
      <c r="AB6" s="107">
        <f t="shared" ref="AB6:AB10" si="19">AA6/$C6</f>
        <v>8.8306598463145352E-3</v>
      </c>
      <c r="AC6" s="114">
        <f t="shared" ref="AC6:AC12" ca="1" si="20">$E6*AB6</f>
        <v>5020435.1367124887</v>
      </c>
      <c r="AD6" s="115">
        <f t="shared" ref="AD6:AD12" ca="1" si="21">(AC6-AC5)/AC5</f>
        <v>-1.8564945012819745E-2</v>
      </c>
      <c r="AF6" s="112">
        <f t="shared" ref="AF6:AF12" si="22">T6</f>
        <v>2011</v>
      </c>
      <c r="AG6" s="114">
        <f>SUMIF('Combined Monthly Data'!$B$2:$B$97,AF6,'Combined Monthly Data'!T$2:T$97)</f>
        <v>4475402.6495600026</v>
      </c>
      <c r="AH6" s="114">
        <f t="shared" si="0"/>
        <v>4475402.6495600026</v>
      </c>
      <c r="AI6" s="115">
        <f t="shared" ref="AI6:AI12" si="23">(AH6-AH5)/AH5</f>
        <v>0.15553957472739535</v>
      </c>
      <c r="AK6" s="112">
        <f t="shared" si="1"/>
        <v>2011</v>
      </c>
      <c r="AL6" s="114">
        <f>SUMIF('Combined Monthly Data'!$B$2:$B$97,AK6,'Combined Monthly Data'!W$2:W$97)</f>
        <v>761034.83022289607</v>
      </c>
      <c r="AM6" s="114">
        <f t="shared" si="2"/>
        <v>761034.83022289607</v>
      </c>
      <c r="AN6" s="115">
        <f t="shared" ref="AN6:AN12" si="24">(AM6-AM5)/AM5</f>
        <v>-3.6517619349885802E-2</v>
      </c>
      <c r="AP6" s="112">
        <f t="shared" si="3"/>
        <v>2011</v>
      </c>
      <c r="AQ6" s="114">
        <f>SUMIF('Combined Monthly Data'!$B$2:$B$97,AP6,'Combined Monthly Data'!Z$2:Z$97)</f>
        <v>1527928.1810000003</v>
      </c>
      <c r="AR6" s="114">
        <f t="shared" si="4"/>
        <v>1527928.1810000003</v>
      </c>
      <c r="AS6" s="115">
        <f t="shared" ref="AS6:AS12" si="25">(AR6-AR5)/AR5</f>
        <v>2.4147397005443794E-3</v>
      </c>
    </row>
    <row r="7" spans="1:45" x14ac:dyDescent="0.2">
      <c r="B7" s="118">
        <v>2012</v>
      </c>
      <c r="C7" s="114">
        <f>SUMIF('Wholesale Normalized Monthly'!$B$2:$B$157,B7,'Wholesale Normalized Monthly'!C$2:C$157)</f>
        <v>563484611.22000003</v>
      </c>
      <c r="D7" s="115">
        <f t="shared" si="5"/>
        <v>-6.9065776713849846E-3</v>
      </c>
      <c r="E7" s="114">
        <f ca="1">SUMIF('Wholesale Normalized Monthly'!$B$2:$B$157,B7,'Wholesale Normalized Monthly'!AE$2:AE$157)</f>
        <v>565718094.23848128</v>
      </c>
      <c r="F7" s="115">
        <f t="shared" ca="1" si="5"/>
        <v>-4.93404992049564E-3</v>
      </c>
      <c r="H7" s="112">
        <f t="shared" si="6"/>
        <v>2012</v>
      </c>
      <c r="I7" s="114">
        <f>SUMIF('Combined Monthly Data'!$B$2:$B$97,H7,'Combined Monthly Data'!I$2:I$97)</f>
        <v>202637712</v>
      </c>
      <c r="J7" s="107">
        <f t="shared" si="7"/>
        <v>0.35961534346300827</v>
      </c>
      <c r="K7" s="114">
        <f t="shared" ca="1" si="8"/>
        <v>203440906.76280993</v>
      </c>
      <c r="L7" s="115">
        <f t="shared" ca="1" si="9"/>
        <v>-1.8098837943897387E-2</v>
      </c>
      <c r="M7" s="114"/>
      <c r="N7" s="112">
        <f t="shared" si="10"/>
        <v>2012</v>
      </c>
      <c r="O7" s="114">
        <f>SUMIF('Combined Monthly Data'!$B$2:$B$97,N7,'Combined Monthly Data'!K$2:K$97)</f>
        <v>70882241.200000003</v>
      </c>
      <c r="P7" s="107">
        <f t="shared" si="11"/>
        <v>0.12579268322258691</v>
      </c>
      <c r="Q7" s="114">
        <f t="shared" ca="1" si="12"/>
        <v>71163197.021826848</v>
      </c>
      <c r="R7" s="115">
        <f t="shared" ca="1" si="13"/>
        <v>1.2687252180311652E-3</v>
      </c>
      <c r="S7" s="114"/>
      <c r="T7" s="112">
        <f t="shared" si="14"/>
        <v>2012</v>
      </c>
      <c r="U7" s="114">
        <f>SUMIF('Combined Monthly Data'!$B$2:$B$97,T7,'Combined Monthly Data'!O$2:O$97)</f>
        <v>252249791.57937253</v>
      </c>
      <c r="V7" s="107">
        <f t="shared" si="15"/>
        <v>0.44766048008520892</v>
      </c>
      <c r="W7" s="114">
        <f t="shared" ca="1" si="16"/>
        <v>253249633.659688</v>
      </c>
      <c r="X7" s="115">
        <f t="shared" ca="1" si="17"/>
        <v>7.7055089527854809E-2</v>
      </c>
      <c r="Y7" s="115"/>
      <c r="Z7" s="112">
        <f t="shared" si="18"/>
        <v>2012</v>
      </c>
      <c r="AA7" s="114">
        <f>SUMIF('Combined Monthly Data'!$B$2:$B$97,Z7,'Combined Monthly Data'!N$2:N$97)</f>
        <v>5264498.6195</v>
      </c>
      <c r="AB7" s="107">
        <f t="shared" si="19"/>
        <v>9.3427549123335212E-3</v>
      </c>
      <c r="AC7" s="114">
        <f t="shared" ca="1" si="20"/>
        <v>5285365.5039425287</v>
      </c>
      <c r="AD7" s="115">
        <f t="shared" ca="1" si="21"/>
        <v>5.2770399380863885E-2</v>
      </c>
      <c r="AF7" s="112">
        <f t="shared" si="22"/>
        <v>2012</v>
      </c>
      <c r="AG7" s="114">
        <f>SUMIF('Combined Monthly Data'!$B$2:$B$97,AF7,'Combined Monthly Data'!T$2:T$97)</f>
        <v>4830569.4605373191</v>
      </c>
      <c r="AH7" s="114">
        <f t="shared" si="0"/>
        <v>4830569.4605373191</v>
      </c>
      <c r="AI7" s="115">
        <f t="shared" si="23"/>
        <v>7.9359744538792396E-2</v>
      </c>
      <c r="AK7" s="112">
        <f t="shared" si="1"/>
        <v>2012</v>
      </c>
      <c r="AL7" s="114">
        <f>SUMIF('Combined Monthly Data'!$B$2:$B$97,AK7,'Combined Monthly Data'!W$2:W$97)</f>
        <v>713312.26771618892</v>
      </c>
      <c r="AM7" s="114">
        <f t="shared" si="2"/>
        <v>713312.26771618892</v>
      </c>
      <c r="AN7" s="115">
        <f t="shared" si="24"/>
        <v>-6.2707461750114518E-2</v>
      </c>
      <c r="AP7" s="112">
        <f t="shared" si="3"/>
        <v>2012</v>
      </c>
      <c r="AQ7" s="114">
        <f>SUMIF('Combined Monthly Data'!$B$2:$B$97,AP7,'Combined Monthly Data'!Z$2:Z$97)</f>
        <v>1530173.0279999999</v>
      </c>
      <c r="AR7" s="114">
        <f t="shared" si="4"/>
        <v>1530173.0279999999</v>
      </c>
      <c r="AS7" s="115">
        <f t="shared" si="25"/>
        <v>1.4692097625494355E-3</v>
      </c>
    </row>
    <row r="8" spans="1:45" x14ac:dyDescent="0.2">
      <c r="B8" s="112">
        <v>2013</v>
      </c>
      <c r="C8" s="114">
        <f>SUMIF('Wholesale Normalized Monthly'!$B$2:$B$157,B8,'Wholesale Normalized Monthly'!C$2:C$157)</f>
        <v>533215540</v>
      </c>
      <c r="D8" s="115">
        <f t="shared" si="5"/>
        <v>-5.3717653716335731E-2</v>
      </c>
      <c r="E8" s="114">
        <f ca="1">SUMIF('Wholesale Normalized Monthly'!$B$2:$B$157,B8,'Wholesale Normalized Monthly'!AE$2:AE$157)</f>
        <v>541716989.6429081</v>
      </c>
      <c r="F8" s="115">
        <f t="shared" ca="1" si="5"/>
        <v>-4.2425909370781771E-2</v>
      </c>
      <c r="H8" s="112">
        <f t="shared" si="6"/>
        <v>2013</v>
      </c>
      <c r="I8" s="114">
        <f>SUMIF('Combined Monthly Data'!$B$2:$B$97,H8,'Combined Monthly Data'!I$2:I$97)</f>
        <v>206257081</v>
      </c>
      <c r="J8" s="107">
        <f t="shared" si="7"/>
        <v>0.38681746034633574</v>
      </c>
      <c r="K8" s="114">
        <f t="shared" ca="1" si="8"/>
        <v>209545590.16013196</v>
      </c>
      <c r="L8" s="115">
        <f t="shared" ca="1" si="9"/>
        <v>3.0007157825143932E-2</v>
      </c>
      <c r="M8" s="114"/>
      <c r="N8" s="112">
        <f t="shared" si="10"/>
        <v>2013</v>
      </c>
      <c r="O8" s="114">
        <f>SUMIF('Combined Monthly Data'!$B$2:$B$97,N8,'Combined Monthly Data'!K$2:K$97)</f>
        <v>69535541</v>
      </c>
      <c r="P8" s="107">
        <f t="shared" si="11"/>
        <v>0.1304079415990014</v>
      </c>
      <c r="Q8" s="114">
        <f t="shared" ca="1" si="12"/>
        <v>70644197.548539206</v>
      </c>
      <c r="R8" s="115">
        <f t="shared" ca="1" si="13"/>
        <v>-7.2930882114312107E-3</v>
      </c>
      <c r="S8" s="114"/>
      <c r="T8" s="112">
        <f t="shared" si="14"/>
        <v>2013</v>
      </c>
      <c r="U8" s="114">
        <f>SUMIF('Combined Monthly Data'!$B$2:$B$97,T8,'Combined Monthly Data'!O$2:O$97)</f>
        <v>214645102.49999997</v>
      </c>
      <c r="V8" s="107">
        <f t="shared" si="15"/>
        <v>0.40254847505007069</v>
      </c>
      <c r="W8" s="114">
        <f t="shared" ca="1" si="16"/>
        <v>218067348.08946759</v>
      </c>
      <c r="X8" s="115">
        <f t="shared" ca="1" si="17"/>
        <v>-0.13892334240253115</v>
      </c>
      <c r="Y8" s="115"/>
      <c r="Z8" s="112">
        <f t="shared" si="18"/>
        <v>2013</v>
      </c>
      <c r="AA8" s="114">
        <f>SUMIF('Combined Monthly Data'!$B$2:$B$97,Z8,'Combined Monthly Data'!N$2:N$97)</f>
        <v>4854403.5</v>
      </c>
      <c r="AB8" s="107">
        <f t="shared" si="19"/>
        <v>9.1040172985205944E-3</v>
      </c>
      <c r="AC8" s="114">
        <f t="shared" ca="1" si="20"/>
        <v>4931800.8446115367</v>
      </c>
      <c r="AD8" s="115">
        <f t="shared" ca="1" si="21"/>
        <v>-6.6895025342572134E-2</v>
      </c>
      <c r="AF8" s="112">
        <f t="shared" si="22"/>
        <v>2013</v>
      </c>
      <c r="AG8" s="114">
        <f>SUMIF('Combined Monthly Data'!$B$2:$B$97,AF8,'Combined Monthly Data'!T$2:T$97)</f>
        <v>4446822</v>
      </c>
      <c r="AH8" s="114">
        <f t="shared" si="0"/>
        <v>4446822</v>
      </c>
      <c r="AI8" s="115">
        <f t="shared" si="23"/>
        <v>-7.944145378144167E-2</v>
      </c>
      <c r="AK8" s="112">
        <f t="shared" si="1"/>
        <v>2013</v>
      </c>
      <c r="AL8" s="114">
        <f>SUMIF('Combined Monthly Data'!$B$2:$B$97,AK8,'Combined Monthly Data'!W$2:W$97)</f>
        <v>679025</v>
      </c>
      <c r="AM8" s="114">
        <f t="shared" si="2"/>
        <v>679025</v>
      </c>
      <c r="AN8" s="115">
        <f t="shared" si="24"/>
        <v>-4.8067682651759827E-2</v>
      </c>
      <c r="AP8" s="112">
        <f t="shared" si="3"/>
        <v>2013</v>
      </c>
      <c r="AQ8" s="114">
        <f>SUMIF('Combined Monthly Data'!$B$2:$B$97,AP8,'Combined Monthly Data'!Z$2:Z$97)</f>
        <v>1532742</v>
      </c>
      <c r="AR8" s="114">
        <f t="shared" si="4"/>
        <v>1532742</v>
      </c>
      <c r="AS8" s="115">
        <f t="shared" si="25"/>
        <v>1.6788768021599627E-3</v>
      </c>
    </row>
    <row r="9" spans="1:45" x14ac:dyDescent="0.2">
      <c r="B9" s="112">
        <v>2014</v>
      </c>
      <c r="C9" s="114">
        <f>SUMIF('Wholesale Normalized Monthly'!$B$2:$B$157,B9,'Wholesale Normalized Monthly'!C$2:C$157)</f>
        <v>535322551</v>
      </c>
      <c r="D9" s="115">
        <f t="shared" si="5"/>
        <v>3.9515183672253814E-3</v>
      </c>
      <c r="E9" s="114">
        <f ca="1">SUMIF('Wholesale Normalized Monthly'!$B$2:$B$157,B9,'Wholesale Normalized Monthly'!AE$2:AE$157)</f>
        <v>525396322.65440834</v>
      </c>
      <c r="F9" s="115">
        <f t="shared" ca="1" si="5"/>
        <v>-3.0127663153518787E-2</v>
      </c>
      <c r="H9" s="112">
        <f t="shared" si="6"/>
        <v>2014</v>
      </c>
      <c r="I9" s="114">
        <f>SUMIF('Combined Monthly Data'!$B$2:$B$97,H9,'Combined Monthly Data'!I$2:I$97)</f>
        <v>203019188</v>
      </c>
      <c r="J9" s="107">
        <f t="shared" si="7"/>
        <v>0.37924647041443244</v>
      </c>
      <c r="K9" s="114">
        <f t="shared" ca="1" si="8"/>
        <v>199254700.93540666</v>
      </c>
      <c r="L9" s="115">
        <f t="shared" ca="1" si="9"/>
        <v>-4.9110502477580871E-2</v>
      </c>
      <c r="M9" s="114"/>
      <c r="N9" s="112">
        <f t="shared" si="10"/>
        <v>2014</v>
      </c>
      <c r="O9" s="114">
        <f>SUMIF('Combined Monthly Data'!$B$2:$B$97,N9,'Combined Monthly Data'!K$2:K$97)</f>
        <v>69999358</v>
      </c>
      <c r="P9" s="107">
        <f t="shared" si="11"/>
        <v>0.13076108575892967</v>
      </c>
      <c r="Q9" s="114">
        <f t="shared" ca="1" si="12"/>
        <v>68701393.604039371</v>
      </c>
      <c r="R9" s="115">
        <f t="shared" ca="1" si="13"/>
        <v>-2.7501252925478364E-2</v>
      </c>
      <c r="S9" s="114"/>
      <c r="T9" s="112">
        <f t="shared" si="14"/>
        <v>2014</v>
      </c>
      <c r="U9" s="114">
        <f>SUMIF('Combined Monthly Data'!$B$2:$B$97,T9,'Combined Monthly Data'!O$2:O$97)</f>
        <v>226629153.79999992</v>
      </c>
      <c r="V9" s="107">
        <f t="shared" si="15"/>
        <v>0.42335065723767712</v>
      </c>
      <c r="W9" s="114">
        <f t="shared" ca="1" si="16"/>
        <v>222426878.50600243</v>
      </c>
      <c r="X9" s="115">
        <f t="shared" ca="1" si="17"/>
        <v>1.999166979710431E-2</v>
      </c>
      <c r="Y9" s="115"/>
      <c r="Z9" s="112">
        <f t="shared" si="18"/>
        <v>2014</v>
      </c>
      <c r="AA9" s="114">
        <f>SUMIF('Combined Monthly Data'!$B$2:$B$97,Z9,'Combined Monthly Data'!N$2:N$97)</f>
        <v>4975331.1999999993</v>
      </c>
      <c r="AB9" s="107">
        <f t="shared" si="19"/>
        <v>9.2940810931762888E-3</v>
      </c>
      <c r="AC9" s="114">
        <f t="shared" ca="1" si="20"/>
        <v>4883076.0288066855</v>
      </c>
      <c r="AD9" s="115">
        <f t="shared" ca="1" si="21"/>
        <v>-9.8797208849355205E-3</v>
      </c>
      <c r="AF9" s="112">
        <f t="shared" si="22"/>
        <v>2014</v>
      </c>
      <c r="AG9" s="114">
        <f>SUMIF('Combined Monthly Data'!$B$2:$B$97,AF9,'Combined Monthly Data'!T$2:T$97)</f>
        <v>4324650</v>
      </c>
      <c r="AH9" s="114">
        <f t="shared" si="0"/>
        <v>4324650</v>
      </c>
      <c r="AI9" s="115">
        <f t="shared" si="23"/>
        <v>-2.7474002782211657E-2</v>
      </c>
      <c r="AK9" s="112">
        <f t="shared" si="1"/>
        <v>2014</v>
      </c>
      <c r="AL9" s="114">
        <f>SUMIF('Combined Monthly Data'!$B$2:$B$97,AK9,'Combined Monthly Data'!W$2:W$97)</f>
        <v>700647</v>
      </c>
      <c r="AM9" s="114">
        <f t="shared" si="2"/>
        <v>700647</v>
      </c>
      <c r="AN9" s="115">
        <f t="shared" si="24"/>
        <v>3.1842715658480909E-2</v>
      </c>
      <c r="AP9" s="112">
        <f t="shared" si="3"/>
        <v>2014</v>
      </c>
      <c r="AQ9" s="114">
        <f>SUMIF('Combined Monthly Data'!$B$2:$B$97,AP9,'Combined Monthly Data'!Z$2:Z$97)</f>
        <v>1506300</v>
      </c>
      <c r="AR9" s="114">
        <f t="shared" si="4"/>
        <v>1506300</v>
      </c>
      <c r="AS9" s="115">
        <f t="shared" si="25"/>
        <v>-1.7251435662361963E-2</v>
      </c>
    </row>
    <row r="10" spans="1:45" s="119" customFormat="1" x14ac:dyDescent="0.2">
      <c r="B10" s="112">
        <v>2015</v>
      </c>
      <c r="C10" s="114">
        <f>SUMIF('Wholesale Normalized Monthly'!$B$2:$B$157,B10,'Wholesale Normalized Monthly'!C$2:C$157)</f>
        <v>496797372</v>
      </c>
      <c r="D10" s="115">
        <f t="shared" si="5"/>
        <v>-7.1966291963665094E-2</v>
      </c>
      <c r="E10" s="114">
        <f ca="1">SUMIF('Wholesale Normalized Monthly'!$B$2:$B$157,B10,'Wholesale Normalized Monthly'!AE$2:AE$157)</f>
        <v>504769313.0203529</v>
      </c>
      <c r="F10" s="115">
        <f t="shared" ca="1" si="5"/>
        <v>-3.9259904846390276E-2</v>
      </c>
      <c r="H10" s="112">
        <f t="shared" si="6"/>
        <v>2015</v>
      </c>
      <c r="I10" s="114">
        <f>SUMIF('Combined Monthly Data'!$B$2:$B$97,H10,'Combined Monthly Data'!I$2:I$97)</f>
        <v>199982619</v>
      </c>
      <c r="J10" s="107">
        <f t="shared" si="7"/>
        <v>0.40254363302066742</v>
      </c>
      <c r="K10" s="114">
        <f t="shared" ca="1" si="8"/>
        <v>203191673.10055935</v>
      </c>
      <c r="L10" s="115">
        <f t="shared" ca="1" si="9"/>
        <v>1.9758490749129005E-2</v>
      </c>
      <c r="M10" s="114"/>
      <c r="N10" s="112">
        <f t="shared" si="10"/>
        <v>2015</v>
      </c>
      <c r="O10" s="114">
        <f>SUMIF('Combined Monthly Data'!$B$2:$B$97,N10,'Combined Monthly Data'!K$2:K$97)</f>
        <v>69530292</v>
      </c>
      <c r="P10" s="107">
        <f t="shared" si="11"/>
        <v>0.13995704470030892</v>
      </c>
      <c r="Q10" s="114">
        <f t="shared" ca="1" si="12"/>
        <v>70646021.305733755</v>
      </c>
      <c r="R10" s="115">
        <f t="shared" ca="1" si="13"/>
        <v>2.8305505895589982E-2</v>
      </c>
      <c r="S10" s="114"/>
      <c r="T10" s="112">
        <f t="shared" si="14"/>
        <v>2015</v>
      </c>
      <c r="U10" s="114">
        <f>SUMIF('Combined Monthly Data'!$B$2:$B$97,T10,'Combined Monthly Data'!O$2:O$97)</f>
        <v>193620890</v>
      </c>
      <c r="V10" s="107">
        <f t="shared" si="15"/>
        <v>0.38973815264063033</v>
      </c>
      <c r="W10" s="114">
        <f t="shared" ca="1" si="16"/>
        <v>196727859.56623241</v>
      </c>
      <c r="X10" s="115">
        <f t="shared" ca="1" si="17"/>
        <v>-0.11553917904340189</v>
      </c>
      <c r="Y10" s="115"/>
      <c r="Z10" s="112">
        <f t="shared" si="18"/>
        <v>2015</v>
      </c>
      <c r="AA10" s="114">
        <f>SUMIF('Combined Monthly Data'!$B$2:$B$97,Z10,'Combined Monthly Data'!N$2:N$97)</f>
        <v>5138938.0000000009</v>
      </c>
      <c r="AB10" s="107">
        <f t="shared" si="19"/>
        <v>1.0344132818802433E-2</v>
      </c>
      <c r="AC10" s="114">
        <f t="shared" ca="1" si="20"/>
        <v>5221400.8167381901</v>
      </c>
      <c r="AD10" s="115">
        <f t="shared" ca="1" si="21"/>
        <v>6.9285177198886189E-2</v>
      </c>
      <c r="AF10" s="112">
        <f t="shared" si="22"/>
        <v>2015</v>
      </c>
      <c r="AG10" s="114">
        <f>SUMIF('Combined Monthly Data'!$B$2:$B$97,AF10,'Combined Monthly Data'!T$2:T$97)</f>
        <v>3719644</v>
      </c>
      <c r="AH10" s="114">
        <f t="shared" si="0"/>
        <v>3719644</v>
      </c>
      <c r="AI10" s="115">
        <f t="shared" si="23"/>
        <v>-0.13989710149954332</v>
      </c>
      <c r="AK10" s="112">
        <f t="shared" si="1"/>
        <v>2015</v>
      </c>
      <c r="AL10" s="114">
        <f>SUMIF('Combined Monthly Data'!$B$2:$B$97,AK10,'Combined Monthly Data'!W$2:W$97)</f>
        <v>691109</v>
      </c>
      <c r="AM10" s="114">
        <f t="shared" si="2"/>
        <v>691109</v>
      </c>
      <c r="AN10" s="115">
        <f t="shared" si="24"/>
        <v>-1.3613131862407176E-2</v>
      </c>
      <c r="AP10" s="112">
        <f t="shared" si="3"/>
        <v>2015</v>
      </c>
      <c r="AQ10" s="114">
        <f>SUMIF('Combined Monthly Data'!$B$2:$B$97,AP10,'Combined Monthly Data'!Z$2:Z$97)</f>
        <v>1506177</v>
      </c>
      <c r="AR10" s="114">
        <f t="shared" si="4"/>
        <v>1506177</v>
      </c>
      <c r="AS10" s="115">
        <f t="shared" si="25"/>
        <v>-8.1657040430193191E-5</v>
      </c>
    </row>
    <row r="11" spans="1:45" s="119" customFormat="1" x14ac:dyDescent="0.2">
      <c r="B11" s="119">
        <v>2016</v>
      </c>
      <c r="C11" s="120"/>
      <c r="D11" s="121"/>
      <c r="E11" s="120">
        <f ca="1">SUMIF('Wholesale Normalized Monthly'!$B$2:$B$157,B11,'Wholesale Normalized Monthly'!AE$2:AE$157)</f>
        <v>499435115.02856046</v>
      </c>
      <c r="F11" s="121">
        <f t="shared" ca="1" si="5"/>
        <v>-1.0567595640619617E-2</v>
      </c>
      <c r="H11" s="119">
        <f t="shared" si="6"/>
        <v>2016</v>
      </c>
      <c r="I11" s="120"/>
      <c r="J11" s="158">
        <f>J10</f>
        <v>0.40254363302066742</v>
      </c>
      <c r="K11" s="120">
        <f t="shared" ca="1" si="8"/>
        <v>201044425.66169167</v>
      </c>
      <c r="L11" s="121">
        <f t="shared" ca="1" si="9"/>
        <v>-1.0567595640619671E-2</v>
      </c>
      <c r="M11" s="120"/>
      <c r="N11" s="119">
        <f t="shared" si="10"/>
        <v>2016</v>
      </c>
      <c r="O11" s="120"/>
      <c r="P11" s="158">
        <f>P10</f>
        <v>0.13995704470030892</v>
      </c>
      <c r="Q11" s="120">
        <f t="shared" ca="1" si="12"/>
        <v>69899462.718956172</v>
      </c>
      <c r="R11" s="121">
        <f t="shared" ca="1" si="13"/>
        <v>-1.0567595640619478E-2</v>
      </c>
      <c r="S11" s="120"/>
      <c r="T11" s="119">
        <f t="shared" si="14"/>
        <v>2016</v>
      </c>
      <c r="U11" s="120"/>
      <c r="V11" s="158">
        <f>V10</f>
        <v>0.38973815264063033</v>
      </c>
      <c r="W11" s="120">
        <f t="shared" ca="1" si="16"/>
        <v>194648919.09509185</v>
      </c>
      <c r="X11" s="121">
        <f t="shared" ca="1" si="17"/>
        <v>-1.0567595640619707E-2</v>
      </c>
      <c r="Y11" s="121"/>
      <c r="Z11" s="119">
        <f t="shared" si="18"/>
        <v>2016</v>
      </c>
      <c r="AA11" s="120"/>
      <c r="AB11" s="158">
        <f>AB10</f>
        <v>1.0344132818802433E-2</v>
      </c>
      <c r="AC11" s="120">
        <f t="shared" ca="1" si="20"/>
        <v>5166223.1642293008</v>
      </c>
      <c r="AD11" s="121">
        <f t="shared" ca="1" si="21"/>
        <v>-1.0567595640619449E-2</v>
      </c>
      <c r="AF11" s="119">
        <f t="shared" si="22"/>
        <v>2016</v>
      </c>
      <c r="AG11" s="120"/>
      <c r="AH11" s="120">
        <f>AH10*(1+'Connection count '!V11)</f>
        <v>3719850.2259961669</v>
      </c>
      <c r="AI11" s="121">
        <f t="shared" si="23"/>
        <v>5.544240152200945E-5</v>
      </c>
      <c r="AK11" s="119">
        <f t="shared" si="1"/>
        <v>2016</v>
      </c>
      <c r="AL11" s="120"/>
      <c r="AM11" s="120">
        <f>AM10*(1+'Connection count '!AA11)</f>
        <v>659330.93192593928</v>
      </c>
      <c r="AN11" s="121">
        <f t="shared" si="24"/>
        <v>-4.5981267895600725E-2</v>
      </c>
      <c r="AP11" s="119">
        <f t="shared" si="3"/>
        <v>2016</v>
      </c>
      <c r="AQ11" s="120"/>
      <c r="AR11" s="120">
        <f>AR10*(1+'Connection count '!AF11)</f>
        <v>1484310.2695179088</v>
      </c>
      <c r="AS11" s="121">
        <f t="shared" si="25"/>
        <v>-1.4518035053045688E-2</v>
      </c>
    </row>
    <row r="12" spans="1:45" s="119" customFormat="1" x14ac:dyDescent="0.2">
      <c r="B12" s="119">
        <v>2017</v>
      </c>
      <c r="C12" s="120"/>
      <c r="D12" s="121"/>
      <c r="E12" s="120">
        <f ca="1">SUMIF('Wholesale Normalized Monthly'!$B$2:$B$157,B12,'Wholesale Normalized Monthly'!AE$2:AE$157)</f>
        <v>503256721.50576848</v>
      </c>
      <c r="F12" s="121">
        <f t="shared" ca="1" si="5"/>
        <v>7.6518577933581576E-3</v>
      </c>
      <c r="H12" s="119">
        <f t="shared" si="6"/>
        <v>2017</v>
      </c>
      <c r="I12" s="120"/>
      <c r="J12" s="158">
        <f>J11</f>
        <v>0.40254363302066742</v>
      </c>
      <c r="K12" s="120">
        <f t="shared" ca="1" si="8"/>
        <v>202582789.01700228</v>
      </c>
      <c r="L12" s="121">
        <f t="shared" ca="1" si="9"/>
        <v>7.6518577933581012E-3</v>
      </c>
      <c r="M12" s="120"/>
      <c r="N12" s="119">
        <f t="shared" si="10"/>
        <v>2017</v>
      </c>
      <c r="O12" s="120"/>
      <c r="P12" s="158">
        <f>P11</f>
        <v>0.13995704470030892</v>
      </c>
      <c r="Q12" s="120">
        <f t="shared" ca="1" si="12"/>
        <v>70434323.467513755</v>
      </c>
      <c r="R12" s="121">
        <f t="shared" ca="1" si="13"/>
        <v>7.6518577933580101E-3</v>
      </c>
      <c r="S12" s="120"/>
      <c r="T12" s="119">
        <f t="shared" si="14"/>
        <v>2017</v>
      </c>
      <c r="U12" s="120"/>
      <c r="V12" s="158">
        <f>V11</f>
        <v>0.38973815264063033</v>
      </c>
      <c r="W12" s="120">
        <f t="shared" ca="1" si="16"/>
        <v>196138344.94363838</v>
      </c>
      <c r="X12" s="121">
        <f t="shared" ca="1" si="17"/>
        <v>7.651857793358233E-3</v>
      </c>
      <c r="Y12" s="121"/>
      <c r="Z12" s="119">
        <f t="shared" si="18"/>
        <v>2017</v>
      </c>
      <c r="AA12" s="120"/>
      <c r="AB12" s="158">
        <f>AB11</f>
        <v>1.0344132818802433E-2</v>
      </c>
      <c r="AC12" s="120">
        <f t="shared" ca="1" si="20"/>
        <v>5205754.3692107359</v>
      </c>
      <c r="AD12" s="121">
        <f t="shared" ca="1" si="21"/>
        <v>7.6518577933580943E-3</v>
      </c>
      <c r="AF12" s="119">
        <f t="shared" si="22"/>
        <v>2017</v>
      </c>
      <c r="AG12" s="120"/>
      <c r="AH12" s="120">
        <f>AH11*(1+'Connection count '!V12)</f>
        <v>3720056.4634259981</v>
      </c>
      <c r="AI12" s="121">
        <f t="shared" si="23"/>
        <v>5.5442401521944906E-5</v>
      </c>
      <c r="AK12" s="119">
        <f t="shared" si="1"/>
        <v>2017</v>
      </c>
      <c r="AL12" s="120"/>
      <c r="AM12" s="120">
        <f>AM11*(1+'Connection count '!AA12)</f>
        <v>629014.05971319659</v>
      </c>
      <c r="AN12" s="121">
        <f t="shared" si="24"/>
        <v>-4.5981267895600711E-2</v>
      </c>
      <c r="AP12" s="119">
        <f t="shared" si="3"/>
        <v>2017</v>
      </c>
      <c r="AQ12" s="120"/>
      <c r="AR12" s="120">
        <f>AR11*(1+'Connection count '!AF12)</f>
        <v>1462761.0009954521</v>
      </c>
      <c r="AS12" s="121">
        <f t="shared" si="25"/>
        <v>-1.451803505304573E-2</v>
      </c>
    </row>
  </sheetData>
  <mergeCells count="9">
    <mergeCell ref="AS2:AS3"/>
    <mergeCell ref="X2:X3"/>
    <mergeCell ref="AI2:AI3"/>
    <mergeCell ref="AD2:AD3"/>
    <mergeCell ref="D2:D3"/>
    <mergeCell ref="F2:F3"/>
    <mergeCell ref="L2:L3"/>
    <mergeCell ref="R2:R3"/>
    <mergeCell ref="AN2:AN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Combined Monthly Data</vt:lpstr>
      <vt:lpstr>Weather Data</vt:lpstr>
      <vt:lpstr>Employment Data</vt:lpstr>
      <vt:lpstr>Wholesale OLS model</vt:lpstr>
      <vt:lpstr>Wholesale Predicted Monthly</vt:lpstr>
      <vt:lpstr>Model Annual Summary</vt:lpstr>
      <vt:lpstr>Wholesale Normalized Monthly</vt:lpstr>
      <vt:lpstr>Connection count </vt:lpstr>
      <vt:lpstr>Normalized Annual Summary</vt:lpstr>
      <vt:lpstr>kW Forecast</vt:lpstr>
      <vt:lpstr>2015-2020 Target</vt:lpstr>
      <vt:lpstr>Load Forecast Adj</vt:lpstr>
      <vt:lpstr>Summary Tables</vt:lpstr>
      <vt:lpstr>Monthly Data-EOP</vt:lpstr>
      <vt:lpstr>Monthly Data-FE</vt:lpstr>
      <vt:lpstr>Monthly Data-PC</vt:lpstr>
      <vt:lpstr>EOP Class Annual</vt:lpstr>
      <vt:lpstr>FE Class Annual</vt:lpstr>
      <vt:lpstr>PC Class Annual</vt:lpstr>
      <vt:lpstr>Tables</vt:lpstr>
      <vt:lpstr>JBL and OLG Slots</vt:lpstr>
    </vt:vector>
  </TitlesOfParts>
  <Company>elenchus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Motluk</dc:creator>
  <cp:lastModifiedBy>Beharriell, Greg</cp:lastModifiedBy>
  <dcterms:created xsi:type="dcterms:W3CDTF">2012-04-02T20:20:53Z</dcterms:created>
  <dcterms:modified xsi:type="dcterms:W3CDTF">2016-10-17T20:51:51Z</dcterms:modified>
</cp:coreProperties>
</file>