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480" yWindow="75" windowWidth="15195" windowHeight="9495" tabRatio="658" activeTab="8"/>
  </bookViews>
  <sheets>
    <sheet name="Summary" sheetId="11" r:id="rId1"/>
    <sheet name="Purchased Power Model" sheetId="36" r:id="rId2"/>
    <sheet name="Rate Class Energy Model " sheetId="38" r:id="rId3"/>
    <sheet name="Rate Class Customer Model" sheetId="17" r:id="rId4"/>
    <sheet name="Rate Class Load Model" sheetId="18" r:id="rId5"/>
    <sheet name="CDM Activity" sheetId="37" r:id="rId6"/>
    <sheet name="HDD &amp; CDD" sheetId="32" r:id="rId7"/>
    <sheet name="Regression Senarios" sheetId="47" r:id="rId8"/>
    <sheet name="App.2-R_Loss Factors" sheetId="39" r:id="rId9"/>
    <sheet name="Sheet2" sheetId="4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Order1" hidden="1">255</definedName>
    <definedName name="_Sort" localSheetId="8" hidden="1">[1]Sheet1!$G$40:$K$40</definedName>
    <definedName name="_Sort" localSheetId="5" hidden="1">[2]Sheet1!$G$40:$K$40</definedName>
    <definedName name="_Sort" localSheetId="6" hidden="1">[3]Sheet1!$G$40:$K$40</definedName>
    <definedName name="_Sort" localSheetId="1" hidden="1">[1]Sheet1!$G$40:$K$40</definedName>
    <definedName name="_Sort" localSheetId="2" hidden="1">[1]Sheet1!$G$40:$K$40</definedName>
    <definedName name="_Sort" localSheetId="7" hidden="1">[1]Sheet1!$G$40:$K$40</definedName>
    <definedName name="_Sort" hidden="1">[2]Sheet1!$G$40:$K$40</definedName>
    <definedName name="abc">[4]Refs!$B$8</definedName>
    <definedName name="AllVariables" localSheetId="5">'[5]5.Variables'!$B$132:$B$137</definedName>
    <definedName name="AllVariables">'[6]5.Variables'!$B$132:$B$137</definedName>
    <definedName name="BI_LDCLIST">'[7]3. Rate Class Selection'!$B$19:$B$21</definedName>
    <definedName name="BridgeYear">'[8]LDC Info'!$E$26</definedName>
    <definedName name="CAfile">[9]Refs!$B$2</definedName>
    <definedName name="CArevReq">[9]Refs!$B$6</definedName>
    <definedName name="ClassRange1">[9]Refs!$B$3</definedName>
    <definedName name="ClassRange2">[9]Refs!$B$4</definedName>
    <definedName name="contactf" localSheetId="8">#REF!</definedName>
    <definedName name="contactf" localSheetId="5">#REF!</definedName>
    <definedName name="contactf" localSheetId="2">#REF!</definedName>
    <definedName name="contactf" localSheetId="7">#REF!</definedName>
    <definedName name="contactf">#REF!</definedName>
    <definedName name="CustomerAdministration">[8]lists!$Z$1:$Z$36</definedName>
    <definedName name="EBNUMBER">'[8]LDC Info'!$E$16</definedName>
    <definedName name="Fixed_Charges">[8]lists!$I$1:$I$212</definedName>
    <definedName name="FolderPath">[9]Menu!$C$8</definedName>
    <definedName name="histdate">[10]Financials!$E$76</definedName>
    <definedName name="Incr2000" localSheetId="8">#REF!</definedName>
    <definedName name="Incr2000" localSheetId="5">#REF!</definedName>
    <definedName name="Incr2000" localSheetId="2">#REF!</definedName>
    <definedName name="Incr2000" localSheetId="7">#REF!</definedName>
    <definedName name="Incr2000">#REF!</definedName>
    <definedName name="LDC_LIST">[11]lists!$AM$1:$AM$80</definedName>
    <definedName name="LIMIT" localSheetId="8">#REF!</definedName>
    <definedName name="LIMIT" localSheetId="5">#REF!</definedName>
    <definedName name="LIMIT" localSheetId="2">#REF!</definedName>
    <definedName name="LIMIT" localSheetId="7">#REF!</definedName>
    <definedName name="LIMIT">#REF!</definedName>
    <definedName name="LossFactors">[8]lists!$L$2:$L$15</definedName>
    <definedName name="man_beg_bud" localSheetId="8">#REF!</definedName>
    <definedName name="man_beg_bud" localSheetId="5">#REF!</definedName>
    <definedName name="man_beg_bud" localSheetId="2">#REF!</definedName>
    <definedName name="man_beg_bud" localSheetId="7">#REF!</definedName>
    <definedName name="man_beg_bud">#REF!</definedName>
    <definedName name="man_end_bud" localSheetId="8">#REF!</definedName>
    <definedName name="man_end_bud" localSheetId="5">#REF!</definedName>
    <definedName name="man_end_bud" localSheetId="2">#REF!</definedName>
    <definedName name="man_end_bud" localSheetId="7">#REF!</definedName>
    <definedName name="man_end_bud">#REF!</definedName>
    <definedName name="man12ACT" localSheetId="8">#REF!</definedName>
    <definedName name="man12ACT" localSheetId="5">#REF!</definedName>
    <definedName name="man12ACT" localSheetId="2">#REF!</definedName>
    <definedName name="man12ACT" localSheetId="7">#REF!</definedName>
    <definedName name="man12ACT">#REF!</definedName>
    <definedName name="MANBUD" localSheetId="8">#REF!</definedName>
    <definedName name="MANBUD" localSheetId="5">#REF!</definedName>
    <definedName name="MANBUD" localSheetId="2">#REF!</definedName>
    <definedName name="MANBUD" localSheetId="7">#REF!</definedName>
    <definedName name="MANBUD">#REF!</definedName>
    <definedName name="manCYACT" localSheetId="8">#REF!</definedName>
    <definedName name="manCYACT" localSheetId="5">#REF!</definedName>
    <definedName name="manCYACT" localSheetId="2">#REF!</definedName>
    <definedName name="manCYACT" localSheetId="7">#REF!</definedName>
    <definedName name="manCYACT">#REF!</definedName>
    <definedName name="manCYBUD" localSheetId="8">#REF!</definedName>
    <definedName name="manCYBUD" localSheetId="5">#REF!</definedName>
    <definedName name="manCYBUD" localSheetId="2">#REF!</definedName>
    <definedName name="manCYBUD" localSheetId="7">#REF!</definedName>
    <definedName name="manCYBUD">#REF!</definedName>
    <definedName name="manCYF" localSheetId="8">#REF!</definedName>
    <definedName name="manCYF" localSheetId="5">#REF!</definedName>
    <definedName name="manCYF" localSheetId="2">#REF!</definedName>
    <definedName name="manCYF" localSheetId="7">#REF!</definedName>
    <definedName name="manCYF">#REF!</definedName>
    <definedName name="MANEND" localSheetId="8">#REF!</definedName>
    <definedName name="MANEND" localSheetId="5">#REF!</definedName>
    <definedName name="MANEND" localSheetId="2">#REF!</definedName>
    <definedName name="MANEND" localSheetId="7">#REF!</definedName>
    <definedName name="MANEND">#REF!</definedName>
    <definedName name="manNYbud" localSheetId="8">#REF!</definedName>
    <definedName name="manNYbud" localSheetId="5">#REF!</definedName>
    <definedName name="manNYbud" localSheetId="2">#REF!</definedName>
    <definedName name="manNYbud" localSheetId="7">#REF!</definedName>
    <definedName name="manNYbud">#REF!</definedName>
    <definedName name="manpower_costs" localSheetId="8">#REF!</definedName>
    <definedName name="manpower_costs" localSheetId="5">#REF!</definedName>
    <definedName name="manpower_costs" localSheetId="2">#REF!</definedName>
    <definedName name="manpower_costs" localSheetId="7">#REF!</definedName>
    <definedName name="manpower_costs">#REF!</definedName>
    <definedName name="manPYACT" localSheetId="8">#REF!</definedName>
    <definedName name="manPYACT" localSheetId="5">#REF!</definedName>
    <definedName name="manPYACT" localSheetId="2">#REF!</definedName>
    <definedName name="manPYACT" localSheetId="7">#REF!</definedName>
    <definedName name="manPYACT">#REF!</definedName>
    <definedName name="MANSTART" localSheetId="8">#REF!</definedName>
    <definedName name="MANSTART" localSheetId="5">#REF!</definedName>
    <definedName name="MANSTART" localSheetId="2">#REF!</definedName>
    <definedName name="MANSTART" localSheetId="7">#REF!</definedName>
    <definedName name="MANSTART">#REF!</definedName>
    <definedName name="mat_beg_bud" localSheetId="8">#REF!</definedName>
    <definedName name="mat_beg_bud" localSheetId="5">#REF!</definedName>
    <definedName name="mat_beg_bud" localSheetId="2">#REF!</definedName>
    <definedName name="mat_beg_bud" localSheetId="7">#REF!</definedName>
    <definedName name="mat_beg_bud">#REF!</definedName>
    <definedName name="mat_end_bud" localSheetId="8">#REF!</definedName>
    <definedName name="mat_end_bud" localSheetId="5">#REF!</definedName>
    <definedName name="mat_end_bud" localSheetId="2">#REF!</definedName>
    <definedName name="mat_end_bud" localSheetId="7">#REF!</definedName>
    <definedName name="mat_end_bud">#REF!</definedName>
    <definedName name="mat12ACT" localSheetId="8">#REF!</definedName>
    <definedName name="mat12ACT" localSheetId="5">#REF!</definedName>
    <definedName name="mat12ACT" localSheetId="2">#REF!</definedName>
    <definedName name="mat12ACT" localSheetId="7">#REF!</definedName>
    <definedName name="mat12ACT">#REF!</definedName>
    <definedName name="MATBUD" localSheetId="8">#REF!</definedName>
    <definedName name="MATBUD" localSheetId="5">#REF!</definedName>
    <definedName name="MATBUD" localSheetId="2">#REF!</definedName>
    <definedName name="MATBUD" localSheetId="7">#REF!</definedName>
    <definedName name="MATBUD">#REF!</definedName>
    <definedName name="matCYACT" localSheetId="8">#REF!</definedName>
    <definedName name="matCYACT" localSheetId="5">#REF!</definedName>
    <definedName name="matCYACT" localSheetId="2">#REF!</definedName>
    <definedName name="matCYACT" localSheetId="7">#REF!</definedName>
    <definedName name="matCYACT">#REF!</definedName>
    <definedName name="matCYBUD" localSheetId="8">#REF!</definedName>
    <definedName name="matCYBUD" localSheetId="5">#REF!</definedName>
    <definedName name="matCYBUD" localSheetId="2">#REF!</definedName>
    <definedName name="matCYBUD" localSheetId="7">#REF!</definedName>
    <definedName name="matCYBUD">#REF!</definedName>
    <definedName name="matCYF" localSheetId="8">#REF!</definedName>
    <definedName name="matCYF" localSheetId="5">#REF!</definedName>
    <definedName name="matCYF" localSheetId="2">#REF!</definedName>
    <definedName name="matCYF" localSheetId="7">#REF!</definedName>
    <definedName name="matCYF">#REF!</definedName>
    <definedName name="MATEND" localSheetId="8">#REF!</definedName>
    <definedName name="MATEND" localSheetId="5">#REF!</definedName>
    <definedName name="MATEND" localSheetId="2">#REF!</definedName>
    <definedName name="MATEND" localSheetId="7">#REF!</definedName>
    <definedName name="MATEND">#REF!</definedName>
    <definedName name="material_costs" localSheetId="8">#REF!</definedName>
    <definedName name="material_costs" localSheetId="5">#REF!</definedName>
    <definedName name="material_costs" localSheetId="2">#REF!</definedName>
    <definedName name="material_costs" localSheetId="7">#REF!</definedName>
    <definedName name="material_costs">#REF!</definedName>
    <definedName name="matNYbud" localSheetId="8">#REF!</definedName>
    <definedName name="matNYbud" localSheetId="5">#REF!</definedName>
    <definedName name="matNYbud" localSheetId="2">#REF!</definedName>
    <definedName name="matNYbud" localSheetId="7">#REF!</definedName>
    <definedName name="matNYbud">#REF!</definedName>
    <definedName name="matPYACT" localSheetId="8">#REF!</definedName>
    <definedName name="matPYACT" localSheetId="5">#REF!</definedName>
    <definedName name="matPYACT" localSheetId="2">#REF!</definedName>
    <definedName name="matPYACT" localSheetId="7">#REF!</definedName>
    <definedName name="matPYACT">#REF!</definedName>
    <definedName name="MATSTART" localSheetId="8">#REF!</definedName>
    <definedName name="MATSTART" localSheetId="5">#REF!</definedName>
    <definedName name="MATSTART" localSheetId="2">#REF!</definedName>
    <definedName name="MATSTART" localSheetId="7">#REF!</definedName>
    <definedName name="MATSTART">#REF!</definedName>
    <definedName name="NewRevReq">[9]Refs!$B$8</definedName>
    <definedName name="NonPayment">[8]lists!$AA$1:$AA$71</definedName>
    <definedName name="oth_beg_bud" localSheetId="8">#REF!</definedName>
    <definedName name="oth_beg_bud" localSheetId="5">#REF!</definedName>
    <definedName name="oth_beg_bud" localSheetId="2">#REF!</definedName>
    <definedName name="oth_beg_bud" localSheetId="7">#REF!</definedName>
    <definedName name="oth_beg_bud">#REF!</definedName>
    <definedName name="oth_end_bud" localSheetId="8">#REF!</definedName>
    <definedName name="oth_end_bud" localSheetId="5">#REF!</definedName>
    <definedName name="oth_end_bud" localSheetId="2">#REF!</definedName>
    <definedName name="oth_end_bud" localSheetId="7">#REF!</definedName>
    <definedName name="oth_end_bud">#REF!</definedName>
    <definedName name="oth12ACT" localSheetId="8">#REF!</definedName>
    <definedName name="oth12ACT" localSheetId="5">#REF!</definedName>
    <definedName name="oth12ACT" localSheetId="2">#REF!</definedName>
    <definedName name="oth12ACT" localSheetId="7">#REF!</definedName>
    <definedName name="oth12ACT">#REF!</definedName>
    <definedName name="othCYACT" localSheetId="8">#REF!</definedName>
    <definedName name="othCYACT" localSheetId="5">#REF!</definedName>
    <definedName name="othCYACT" localSheetId="2">#REF!</definedName>
    <definedName name="othCYACT" localSheetId="7">#REF!</definedName>
    <definedName name="othCYACT">#REF!</definedName>
    <definedName name="othCYBUD" localSheetId="8">#REF!</definedName>
    <definedName name="othCYBUD" localSheetId="5">#REF!</definedName>
    <definedName name="othCYBUD" localSheetId="2">#REF!</definedName>
    <definedName name="othCYBUD" localSheetId="7">#REF!</definedName>
    <definedName name="othCYBUD">#REF!</definedName>
    <definedName name="othCYF" localSheetId="8">#REF!</definedName>
    <definedName name="othCYF" localSheetId="5">#REF!</definedName>
    <definedName name="othCYF" localSheetId="2">#REF!</definedName>
    <definedName name="othCYF" localSheetId="7">#REF!</definedName>
    <definedName name="othCYF">#REF!</definedName>
    <definedName name="OTHEND" localSheetId="8">#REF!</definedName>
    <definedName name="OTHEND" localSheetId="5">#REF!</definedName>
    <definedName name="OTHEND" localSheetId="2">#REF!</definedName>
    <definedName name="OTHEND" localSheetId="7">#REF!</definedName>
    <definedName name="OTHEND">#REF!</definedName>
    <definedName name="other_costs" localSheetId="8">#REF!</definedName>
    <definedName name="other_costs" localSheetId="5">#REF!</definedName>
    <definedName name="other_costs" localSheetId="2">#REF!</definedName>
    <definedName name="other_costs" localSheetId="7">#REF!</definedName>
    <definedName name="other_costs">#REF!</definedName>
    <definedName name="OTHERBUD" localSheetId="8">#REF!</definedName>
    <definedName name="OTHERBUD" localSheetId="5">#REF!</definedName>
    <definedName name="OTHERBUD" localSheetId="2">#REF!</definedName>
    <definedName name="OTHERBUD" localSheetId="7">#REF!</definedName>
    <definedName name="OTHERBUD">#REF!</definedName>
    <definedName name="othNYbud" localSheetId="8">#REF!</definedName>
    <definedName name="othNYbud" localSheetId="5">#REF!</definedName>
    <definedName name="othNYbud" localSheetId="2">#REF!</definedName>
    <definedName name="othNYbud" localSheetId="7">#REF!</definedName>
    <definedName name="othNYbud">#REF!</definedName>
    <definedName name="othPYACT" localSheetId="8">#REF!</definedName>
    <definedName name="othPYACT" localSheetId="5">#REF!</definedName>
    <definedName name="othPYACT" localSheetId="2">#REF!</definedName>
    <definedName name="othPYACT" localSheetId="7">#REF!</definedName>
    <definedName name="othPYACT">#REF!</definedName>
    <definedName name="OTHSTART" localSheetId="8">#REF!</definedName>
    <definedName name="OTHSTART" localSheetId="5">#REF!</definedName>
    <definedName name="OTHSTART" localSheetId="2">#REF!</definedName>
    <definedName name="OTHSTART" localSheetId="7">#REF!</definedName>
    <definedName name="OTHSTART">#REF!</definedName>
    <definedName name="PAGE11" localSheetId="8">#REF!</definedName>
    <definedName name="PAGE11" localSheetId="5">#REF!</definedName>
    <definedName name="PAGE11" localSheetId="6">#REF!</definedName>
    <definedName name="PAGE11" localSheetId="1">#REF!</definedName>
    <definedName name="PAGE11" localSheetId="2">#REF!</definedName>
    <definedName name="PAGE11" localSheetId="7">#REF!</definedName>
    <definedName name="PAGE11">#REF!</definedName>
    <definedName name="PAGE2" localSheetId="8">[1]Sheet1!$A$1:$I$40</definedName>
    <definedName name="PAGE2" localSheetId="5">[2]Sheet1!$A$1:$I$40</definedName>
    <definedName name="PAGE2" localSheetId="6">[3]Sheet1!$A$1:$I$40</definedName>
    <definedName name="PAGE2" localSheetId="1">[1]Sheet1!$A$1:$I$40</definedName>
    <definedName name="PAGE2" localSheetId="2">[1]Sheet1!$A$1:$I$40</definedName>
    <definedName name="PAGE2" localSheetId="7">[1]Sheet1!$A$1:$I$40</definedName>
    <definedName name="PAGE2">[2]Sheet1!$A$1:$I$40</definedName>
    <definedName name="PAGE3" localSheetId="8">#REF!</definedName>
    <definedName name="PAGE3" localSheetId="5">#REF!</definedName>
    <definedName name="PAGE3" localSheetId="6">#REF!</definedName>
    <definedName name="PAGE3" localSheetId="1">#REF!</definedName>
    <definedName name="PAGE3" localSheetId="2">#REF!</definedName>
    <definedName name="PAGE3" localSheetId="7">#REF!</definedName>
    <definedName name="PAGE3">#REF!</definedName>
    <definedName name="PAGE4" localSheetId="8">#REF!</definedName>
    <definedName name="PAGE4" localSheetId="5">#REF!</definedName>
    <definedName name="PAGE4" localSheetId="6">#REF!</definedName>
    <definedName name="PAGE4" localSheetId="1">#REF!</definedName>
    <definedName name="PAGE4" localSheetId="2">#REF!</definedName>
    <definedName name="PAGE4" localSheetId="7">#REF!</definedName>
    <definedName name="PAGE4">#REF!</definedName>
    <definedName name="PAGE7" localSheetId="8">#REF!</definedName>
    <definedName name="PAGE7" localSheetId="5">#REF!</definedName>
    <definedName name="PAGE7" localSheetId="6">#REF!</definedName>
    <definedName name="PAGE7" localSheetId="1">#REF!</definedName>
    <definedName name="PAGE7" localSheetId="2">#REF!</definedName>
    <definedName name="PAGE7" localSheetId="7">#REF!</definedName>
    <definedName name="PAGE7">#REF!</definedName>
    <definedName name="PAGE9" localSheetId="8">#REF!</definedName>
    <definedName name="PAGE9" localSheetId="5">#REF!</definedName>
    <definedName name="PAGE9" localSheetId="6">#REF!</definedName>
    <definedName name="PAGE9" localSheetId="1">#REF!</definedName>
    <definedName name="PAGE9" localSheetId="2">#REF!</definedName>
    <definedName name="PAGE9" localSheetId="7">#REF!</definedName>
    <definedName name="PAGE9">#REF!</definedName>
    <definedName name="ppp">[4]Refs!$B$6</definedName>
    <definedName name="_xlnm.Print_Area" localSheetId="8">'App.2-R_Loss Factors'!$A$1:$H$72</definedName>
    <definedName name="_xlnm.Print_Area" localSheetId="3">'Rate Class Customer Model'!$A$1:$H$38</definedName>
    <definedName name="_xlnm.Print_Area" localSheetId="2">'Rate Class Energy Model '!$A$1:$F$1</definedName>
    <definedName name="_xlnm.Print_Area" localSheetId="4">'Rate Class Load Model'!$A$1:$E$30</definedName>
    <definedName name="print_end" localSheetId="8">#REF!</definedName>
    <definedName name="print_end" localSheetId="5">#REF!</definedName>
    <definedName name="print_end" localSheetId="2">#REF!</definedName>
    <definedName name="print_end" localSheetId="7">#REF!</definedName>
    <definedName name="print_end">#REF!</definedName>
    <definedName name="Rate_Class">[8]lists!$A$1:$A$104</definedName>
    <definedName name="ratedescription">[12]hidden1!$D$1:$D$122</definedName>
    <definedName name="RebaseYear">'[8]LDC Info'!$E$28</definedName>
    <definedName name="RevReqLookupKey">[9]Refs!$B$5</definedName>
    <definedName name="RevReqRange">[9]Refs!$B$7</definedName>
    <definedName name="SALBENF" localSheetId="8">#REF!</definedName>
    <definedName name="SALBENF" localSheetId="5">#REF!</definedName>
    <definedName name="SALBENF" localSheetId="2">#REF!</definedName>
    <definedName name="SALBENF" localSheetId="7">#REF!</definedName>
    <definedName name="SALBENF">#REF!</definedName>
    <definedName name="salreg" localSheetId="8">#REF!</definedName>
    <definedName name="salreg" localSheetId="5">#REF!</definedName>
    <definedName name="salreg" localSheetId="2">#REF!</definedName>
    <definedName name="salreg" localSheetId="7">#REF!</definedName>
    <definedName name="salreg">#REF!</definedName>
    <definedName name="SALREGF" localSheetId="8">#REF!</definedName>
    <definedName name="SALREGF" localSheetId="5">#REF!</definedName>
    <definedName name="SALREGF" localSheetId="2">#REF!</definedName>
    <definedName name="SALREGF" localSheetId="7">#REF!</definedName>
    <definedName name="SALREGF">#REF!</definedName>
    <definedName name="t_Stat" localSheetId="8">'[13]Purchased Power Model'!#REF!</definedName>
    <definedName name="t_Stat" localSheetId="5">'[14]Purchased Power Model'!#REF!</definedName>
    <definedName name="t_Stat" localSheetId="2">'[13]Purchased Power Model'!#REF!</definedName>
    <definedName name="t_Stat" localSheetId="7">'[13]Purchased Power Model'!#REF!</definedName>
    <definedName name="t_Stat">'[13]Purchased Power Model'!#REF!</definedName>
    <definedName name="TEMPA" localSheetId="8">#REF!</definedName>
    <definedName name="TEMPA" localSheetId="5">#REF!</definedName>
    <definedName name="TEMPA" localSheetId="2">#REF!</definedName>
    <definedName name="TEMPA" localSheetId="7">#REF!</definedName>
    <definedName name="TEMPA">#REF!</definedName>
    <definedName name="TestYear">'[8]LDC Info'!$E$24</definedName>
    <definedName name="total_dept" localSheetId="8">#REF!</definedName>
    <definedName name="total_dept" localSheetId="5">#REF!</definedName>
    <definedName name="total_dept" localSheetId="2">#REF!</definedName>
    <definedName name="total_dept" localSheetId="7">#REF!</definedName>
    <definedName name="total_dept">#REF!</definedName>
    <definedName name="total_manpower" localSheetId="8">#REF!</definedName>
    <definedName name="total_manpower" localSheetId="5">#REF!</definedName>
    <definedName name="total_manpower" localSheetId="2">#REF!</definedName>
    <definedName name="total_manpower" localSheetId="7">#REF!</definedName>
    <definedName name="total_manpower">#REF!</definedName>
    <definedName name="total_material" localSheetId="8">#REF!</definedName>
    <definedName name="total_material" localSheetId="5">#REF!</definedName>
    <definedName name="total_material" localSheetId="2">#REF!</definedName>
    <definedName name="total_material" localSheetId="7">#REF!</definedName>
    <definedName name="total_material">#REF!</definedName>
    <definedName name="total_other" localSheetId="8">#REF!</definedName>
    <definedName name="total_other" localSheetId="5">#REF!</definedName>
    <definedName name="total_other" localSheetId="2">#REF!</definedName>
    <definedName name="total_other" localSheetId="7">#REF!</definedName>
    <definedName name="total_other">#REF!</definedName>
    <definedName name="total_transportation" localSheetId="8">#REF!</definedName>
    <definedName name="total_transportation" localSheetId="5">#REF!</definedName>
    <definedName name="total_transportation" localSheetId="2">#REF!</definedName>
    <definedName name="total_transportation" localSheetId="7">#REF!</definedName>
    <definedName name="total_transportation">#REF!</definedName>
    <definedName name="TRANBUD" localSheetId="8">#REF!</definedName>
    <definedName name="TRANBUD" localSheetId="5">#REF!</definedName>
    <definedName name="TRANBUD" localSheetId="2">#REF!</definedName>
    <definedName name="TRANBUD" localSheetId="7">#REF!</definedName>
    <definedName name="TRANBUD">#REF!</definedName>
    <definedName name="TRANEND" localSheetId="8">#REF!</definedName>
    <definedName name="TRANEND" localSheetId="5">#REF!</definedName>
    <definedName name="TRANEND" localSheetId="2">#REF!</definedName>
    <definedName name="TRANEND" localSheetId="7">#REF!</definedName>
    <definedName name="TRANEND">#REF!</definedName>
    <definedName name="transportation_costs" localSheetId="8">#REF!</definedName>
    <definedName name="transportation_costs" localSheetId="5">#REF!</definedName>
    <definedName name="transportation_costs" localSheetId="2">#REF!</definedName>
    <definedName name="transportation_costs" localSheetId="7">#REF!</definedName>
    <definedName name="transportation_costs">#REF!</definedName>
    <definedName name="TRANSTART" localSheetId="8">#REF!</definedName>
    <definedName name="TRANSTART" localSheetId="5">#REF!</definedName>
    <definedName name="TRANSTART" localSheetId="2">#REF!</definedName>
    <definedName name="TRANSTART" localSheetId="7">#REF!</definedName>
    <definedName name="TRANSTART">#REF!</definedName>
    <definedName name="trn_beg_bud" localSheetId="8">#REF!</definedName>
    <definedName name="trn_beg_bud" localSheetId="5">#REF!</definedName>
    <definedName name="trn_beg_bud" localSheetId="2">#REF!</definedName>
    <definedName name="trn_beg_bud" localSheetId="7">#REF!</definedName>
    <definedName name="trn_beg_bud">#REF!</definedName>
    <definedName name="trn_end_bud" localSheetId="8">#REF!</definedName>
    <definedName name="trn_end_bud" localSheetId="5">#REF!</definedName>
    <definedName name="trn_end_bud" localSheetId="2">#REF!</definedName>
    <definedName name="trn_end_bud" localSheetId="7">#REF!</definedName>
    <definedName name="trn_end_bud">#REF!</definedName>
    <definedName name="trn12ACT" localSheetId="8">#REF!</definedName>
    <definedName name="trn12ACT" localSheetId="5">#REF!</definedName>
    <definedName name="trn12ACT" localSheetId="2">#REF!</definedName>
    <definedName name="trn12ACT" localSheetId="7">#REF!</definedName>
    <definedName name="trn12ACT">#REF!</definedName>
    <definedName name="trnCYACT" localSheetId="8">#REF!</definedName>
    <definedName name="trnCYACT" localSheetId="5">#REF!</definedName>
    <definedName name="trnCYACT" localSheetId="2">#REF!</definedName>
    <definedName name="trnCYACT" localSheetId="7">#REF!</definedName>
    <definedName name="trnCYACT">#REF!</definedName>
    <definedName name="trnCYBUD" localSheetId="8">#REF!</definedName>
    <definedName name="trnCYBUD" localSheetId="5">#REF!</definedName>
    <definedName name="trnCYBUD" localSheetId="2">#REF!</definedName>
    <definedName name="trnCYBUD" localSheetId="7">#REF!</definedName>
    <definedName name="trnCYBUD">#REF!</definedName>
    <definedName name="trnCYF" localSheetId="8">#REF!</definedName>
    <definedName name="trnCYF" localSheetId="5">#REF!</definedName>
    <definedName name="trnCYF" localSheetId="2">#REF!</definedName>
    <definedName name="trnCYF" localSheetId="7">#REF!</definedName>
    <definedName name="trnCYF">#REF!</definedName>
    <definedName name="trnNYbud" localSheetId="8">#REF!</definedName>
    <definedName name="trnNYbud" localSheetId="5">#REF!</definedName>
    <definedName name="trnNYbud" localSheetId="2">#REF!</definedName>
    <definedName name="trnNYbud" localSheetId="7">#REF!</definedName>
    <definedName name="trnNYbud">#REF!</definedName>
    <definedName name="trnPYACT" localSheetId="8">#REF!</definedName>
    <definedName name="trnPYACT" localSheetId="5">#REF!</definedName>
    <definedName name="trnPYACT" localSheetId="2">#REF!</definedName>
    <definedName name="trnPYACT" localSheetId="7">#REF!</definedName>
    <definedName name="trnPYACT">#REF!</definedName>
    <definedName name="Units">[8]lists!$N$2:$N$5</definedName>
    <definedName name="Utility">[10]Financials!$A$1</definedName>
    <definedName name="utitliy1">[15]Financials!$A$1</definedName>
    <definedName name="Uuu">[4]Refs!$B$5</definedName>
    <definedName name="Variable1" localSheetId="5">'[5]5.Variables'!$B$16</definedName>
    <definedName name="Variable1">'[6]5.Variables'!$B$16</definedName>
    <definedName name="Variable2" localSheetId="5">'[5]5.Variables'!$B$43</definedName>
    <definedName name="Variable2">'[6]5.Variables'!$B$43</definedName>
    <definedName name="Variable3" localSheetId="5">'[5]5.Variables'!$B$70</definedName>
    <definedName name="Variable3">'[6]5.Variables'!$B$70</definedName>
    <definedName name="Variable5" localSheetId="5">'[5]5.Variables'!$B$100</definedName>
    <definedName name="Variable5">'[6]5.Variables'!$B$100</definedName>
    <definedName name="Variable6" localSheetId="5">'[5]5.Variables'!$B$116</definedName>
    <definedName name="Variable6">'[6]5.Variables'!$B$116</definedName>
    <definedName name="WAGBENF" localSheetId="8">#REF!</definedName>
    <definedName name="WAGBENF" localSheetId="5">#REF!</definedName>
    <definedName name="WAGBENF" localSheetId="2">#REF!</definedName>
    <definedName name="WAGBENF" localSheetId="7">#REF!</definedName>
    <definedName name="WAGBENF">#REF!</definedName>
    <definedName name="wagdob" localSheetId="8">#REF!</definedName>
    <definedName name="wagdob" localSheetId="5">#REF!</definedName>
    <definedName name="wagdob" localSheetId="2">#REF!</definedName>
    <definedName name="wagdob" localSheetId="7">#REF!</definedName>
    <definedName name="wagdob">#REF!</definedName>
    <definedName name="wagdobf" localSheetId="8">#REF!</definedName>
    <definedName name="wagdobf" localSheetId="5">#REF!</definedName>
    <definedName name="wagdobf" localSheetId="2">#REF!</definedName>
    <definedName name="wagdobf" localSheetId="7">#REF!</definedName>
    <definedName name="wagdobf">#REF!</definedName>
    <definedName name="wagreg" localSheetId="8">#REF!</definedName>
    <definedName name="wagreg" localSheetId="5">#REF!</definedName>
    <definedName name="wagreg" localSheetId="2">#REF!</definedName>
    <definedName name="wagreg" localSheetId="7">#REF!</definedName>
    <definedName name="wagreg">#REF!</definedName>
    <definedName name="wagregf" localSheetId="8">#REF!</definedName>
    <definedName name="wagregf" localSheetId="5">#REF!</definedName>
    <definedName name="wagregf" localSheetId="2">#REF!</definedName>
    <definedName name="wagregf" localSheetId="7">#REF!</definedName>
    <definedName name="wagregf">#REF!</definedName>
  </definedNames>
  <calcPr calcId="145621"/>
</workbook>
</file>

<file path=xl/calcChain.xml><?xml version="1.0" encoding="utf-8"?>
<calcChain xmlns="http://schemas.openxmlformats.org/spreadsheetml/2006/main">
  <c r="W7" i="47" l="1"/>
  <c r="X7" i="47"/>
  <c r="W8" i="47"/>
  <c r="X8" i="47"/>
  <c r="W9" i="47"/>
  <c r="X9" i="47"/>
  <c r="W10" i="47"/>
  <c r="X10" i="47"/>
  <c r="W11" i="47"/>
  <c r="X11" i="47"/>
  <c r="W12" i="47"/>
  <c r="X12" i="47"/>
  <c r="W13" i="47"/>
  <c r="X13" i="47"/>
  <c r="W14" i="47"/>
  <c r="X14" i="47"/>
  <c r="W15" i="47"/>
  <c r="X15" i="47"/>
  <c r="W16" i="47"/>
  <c r="X16" i="47"/>
  <c r="W17" i="47"/>
  <c r="X17" i="47"/>
  <c r="W18" i="47"/>
  <c r="X18" i="47"/>
  <c r="W19" i="47"/>
  <c r="X19" i="47"/>
  <c r="W20" i="47"/>
  <c r="X20" i="47"/>
  <c r="W21" i="47"/>
  <c r="X21" i="47"/>
  <c r="W22" i="47"/>
  <c r="X22" i="47"/>
  <c r="W23" i="47"/>
  <c r="X23" i="47"/>
  <c r="W24" i="47"/>
  <c r="X24" i="47"/>
  <c r="W25" i="47"/>
  <c r="X25" i="47"/>
  <c r="W26" i="47"/>
  <c r="X26" i="47"/>
  <c r="W27" i="47"/>
  <c r="X27" i="47"/>
  <c r="W28" i="47"/>
  <c r="X28" i="47"/>
  <c r="W29" i="47"/>
  <c r="X29" i="47"/>
  <c r="W30" i="47"/>
  <c r="X30" i="47"/>
  <c r="W31" i="47"/>
  <c r="X31" i="47"/>
  <c r="W32" i="47"/>
  <c r="X32" i="47"/>
  <c r="W33" i="47"/>
  <c r="X33" i="47"/>
  <c r="W34" i="47"/>
  <c r="X34" i="47"/>
  <c r="W35" i="47"/>
  <c r="X35" i="47"/>
  <c r="W36" i="47"/>
  <c r="X36" i="47"/>
  <c r="W37" i="47"/>
  <c r="X37" i="47"/>
  <c r="W38" i="47"/>
  <c r="X38" i="47"/>
  <c r="W39" i="47"/>
  <c r="X39" i="47"/>
  <c r="W40" i="47"/>
  <c r="X40" i="47"/>
  <c r="W41" i="47"/>
  <c r="X41" i="47"/>
  <c r="W42" i="47"/>
  <c r="X42" i="47"/>
  <c r="W43" i="47"/>
  <c r="X43" i="47"/>
  <c r="W44" i="47"/>
  <c r="X44" i="47"/>
  <c r="W45" i="47"/>
  <c r="X45" i="47"/>
  <c r="W46" i="47"/>
  <c r="X46" i="47"/>
  <c r="W47" i="47"/>
  <c r="X47" i="47"/>
  <c r="W48" i="47"/>
  <c r="X48" i="47"/>
  <c r="W49" i="47"/>
  <c r="X49" i="47"/>
  <c r="W50" i="47"/>
  <c r="X50" i="47"/>
  <c r="W51" i="47"/>
  <c r="X51" i="47"/>
  <c r="W52" i="47"/>
  <c r="X52" i="47"/>
  <c r="W53" i="47"/>
  <c r="X53" i="47"/>
  <c r="W54" i="47"/>
  <c r="X54" i="47"/>
  <c r="W55" i="47"/>
  <c r="X55" i="47"/>
  <c r="W56" i="47"/>
  <c r="X56" i="47"/>
  <c r="W57" i="47"/>
  <c r="X57" i="47"/>
  <c r="W58" i="47"/>
  <c r="X58" i="47"/>
  <c r="W59" i="47"/>
  <c r="X59" i="47"/>
  <c r="W60" i="47"/>
  <c r="X60" i="47"/>
  <c r="W61" i="47"/>
  <c r="X61" i="47"/>
  <c r="W62" i="47"/>
  <c r="X62" i="47"/>
  <c r="W63" i="47"/>
  <c r="X63" i="47"/>
  <c r="W64" i="47"/>
  <c r="X64" i="47"/>
  <c r="W65" i="47"/>
  <c r="X65" i="47"/>
  <c r="W66" i="47"/>
  <c r="X66" i="47"/>
  <c r="W67" i="47"/>
  <c r="X67" i="47"/>
  <c r="W68" i="47"/>
  <c r="X68" i="47"/>
  <c r="W69" i="47"/>
  <c r="X69" i="47"/>
  <c r="W70" i="47"/>
  <c r="X70" i="47"/>
  <c r="W71" i="47"/>
  <c r="X71" i="47"/>
  <c r="W72" i="47"/>
  <c r="X72" i="47"/>
  <c r="W73" i="47"/>
  <c r="X73" i="47"/>
  <c r="W74" i="47"/>
  <c r="X74" i="47"/>
  <c r="W75" i="47"/>
  <c r="X75" i="47"/>
  <c r="W76" i="47"/>
  <c r="X76" i="47"/>
  <c r="W77" i="47"/>
  <c r="X77" i="47"/>
  <c r="W78" i="47"/>
  <c r="X78" i="47"/>
  <c r="W79" i="47"/>
  <c r="X79" i="47"/>
  <c r="W80" i="47"/>
  <c r="X80" i="47"/>
  <c r="W81" i="47"/>
  <c r="X81" i="47"/>
  <c r="W82" i="47"/>
  <c r="X82" i="47"/>
  <c r="W83" i="47"/>
  <c r="X83" i="47"/>
  <c r="W84" i="47"/>
  <c r="X84" i="47"/>
  <c r="W85" i="47"/>
  <c r="X85" i="47"/>
  <c r="W86" i="47"/>
  <c r="X86" i="47"/>
  <c r="W87" i="47"/>
  <c r="X87" i="47"/>
  <c r="W88" i="47"/>
  <c r="X88" i="47"/>
  <c r="W89" i="47"/>
  <c r="X89" i="47"/>
  <c r="W90" i="47"/>
  <c r="X90" i="47"/>
  <c r="W91" i="47"/>
  <c r="X91" i="47"/>
  <c r="W92" i="47"/>
  <c r="X92" i="47"/>
  <c r="W93" i="47"/>
  <c r="X93" i="47"/>
  <c r="W94" i="47"/>
  <c r="X94" i="47"/>
  <c r="W95" i="47"/>
  <c r="X95" i="47"/>
  <c r="W96" i="47"/>
  <c r="X96" i="47"/>
  <c r="W97" i="47"/>
  <c r="X97" i="47"/>
  <c r="W98" i="47"/>
  <c r="X98" i="47"/>
  <c r="W99" i="47"/>
  <c r="X99" i="47"/>
  <c r="W100" i="47"/>
  <c r="X100" i="47"/>
  <c r="W101" i="47"/>
  <c r="X101" i="47"/>
  <c r="W102" i="47"/>
  <c r="X102" i="47"/>
  <c r="W103" i="47"/>
  <c r="X103" i="47"/>
  <c r="W104" i="47"/>
  <c r="X104" i="47"/>
  <c r="W105" i="47"/>
  <c r="X105" i="47"/>
  <c r="W106" i="47"/>
  <c r="X106" i="47"/>
  <c r="W107" i="47"/>
  <c r="X107" i="47"/>
  <c r="W108" i="47"/>
  <c r="X108" i="47"/>
  <c r="W109" i="47"/>
  <c r="X109" i="47"/>
  <c r="W110" i="47"/>
  <c r="X110" i="47"/>
  <c r="W111" i="47"/>
  <c r="X111" i="47"/>
  <c r="W112" i="47"/>
  <c r="X112" i="47"/>
  <c r="W113" i="47"/>
  <c r="X113" i="47"/>
  <c r="W114" i="47"/>
  <c r="X114" i="47"/>
  <c r="W115" i="47"/>
  <c r="X115" i="47"/>
  <c r="W116" i="47"/>
  <c r="X116" i="47"/>
  <c r="W117" i="47"/>
  <c r="X117" i="47"/>
  <c r="W118" i="47"/>
  <c r="X118" i="47"/>
  <c r="W119" i="47"/>
  <c r="X119" i="47"/>
  <c r="W120" i="47"/>
  <c r="X120" i="47"/>
  <c r="W121" i="47"/>
  <c r="X121" i="47"/>
  <c r="W122" i="47"/>
  <c r="X122" i="47"/>
  <c r="W123" i="47"/>
  <c r="X123" i="47"/>
  <c r="W124" i="47"/>
  <c r="X124" i="47"/>
  <c r="W125" i="47"/>
  <c r="X125" i="47"/>
  <c r="X6" i="47"/>
  <c r="W6" i="47" l="1"/>
  <c r="N125" i="47"/>
  <c r="K125" i="47"/>
  <c r="J125" i="47"/>
  <c r="E125" i="47"/>
  <c r="C125" i="47"/>
  <c r="N124" i="47"/>
  <c r="K124" i="47"/>
  <c r="J124" i="47"/>
  <c r="E124" i="47"/>
  <c r="C124" i="47"/>
  <c r="N123" i="47"/>
  <c r="K123" i="47"/>
  <c r="J123" i="47"/>
  <c r="E123" i="47"/>
  <c r="C123" i="47"/>
  <c r="N122" i="47"/>
  <c r="K122" i="47"/>
  <c r="J122" i="47"/>
  <c r="E122" i="47"/>
  <c r="C122" i="47"/>
  <c r="N121" i="47"/>
  <c r="K121" i="47"/>
  <c r="J121" i="47"/>
  <c r="E121" i="47"/>
  <c r="C121" i="47"/>
  <c r="N120" i="47"/>
  <c r="K120" i="47"/>
  <c r="J120" i="47"/>
  <c r="E120" i="47"/>
  <c r="C120" i="47"/>
  <c r="N119" i="47"/>
  <c r="K119" i="47"/>
  <c r="J119" i="47"/>
  <c r="E119" i="47"/>
  <c r="C119" i="47"/>
  <c r="N118" i="47"/>
  <c r="K118" i="47"/>
  <c r="J118" i="47"/>
  <c r="E118" i="47"/>
  <c r="C118" i="47"/>
  <c r="N117" i="47"/>
  <c r="K117" i="47"/>
  <c r="J117" i="47"/>
  <c r="E117" i="47"/>
  <c r="C117" i="47"/>
  <c r="N116" i="47"/>
  <c r="K116" i="47"/>
  <c r="J116" i="47"/>
  <c r="E116" i="47"/>
  <c r="C116" i="47"/>
  <c r="N115" i="47"/>
  <c r="K115" i="47"/>
  <c r="J115" i="47"/>
  <c r="E115" i="47"/>
  <c r="C115" i="47"/>
  <c r="N114" i="47"/>
  <c r="K114" i="47"/>
  <c r="J114" i="47"/>
  <c r="E114" i="47"/>
  <c r="C114" i="47"/>
  <c r="N113" i="47"/>
  <c r="K113" i="47"/>
  <c r="J113" i="47"/>
  <c r="E113" i="47"/>
  <c r="C113" i="47"/>
  <c r="N112" i="47"/>
  <c r="K112" i="47"/>
  <c r="J112" i="47"/>
  <c r="E112" i="47"/>
  <c r="C112" i="47"/>
  <c r="N111" i="47"/>
  <c r="K111" i="47"/>
  <c r="J111" i="47"/>
  <c r="E111" i="47"/>
  <c r="C111" i="47"/>
  <c r="N110" i="47"/>
  <c r="K110" i="47"/>
  <c r="J110" i="47"/>
  <c r="E110" i="47"/>
  <c r="C110" i="47"/>
  <c r="N109" i="47"/>
  <c r="K109" i="47"/>
  <c r="J109" i="47"/>
  <c r="E109" i="47"/>
  <c r="C109" i="47"/>
  <c r="N108" i="47"/>
  <c r="K108" i="47"/>
  <c r="J108" i="47"/>
  <c r="E108" i="47"/>
  <c r="C108" i="47"/>
  <c r="N107" i="47"/>
  <c r="K107" i="47"/>
  <c r="J107" i="47"/>
  <c r="E107" i="47"/>
  <c r="C107" i="47"/>
  <c r="N106" i="47"/>
  <c r="K106" i="47"/>
  <c r="J106" i="47"/>
  <c r="E106" i="47"/>
  <c r="C106" i="47"/>
  <c r="N105" i="47"/>
  <c r="K105" i="47"/>
  <c r="J105" i="47"/>
  <c r="E105" i="47"/>
  <c r="C105" i="47"/>
  <c r="N104" i="47"/>
  <c r="K104" i="47"/>
  <c r="J104" i="47"/>
  <c r="E104" i="47"/>
  <c r="C104" i="47"/>
  <c r="N103" i="47"/>
  <c r="K103" i="47"/>
  <c r="J103" i="47"/>
  <c r="E103" i="47"/>
  <c r="C103" i="47"/>
  <c r="N102" i="47"/>
  <c r="K102" i="47"/>
  <c r="J102" i="47"/>
  <c r="E102" i="47"/>
  <c r="C102" i="47"/>
  <c r="N101" i="47"/>
  <c r="K101" i="47"/>
  <c r="J101" i="47"/>
  <c r="E101" i="47"/>
  <c r="C101" i="47"/>
  <c r="N100" i="47"/>
  <c r="K100" i="47"/>
  <c r="J100" i="47"/>
  <c r="E100" i="47"/>
  <c r="C100" i="47"/>
  <c r="N99" i="47"/>
  <c r="K99" i="47"/>
  <c r="J99" i="47"/>
  <c r="E99" i="47"/>
  <c r="C99" i="47"/>
  <c r="N98" i="47"/>
  <c r="K98" i="47"/>
  <c r="J98" i="47"/>
  <c r="E98" i="47"/>
  <c r="C98" i="47"/>
  <c r="N97" i="47"/>
  <c r="K97" i="47"/>
  <c r="J97" i="47"/>
  <c r="E97" i="47"/>
  <c r="C97" i="47"/>
  <c r="N96" i="47"/>
  <c r="K96" i="47"/>
  <c r="J96" i="47"/>
  <c r="E96" i="47"/>
  <c r="C96" i="47"/>
  <c r="N95" i="47"/>
  <c r="K95" i="47"/>
  <c r="J95" i="47"/>
  <c r="E95" i="47"/>
  <c r="C95" i="47"/>
  <c r="N94" i="47"/>
  <c r="K94" i="47"/>
  <c r="J94" i="47"/>
  <c r="E94" i="47"/>
  <c r="C94" i="47"/>
  <c r="N93" i="47"/>
  <c r="K93" i="47"/>
  <c r="J93" i="47"/>
  <c r="E93" i="47"/>
  <c r="C93" i="47"/>
  <c r="N92" i="47"/>
  <c r="K92" i="47"/>
  <c r="J92" i="47"/>
  <c r="E92" i="47"/>
  <c r="C92" i="47"/>
  <c r="N91" i="47"/>
  <c r="K91" i="47"/>
  <c r="J91" i="47"/>
  <c r="E91" i="47"/>
  <c r="C91" i="47"/>
  <c r="N90" i="47"/>
  <c r="K90" i="47"/>
  <c r="J90" i="47"/>
  <c r="E90" i="47"/>
  <c r="C90" i="47"/>
  <c r="N89" i="47"/>
  <c r="K89" i="47"/>
  <c r="J89" i="47"/>
  <c r="E89" i="47"/>
  <c r="C89" i="47"/>
  <c r="N88" i="47"/>
  <c r="K88" i="47"/>
  <c r="J88" i="47"/>
  <c r="E88" i="47"/>
  <c r="C88" i="47"/>
  <c r="N87" i="47"/>
  <c r="K87" i="47"/>
  <c r="J87" i="47"/>
  <c r="E87" i="47"/>
  <c r="C87" i="47"/>
  <c r="N86" i="47"/>
  <c r="K86" i="47"/>
  <c r="J86" i="47"/>
  <c r="E86" i="47"/>
  <c r="C86" i="47"/>
  <c r="N85" i="47"/>
  <c r="K85" i="47"/>
  <c r="J85" i="47"/>
  <c r="E85" i="47"/>
  <c r="C85" i="47"/>
  <c r="N84" i="47"/>
  <c r="K84" i="47"/>
  <c r="J84" i="47"/>
  <c r="E84" i="47"/>
  <c r="C84" i="47"/>
  <c r="N83" i="47"/>
  <c r="K83" i="47"/>
  <c r="J83" i="47"/>
  <c r="E83" i="47"/>
  <c r="C83" i="47"/>
  <c r="N82" i="47"/>
  <c r="K82" i="47"/>
  <c r="J82" i="47"/>
  <c r="E82" i="47"/>
  <c r="C82" i="47"/>
  <c r="N81" i="47"/>
  <c r="K81" i="47"/>
  <c r="J81" i="47"/>
  <c r="E81" i="47"/>
  <c r="C81" i="47"/>
  <c r="N80" i="47"/>
  <c r="K80" i="47"/>
  <c r="J80" i="47"/>
  <c r="E80" i="47"/>
  <c r="C80" i="47"/>
  <c r="N79" i="47"/>
  <c r="K79" i="47"/>
  <c r="J79" i="47"/>
  <c r="E79" i="47"/>
  <c r="C79" i="47"/>
  <c r="N78" i="47"/>
  <c r="K78" i="47"/>
  <c r="J78" i="47"/>
  <c r="E78" i="47"/>
  <c r="C78" i="47"/>
  <c r="N77" i="47"/>
  <c r="K77" i="47"/>
  <c r="J77" i="47"/>
  <c r="H77" i="47"/>
  <c r="N76" i="47"/>
  <c r="K76" i="47"/>
  <c r="J76" i="47"/>
  <c r="H76" i="47"/>
  <c r="N75" i="47"/>
  <c r="K75" i="47"/>
  <c r="J75" i="47"/>
  <c r="H75" i="47"/>
  <c r="N74" i="47"/>
  <c r="K74" i="47"/>
  <c r="J74" i="47"/>
  <c r="H74" i="47"/>
  <c r="N73" i="47"/>
  <c r="K73" i="47"/>
  <c r="J73" i="47"/>
  <c r="H73" i="47"/>
  <c r="N72" i="47"/>
  <c r="K72" i="47"/>
  <c r="J72" i="47"/>
  <c r="H72" i="47"/>
  <c r="N71" i="47"/>
  <c r="K71" i="47"/>
  <c r="J71" i="47"/>
  <c r="H71" i="47"/>
  <c r="N70" i="47"/>
  <c r="K70" i="47"/>
  <c r="J70" i="47"/>
  <c r="H70" i="47"/>
  <c r="N69" i="47"/>
  <c r="K69" i="47"/>
  <c r="J69" i="47"/>
  <c r="H69" i="47"/>
  <c r="N68" i="47"/>
  <c r="K68" i="47"/>
  <c r="J68" i="47"/>
  <c r="H68" i="47"/>
  <c r="N67" i="47"/>
  <c r="K67" i="47"/>
  <c r="J67" i="47"/>
  <c r="H67" i="47"/>
  <c r="N66" i="47"/>
  <c r="K66" i="47"/>
  <c r="J66" i="47"/>
  <c r="H66" i="47"/>
  <c r="N65" i="47"/>
  <c r="K65" i="47"/>
  <c r="J65" i="47"/>
  <c r="H65" i="47"/>
  <c r="N64" i="47"/>
  <c r="K64" i="47"/>
  <c r="J64" i="47"/>
  <c r="H64" i="47"/>
  <c r="N63" i="47"/>
  <c r="K63" i="47"/>
  <c r="J63" i="47"/>
  <c r="H63" i="47"/>
  <c r="N62" i="47"/>
  <c r="K62" i="47"/>
  <c r="J62" i="47"/>
  <c r="H62" i="47"/>
  <c r="N61" i="47"/>
  <c r="K61" i="47"/>
  <c r="J61" i="47"/>
  <c r="H61" i="47"/>
  <c r="N60" i="47"/>
  <c r="K60" i="47"/>
  <c r="J60" i="47"/>
  <c r="H60" i="47"/>
  <c r="N59" i="47"/>
  <c r="K59" i="47"/>
  <c r="J59" i="47"/>
  <c r="H59" i="47"/>
  <c r="N58" i="47"/>
  <c r="K58" i="47"/>
  <c r="J58" i="47"/>
  <c r="H58" i="47"/>
  <c r="N57" i="47"/>
  <c r="K57" i="47"/>
  <c r="J57" i="47"/>
  <c r="H57" i="47"/>
  <c r="N56" i="47"/>
  <c r="K56" i="47"/>
  <c r="J56" i="47"/>
  <c r="H56" i="47"/>
  <c r="N55" i="47"/>
  <c r="K55" i="47"/>
  <c r="J55" i="47"/>
  <c r="H55" i="47"/>
  <c r="N54" i="47"/>
  <c r="K54" i="47"/>
  <c r="J54" i="47"/>
  <c r="H54" i="47"/>
  <c r="N53" i="47"/>
  <c r="K53" i="47"/>
  <c r="J53" i="47"/>
  <c r="H53" i="47"/>
  <c r="N52" i="47"/>
  <c r="K52" i="47"/>
  <c r="J52" i="47"/>
  <c r="H52" i="47"/>
  <c r="N51" i="47"/>
  <c r="K51" i="47"/>
  <c r="J51" i="47"/>
  <c r="H51" i="47"/>
  <c r="N50" i="47"/>
  <c r="K50" i="47"/>
  <c r="J50" i="47"/>
  <c r="H50" i="47"/>
  <c r="N49" i="47"/>
  <c r="K49" i="47"/>
  <c r="J49" i="47"/>
  <c r="H49" i="47"/>
  <c r="N48" i="47"/>
  <c r="K48" i="47"/>
  <c r="J48" i="47"/>
  <c r="H48" i="47"/>
  <c r="N47" i="47"/>
  <c r="K47" i="47"/>
  <c r="J47" i="47"/>
  <c r="H47" i="47"/>
  <c r="N46" i="47"/>
  <c r="K46" i="47"/>
  <c r="J46" i="47"/>
  <c r="H46" i="47"/>
  <c r="N45" i="47"/>
  <c r="K45" i="47"/>
  <c r="J45" i="47"/>
  <c r="H45" i="47"/>
  <c r="N44" i="47"/>
  <c r="K44" i="47"/>
  <c r="J44" i="47"/>
  <c r="H44" i="47"/>
  <c r="N43" i="47"/>
  <c r="K43" i="47"/>
  <c r="J43" i="47"/>
  <c r="H43" i="47"/>
  <c r="N42" i="47"/>
  <c r="K42" i="47"/>
  <c r="J42" i="47"/>
  <c r="H42" i="47"/>
  <c r="N41" i="47"/>
  <c r="K41" i="47"/>
  <c r="J41" i="47"/>
  <c r="H41" i="47"/>
  <c r="N40" i="47"/>
  <c r="K40" i="47"/>
  <c r="J40" i="47"/>
  <c r="H40" i="47"/>
  <c r="N39" i="47"/>
  <c r="K39" i="47"/>
  <c r="J39" i="47"/>
  <c r="H39" i="47"/>
  <c r="N38" i="47"/>
  <c r="K38" i="47"/>
  <c r="J38" i="47"/>
  <c r="H38" i="47"/>
  <c r="N37" i="47"/>
  <c r="K37" i="47"/>
  <c r="J37" i="47"/>
  <c r="H37" i="47"/>
  <c r="N36" i="47"/>
  <c r="K36" i="47"/>
  <c r="J36" i="47"/>
  <c r="H36" i="47"/>
  <c r="N35" i="47"/>
  <c r="K35" i="47"/>
  <c r="J35" i="47"/>
  <c r="H35" i="47"/>
  <c r="N34" i="47"/>
  <c r="K34" i="47"/>
  <c r="J34" i="47"/>
  <c r="H34" i="47"/>
  <c r="N33" i="47"/>
  <c r="K33" i="47"/>
  <c r="J33" i="47"/>
  <c r="H33" i="47"/>
  <c r="N32" i="47"/>
  <c r="K32" i="47"/>
  <c r="J32" i="47"/>
  <c r="H32" i="47"/>
  <c r="N31" i="47"/>
  <c r="K31" i="47"/>
  <c r="J31" i="47"/>
  <c r="H31" i="47"/>
  <c r="N30" i="47"/>
  <c r="K30" i="47"/>
  <c r="J30" i="47"/>
  <c r="H30" i="47"/>
  <c r="N29" i="47"/>
  <c r="K29" i="47"/>
  <c r="J29" i="47"/>
  <c r="H29" i="47"/>
  <c r="N28" i="47"/>
  <c r="K28" i="47"/>
  <c r="J28" i="47"/>
  <c r="H28" i="47"/>
  <c r="N27" i="47"/>
  <c r="K27" i="47"/>
  <c r="J27" i="47"/>
  <c r="H27" i="47"/>
  <c r="N26" i="47"/>
  <c r="K26" i="47"/>
  <c r="J26" i="47"/>
  <c r="H26" i="47"/>
  <c r="N25" i="47"/>
  <c r="K25" i="47"/>
  <c r="J25" i="47"/>
  <c r="H25" i="47"/>
  <c r="N24" i="47"/>
  <c r="K24" i="47"/>
  <c r="J24" i="47"/>
  <c r="H24" i="47"/>
  <c r="N23" i="47"/>
  <c r="K23" i="47"/>
  <c r="J23" i="47"/>
  <c r="H23" i="47"/>
  <c r="N22" i="47"/>
  <c r="K22" i="47"/>
  <c r="J22" i="47"/>
  <c r="H22" i="47"/>
  <c r="N21" i="47"/>
  <c r="K21" i="47"/>
  <c r="J21" i="47"/>
  <c r="H21" i="47"/>
  <c r="N20" i="47"/>
  <c r="K20" i="47"/>
  <c r="J20" i="47"/>
  <c r="H20" i="47"/>
  <c r="N19" i="47"/>
  <c r="K19" i="47"/>
  <c r="J19" i="47"/>
  <c r="H19" i="47"/>
  <c r="N18" i="47"/>
  <c r="K18" i="47"/>
  <c r="J18" i="47"/>
  <c r="D18" i="47"/>
  <c r="C18" i="47"/>
  <c r="N17" i="47"/>
  <c r="K17" i="47"/>
  <c r="J17" i="47"/>
  <c r="D17" i="47"/>
  <c r="C17" i="47"/>
  <c r="N16" i="47"/>
  <c r="K16" i="47"/>
  <c r="J16" i="47"/>
  <c r="D16" i="47"/>
  <c r="C16" i="47"/>
  <c r="N15" i="47"/>
  <c r="K15" i="47"/>
  <c r="J15" i="47"/>
  <c r="D15" i="47"/>
  <c r="C15" i="47"/>
  <c r="N14" i="47"/>
  <c r="K14" i="47"/>
  <c r="J14" i="47"/>
  <c r="D14" i="47"/>
  <c r="C14" i="47"/>
  <c r="N13" i="47"/>
  <c r="K13" i="47"/>
  <c r="J13" i="47"/>
  <c r="D13" i="47"/>
  <c r="C13" i="47"/>
  <c r="N12" i="47"/>
  <c r="K12" i="47"/>
  <c r="J12" i="47"/>
  <c r="D12" i="47"/>
  <c r="C12" i="47"/>
  <c r="N11" i="47"/>
  <c r="K11" i="47"/>
  <c r="J11" i="47"/>
  <c r="D11" i="47"/>
  <c r="C11" i="47"/>
  <c r="N10" i="47"/>
  <c r="K10" i="47"/>
  <c r="J10" i="47"/>
  <c r="D10" i="47"/>
  <c r="C10" i="47"/>
  <c r="N9" i="47"/>
  <c r="K9" i="47"/>
  <c r="J9" i="47"/>
  <c r="D9" i="47"/>
  <c r="C9" i="47"/>
  <c r="N8" i="47"/>
  <c r="K8" i="47"/>
  <c r="J8" i="47"/>
  <c r="D8" i="47"/>
  <c r="C8" i="47"/>
  <c r="N7" i="47"/>
  <c r="K7" i="47"/>
  <c r="J7" i="47"/>
  <c r="D7" i="47"/>
  <c r="C7" i="47"/>
  <c r="B7" i="47"/>
  <c r="B8" i="47" s="1"/>
  <c r="N6" i="47"/>
  <c r="L6" i="47"/>
  <c r="K6" i="47"/>
  <c r="J6" i="47"/>
  <c r="D6" i="47"/>
  <c r="C6" i="47"/>
  <c r="H90" i="47" l="1"/>
  <c r="H98" i="47"/>
  <c r="H102" i="47"/>
  <c r="H110" i="47"/>
  <c r="H107" i="47"/>
  <c r="H111" i="47"/>
  <c r="H113" i="47"/>
  <c r="H117" i="47"/>
  <c r="H121" i="47"/>
  <c r="H7" i="47"/>
  <c r="H78" i="47"/>
  <c r="H10" i="47"/>
  <c r="H14" i="47"/>
  <c r="H18" i="47"/>
  <c r="H85" i="47"/>
  <c r="H89" i="47"/>
  <c r="H95" i="47"/>
  <c r="H99" i="47"/>
  <c r="H6" i="47"/>
  <c r="H120" i="47"/>
  <c r="H124" i="47"/>
  <c r="H8" i="47"/>
  <c r="H11" i="47"/>
  <c r="H12" i="47"/>
  <c r="H15" i="47"/>
  <c r="H16" i="47"/>
  <c r="H83" i="47"/>
  <c r="H91" i="47"/>
  <c r="H105" i="47"/>
  <c r="H109" i="47"/>
  <c r="H108" i="47"/>
  <c r="H112" i="47"/>
  <c r="H125" i="47"/>
  <c r="H13" i="47"/>
  <c r="H17" i="47"/>
  <c r="H82" i="47"/>
  <c r="H94" i="47"/>
  <c r="H9" i="47"/>
  <c r="H116" i="47"/>
  <c r="H80" i="47"/>
  <c r="H87" i="47"/>
  <c r="H93" i="47"/>
  <c r="H96" i="47"/>
  <c r="H101" i="47"/>
  <c r="H106" i="47"/>
  <c r="H115" i="47"/>
  <c r="H123" i="47"/>
  <c r="H79" i="47"/>
  <c r="H81" i="47"/>
  <c r="H86" i="47"/>
  <c r="H92" i="47"/>
  <c r="H97" i="47"/>
  <c r="H100" i="47"/>
  <c r="H103" i="47"/>
  <c r="H104" i="47"/>
  <c r="H114" i="47"/>
  <c r="H119" i="47"/>
  <c r="H122" i="47"/>
  <c r="B9" i="47"/>
  <c r="L8" i="47"/>
  <c r="L7" i="47"/>
  <c r="H88" i="47"/>
  <c r="H84" i="47"/>
  <c r="H118" i="47"/>
  <c r="B10" i="47" l="1"/>
  <c r="L9" i="47"/>
  <c r="B11" i="47" l="1"/>
  <c r="L10" i="47"/>
  <c r="B12" i="47" l="1"/>
  <c r="L11" i="47"/>
  <c r="B13" i="47" l="1"/>
  <c r="L12" i="47"/>
  <c r="B14" i="47" l="1"/>
  <c r="L13" i="47"/>
  <c r="B15" i="47" l="1"/>
  <c r="L14" i="47"/>
  <c r="B16" i="47" l="1"/>
  <c r="L15" i="47"/>
  <c r="B17" i="47" l="1"/>
  <c r="L16" i="47"/>
  <c r="B18" i="47" l="1"/>
  <c r="L17" i="47"/>
  <c r="B19" i="47" l="1"/>
  <c r="L18" i="47"/>
  <c r="L19" i="47" l="1"/>
  <c r="B20" i="47"/>
  <c r="L20" i="47" l="1"/>
  <c r="B21" i="47"/>
  <c r="L21" i="47" l="1"/>
  <c r="B22" i="47"/>
  <c r="B23" i="47" l="1"/>
  <c r="L22" i="47"/>
  <c r="L23" i="47" l="1"/>
  <c r="B24" i="47"/>
  <c r="L24" i="47" l="1"/>
  <c r="B25" i="47"/>
  <c r="L25" i="47" l="1"/>
  <c r="B26" i="47"/>
  <c r="B27" i="47" l="1"/>
  <c r="L26" i="47"/>
  <c r="L27" i="47" l="1"/>
  <c r="B28" i="47"/>
  <c r="L28" i="47" l="1"/>
  <c r="B29" i="47"/>
  <c r="L29" i="47" l="1"/>
  <c r="B30" i="47"/>
  <c r="B31" i="47" l="1"/>
  <c r="L30" i="47"/>
  <c r="L31" i="47" l="1"/>
  <c r="B32" i="47"/>
  <c r="L32" i="47" l="1"/>
  <c r="B33" i="47"/>
  <c r="L33" i="47" l="1"/>
  <c r="B34" i="47"/>
  <c r="B35" i="47" l="1"/>
  <c r="L34" i="47"/>
  <c r="L35" i="47" l="1"/>
  <c r="B36" i="47"/>
  <c r="B37" i="47" l="1"/>
  <c r="L36" i="47"/>
  <c r="B38" i="47" l="1"/>
  <c r="L37" i="47"/>
  <c r="L38" i="47" l="1"/>
  <c r="B39" i="47"/>
  <c r="B40" i="47" l="1"/>
  <c r="L39" i="47"/>
  <c r="L40" i="47" l="1"/>
  <c r="B41" i="47"/>
  <c r="B42" i="47" l="1"/>
  <c r="L41" i="47"/>
  <c r="B43" i="47" l="1"/>
  <c r="L42" i="47"/>
  <c r="L43" i="47" l="1"/>
  <c r="B44" i="47"/>
  <c r="L44" i="47" l="1"/>
  <c r="B45" i="47"/>
  <c r="B46" i="47" l="1"/>
  <c r="L45" i="47"/>
  <c r="B47" i="47" l="1"/>
  <c r="L46" i="47"/>
  <c r="B48" i="47" l="1"/>
  <c r="L47" i="47"/>
  <c r="B49" i="47" l="1"/>
  <c r="L48" i="47"/>
  <c r="L49" i="47" l="1"/>
  <c r="B50" i="47"/>
  <c r="B51" i="47" l="1"/>
  <c r="L50" i="47"/>
  <c r="B52" i="47" l="1"/>
  <c r="L51" i="47"/>
  <c r="B53" i="47" l="1"/>
  <c r="L52" i="47"/>
  <c r="B54" i="47" l="1"/>
  <c r="L53" i="47"/>
  <c r="L54" i="47" l="1"/>
  <c r="B55" i="47"/>
  <c r="L55" i="47" l="1"/>
  <c r="B56" i="47"/>
  <c r="L56" i="47" l="1"/>
  <c r="B57" i="47"/>
  <c r="B58" i="47" l="1"/>
  <c r="L57" i="47"/>
  <c r="L58" i="47" l="1"/>
  <c r="B59" i="47"/>
  <c r="B60" i="47" l="1"/>
  <c r="L59" i="47"/>
  <c r="L60" i="47" l="1"/>
  <c r="B61" i="47"/>
  <c r="B62" i="47" l="1"/>
  <c r="L61" i="47"/>
  <c r="L62" i="47" l="1"/>
  <c r="B63" i="47"/>
  <c r="L63" i="47" l="1"/>
  <c r="B64" i="47"/>
  <c r="L64" i="47" l="1"/>
  <c r="B65" i="47"/>
  <c r="B66" i="47" l="1"/>
  <c r="L65" i="47"/>
  <c r="B67" i="47" l="1"/>
  <c r="L66" i="47"/>
  <c r="L67" i="47" l="1"/>
  <c r="B68" i="47"/>
  <c r="L68" i="47" l="1"/>
  <c r="B69" i="47"/>
  <c r="L69" i="47" l="1"/>
  <c r="B70" i="47"/>
  <c r="B71" i="47" l="1"/>
  <c r="L70" i="47"/>
  <c r="L71" i="47" l="1"/>
  <c r="B72" i="47"/>
  <c r="L72" i="47" l="1"/>
  <c r="B73" i="47"/>
  <c r="L73" i="47" l="1"/>
  <c r="B74" i="47"/>
  <c r="B75" i="47" l="1"/>
  <c r="L74" i="47"/>
  <c r="L75" i="47" l="1"/>
  <c r="B76" i="47"/>
  <c r="L76" i="47" l="1"/>
  <c r="B77" i="47"/>
  <c r="L77" i="47" l="1"/>
  <c r="B78" i="47"/>
  <c r="B79" i="47" l="1"/>
  <c r="L78" i="47"/>
  <c r="L79" i="47" l="1"/>
  <c r="B80" i="47"/>
  <c r="L80" i="47" l="1"/>
  <c r="B81" i="47"/>
  <c r="L81" i="47" l="1"/>
  <c r="B82" i="47"/>
  <c r="B83" i="47" l="1"/>
  <c r="L82" i="47"/>
  <c r="B84" i="47" l="1"/>
  <c r="L83" i="47"/>
  <c r="L84" i="47" l="1"/>
  <c r="B85" i="47"/>
  <c r="L85" i="47" l="1"/>
  <c r="B86" i="47"/>
  <c r="B87" i="47" l="1"/>
  <c r="L86" i="47"/>
  <c r="B88" i="47" l="1"/>
  <c r="L87" i="47"/>
  <c r="B89" i="47" l="1"/>
  <c r="L88" i="47"/>
  <c r="L89" i="47" l="1"/>
  <c r="B90" i="47"/>
  <c r="B91" i="47" l="1"/>
  <c r="L90" i="47"/>
  <c r="L91" i="47" l="1"/>
  <c r="B92" i="47"/>
  <c r="L92" i="47" l="1"/>
  <c r="B93" i="47"/>
  <c r="L93" i="47" l="1"/>
  <c r="B94" i="47"/>
  <c r="B95" i="47" l="1"/>
  <c r="L94" i="47"/>
  <c r="L95" i="47" l="1"/>
  <c r="B96" i="47"/>
  <c r="L96" i="47" l="1"/>
  <c r="B97" i="47"/>
  <c r="L97" i="47" l="1"/>
  <c r="B98" i="47"/>
  <c r="B99" i="47" l="1"/>
  <c r="L98" i="47"/>
  <c r="L99" i="47" l="1"/>
  <c r="B100" i="47"/>
  <c r="L100" i="47" l="1"/>
  <c r="B101" i="47"/>
  <c r="L101" i="47" l="1"/>
  <c r="B102" i="47"/>
  <c r="L102" i="47" l="1"/>
  <c r="B103" i="47"/>
  <c r="L103" i="47" l="1"/>
  <c r="B104" i="47"/>
  <c r="L104" i="47" l="1"/>
  <c r="B105" i="47"/>
  <c r="L105" i="47" l="1"/>
  <c r="B106" i="47"/>
  <c r="L106" i="47" l="1"/>
  <c r="B107" i="47"/>
  <c r="L107" i="47" l="1"/>
  <c r="B108" i="47"/>
  <c r="L108" i="47" l="1"/>
  <c r="B109" i="47"/>
  <c r="L109" i="47" l="1"/>
  <c r="B110" i="47"/>
  <c r="L110" i="47" l="1"/>
  <c r="B111" i="47"/>
  <c r="L111" i="47" l="1"/>
  <c r="B112" i="47"/>
  <c r="L112" i="47" l="1"/>
  <c r="B113" i="47"/>
  <c r="B114" i="47" l="1"/>
  <c r="L113" i="47"/>
  <c r="B115" i="47" l="1"/>
  <c r="L114" i="47"/>
  <c r="L115" i="47" l="1"/>
  <c r="B116" i="47"/>
  <c r="L116" i="47" l="1"/>
  <c r="B117" i="47"/>
  <c r="B118" i="47" l="1"/>
  <c r="L117" i="47"/>
  <c r="B119" i="47" l="1"/>
  <c r="L118" i="47"/>
  <c r="L119" i="47" l="1"/>
  <c r="B120" i="47"/>
  <c r="L120" i="47" l="1"/>
  <c r="B121" i="47"/>
  <c r="B122" i="47" l="1"/>
  <c r="L121" i="47"/>
  <c r="L122" i="47" l="1"/>
  <c r="B123" i="47"/>
  <c r="L123" i="47" l="1"/>
  <c r="B124" i="47"/>
  <c r="L124" i="47" l="1"/>
  <c r="B125" i="47"/>
  <c r="L125" i="47" l="1"/>
  <c r="M31" i="37" l="1"/>
  <c r="L30" i="37"/>
  <c r="K29" i="37"/>
  <c r="A14" i="11" l="1"/>
  <c r="A18" i="11"/>
  <c r="A22" i="11"/>
  <c r="A27" i="11"/>
  <c r="A32" i="11"/>
  <c r="A37" i="11"/>
  <c r="G10" i="17" l="1"/>
  <c r="T18" i="32" l="1"/>
  <c r="U18" i="32"/>
  <c r="V18" i="32"/>
  <c r="L18" i="32"/>
  <c r="M18" i="32"/>
  <c r="O18" i="32"/>
  <c r="P18" i="32"/>
  <c r="Q18" i="32"/>
  <c r="R18" i="32"/>
  <c r="S18" i="32"/>
  <c r="N18" i="32"/>
  <c r="H79" i="38" l="1"/>
  <c r="D13" i="18" l="1"/>
  <c r="C13" i="18"/>
  <c r="L30" i="11" s="1"/>
  <c r="B13" i="18"/>
  <c r="J13" i="38" l="1"/>
  <c r="L39" i="11" s="1"/>
  <c r="I13" i="38"/>
  <c r="L34" i="11" s="1"/>
  <c r="H13" i="38"/>
  <c r="L29" i="11" s="1"/>
  <c r="G13" i="38"/>
  <c r="L24" i="11" s="1"/>
  <c r="F13" i="38"/>
  <c r="L20" i="11" s="1"/>
  <c r="E13" i="38"/>
  <c r="L16" i="11" s="1"/>
  <c r="E32" i="38" l="1"/>
  <c r="F32" i="38"/>
  <c r="J32" i="38"/>
  <c r="I32" i="38"/>
  <c r="D27" i="18"/>
  <c r="B27" i="18"/>
  <c r="G32" i="38"/>
  <c r="D13" i="38"/>
  <c r="L11" i="11" s="1"/>
  <c r="H32" i="38"/>
  <c r="C27" i="18"/>
  <c r="S13" i="38" l="1"/>
  <c r="O13" i="38"/>
  <c r="Q13" i="38"/>
  <c r="R13" i="38"/>
  <c r="N13" i="38"/>
  <c r="P13" i="38"/>
  <c r="L47" i="11"/>
  <c r="M13" i="38" l="1"/>
  <c r="F15" i="17" l="1"/>
  <c r="B30" i="37" l="1"/>
  <c r="C30" i="37"/>
  <c r="D30" i="37"/>
  <c r="B29" i="37"/>
  <c r="H49" i="37" l="1"/>
  <c r="I49" i="37"/>
  <c r="D24" i="37"/>
  <c r="C24" i="37"/>
  <c r="Y25" i="32" l="1"/>
  <c r="Y26" i="32"/>
  <c r="Y27" i="32"/>
  <c r="Y28" i="32"/>
  <c r="Y29" i="32"/>
  <c r="Y30" i="32"/>
  <c r="Y31" i="32"/>
  <c r="Y32" i="32"/>
  <c r="Y33" i="32"/>
  <c r="Y34" i="32"/>
  <c r="Y35" i="32"/>
  <c r="Y24" i="32"/>
  <c r="Y7" i="32"/>
  <c r="Y8" i="32"/>
  <c r="Y9" i="32"/>
  <c r="Y10" i="32"/>
  <c r="Y11" i="32"/>
  <c r="Y12" i="32"/>
  <c r="Y13" i="32"/>
  <c r="Y14" i="32"/>
  <c r="Y15" i="32"/>
  <c r="Y16" i="32"/>
  <c r="Y17" i="32"/>
  <c r="Y6" i="32"/>
  <c r="L14" i="17" l="1"/>
  <c r="J14" i="17"/>
  <c r="E137" i="36" l="1"/>
  <c r="C137" i="36"/>
  <c r="E136" i="36"/>
  <c r="C136" i="36"/>
  <c r="E135" i="36"/>
  <c r="C135" i="36"/>
  <c r="E134" i="36"/>
  <c r="C134" i="36"/>
  <c r="E133" i="36"/>
  <c r="C133" i="36"/>
  <c r="E132" i="36"/>
  <c r="C132" i="36"/>
  <c r="E131" i="36"/>
  <c r="C131" i="36"/>
  <c r="E130" i="36"/>
  <c r="C130" i="36"/>
  <c r="E129" i="36"/>
  <c r="C129" i="36"/>
  <c r="E128" i="36"/>
  <c r="C128" i="36"/>
  <c r="E127" i="36"/>
  <c r="C127" i="36"/>
  <c r="E126" i="36"/>
  <c r="C126" i="36"/>
  <c r="E125" i="36"/>
  <c r="C125" i="36"/>
  <c r="E124" i="36"/>
  <c r="C124" i="36"/>
  <c r="E123" i="36"/>
  <c r="C123" i="36"/>
  <c r="E122" i="36"/>
  <c r="C122" i="36"/>
  <c r="E121" i="36"/>
  <c r="C121" i="36"/>
  <c r="E120" i="36"/>
  <c r="C120" i="36"/>
  <c r="E119" i="36"/>
  <c r="C119" i="36"/>
  <c r="E118" i="36"/>
  <c r="C118" i="36"/>
  <c r="E117" i="36"/>
  <c r="C117" i="36"/>
  <c r="E116" i="36"/>
  <c r="C116" i="36"/>
  <c r="E115" i="36"/>
  <c r="C115" i="36"/>
  <c r="E114" i="36"/>
  <c r="C114" i="36"/>
  <c r="E113" i="36"/>
  <c r="C113" i="36"/>
  <c r="E112" i="36"/>
  <c r="C112" i="36"/>
  <c r="E111" i="36"/>
  <c r="C111" i="36"/>
  <c r="E110" i="36"/>
  <c r="C110" i="36"/>
  <c r="E109" i="36"/>
  <c r="C109" i="36"/>
  <c r="E108" i="36"/>
  <c r="C108" i="36"/>
  <c r="E107" i="36"/>
  <c r="C107" i="36"/>
  <c r="E106" i="36"/>
  <c r="C106" i="36"/>
  <c r="E105" i="36"/>
  <c r="C105" i="36"/>
  <c r="E104" i="36"/>
  <c r="C104" i="36"/>
  <c r="E103" i="36"/>
  <c r="C103" i="36"/>
  <c r="E102" i="36"/>
  <c r="C102" i="36"/>
  <c r="E101" i="36"/>
  <c r="C101" i="36"/>
  <c r="E100" i="36"/>
  <c r="C100" i="36"/>
  <c r="E99" i="36"/>
  <c r="C99" i="36"/>
  <c r="E98" i="36"/>
  <c r="C98" i="36"/>
  <c r="E97" i="36"/>
  <c r="C97" i="36"/>
  <c r="E96" i="36"/>
  <c r="C96" i="36"/>
  <c r="E95" i="36"/>
  <c r="C95" i="36"/>
  <c r="E94" i="36"/>
  <c r="C94" i="36"/>
  <c r="E93" i="36"/>
  <c r="C93" i="36"/>
  <c r="E92" i="36"/>
  <c r="C92" i="36"/>
  <c r="E91" i="36"/>
  <c r="C91" i="36"/>
  <c r="E90" i="36"/>
  <c r="C90" i="36"/>
  <c r="E89" i="36"/>
  <c r="C89" i="36"/>
  <c r="E88" i="36"/>
  <c r="C88" i="36"/>
  <c r="E87" i="36"/>
  <c r="C87" i="36"/>
  <c r="E86" i="36"/>
  <c r="C86" i="36"/>
  <c r="E85" i="36"/>
  <c r="C85" i="36"/>
  <c r="E84" i="36"/>
  <c r="C84" i="36"/>
  <c r="E83" i="36"/>
  <c r="C83" i="36"/>
  <c r="E82" i="36"/>
  <c r="C82" i="36"/>
  <c r="E81" i="36"/>
  <c r="C81" i="36"/>
  <c r="E80" i="36"/>
  <c r="C80" i="36"/>
  <c r="E79" i="36"/>
  <c r="C79" i="36"/>
  <c r="E78" i="36"/>
  <c r="C78" i="36"/>
  <c r="D18" i="36"/>
  <c r="C18" i="36"/>
  <c r="D17" i="36"/>
  <c r="C17" i="36"/>
  <c r="D16" i="36"/>
  <c r="C16" i="36"/>
  <c r="D15" i="36"/>
  <c r="C15" i="36"/>
  <c r="D14" i="36"/>
  <c r="C14" i="36"/>
  <c r="D13" i="36"/>
  <c r="C13" i="36"/>
  <c r="D12" i="36"/>
  <c r="C12" i="36"/>
  <c r="D11" i="36"/>
  <c r="C11" i="36"/>
  <c r="D10" i="36"/>
  <c r="C10" i="36"/>
  <c r="D9" i="36"/>
  <c r="C9" i="36"/>
  <c r="D8" i="36"/>
  <c r="C8" i="36"/>
  <c r="D7" i="36"/>
  <c r="C7" i="36"/>
  <c r="D6" i="36"/>
  <c r="C6" i="36"/>
  <c r="E16" i="39" l="1"/>
  <c r="F16" i="39"/>
  <c r="G16" i="39"/>
  <c r="C16" i="39"/>
  <c r="C17" i="39" s="1"/>
  <c r="D16" i="39"/>
  <c r="H102" i="36"/>
  <c r="H104" i="36"/>
  <c r="H106" i="36"/>
  <c r="H108" i="36"/>
  <c r="H110" i="36"/>
  <c r="H112" i="36"/>
  <c r="H103" i="36"/>
  <c r="H105" i="36"/>
  <c r="H107" i="36"/>
  <c r="H109" i="36"/>
  <c r="H111" i="36"/>
  <c r="H113" i="36"/>
  <c r="K126" i="36"/>
  <c r="K127" i="36"/>
  <c r="K128" i="36"/>
  <c r="K129" i="36"/>
  <c r="K130" i="36"/>
  <c r="K131" i="36"/>
  <c r="K132" i="36"/>
  <c r="K133" i="36"/>
  <c r="K134" i="36"/>
  <c r="K135" i="36"/>
  <c r="K136" i="36"/>
  <c r="K137" i="36"/>
  <c r="J126" i="36"/>
  <c r="J127" i="36"/>
  <c r="J128" i="36"/>
  <c r="J129" i="36"/>
  <c r="J130" i="36"/>
  <c r="J131" i="36"/>
  <c r="J132" i="36"/>
  <c r="J133" i="36"/>
  <c r="J134" i="36"/>
  <c r="J135" i="36"/>
  <c r="J136" i="36"/>
  <c r="J137" i="36"/>
  <c r="V37" i="32"/>
  <c r="X35" i="32"/>
  <c r="X34" i="32"/>
  <c r="X33" i="32"/>
  <c r="X32" i="32"/>
  <c r="X31" i="32"/>
  <c r="X30" i="32"/>
  <c r="X29" i="32"/>
  <c r="X28" i="32"/>
  <c r="X27" i="32"/>
  <c r="X26" i="32"/>
  <c r="X25" i="32"/>
  <c r="X24" i="32"/>
  <c r="W25" i="32"/>
  <c r="K139" i="36" s="1"/>
  <c r="W26" i="32"/>
  <c r="K140" i="36" s="1"/>
  <c r="W27" i="32"/>
  <c r="K141" i="36" s="1"/>
  <c r="W28" i="32"/>
  <c r="K142" i="36" s="1"/>
  <c r="W29" i="32"/>
  <c r="K143" i="36" s="1"/>
  <c r="W30" i="32"/>
  <c r="K144" i="36" s="1"/>
  <c r="W31" i="32"/>
  <c r="K145" i="36" s="1"/>
  <c r="W32" i="32"/>
  <c r="K146" i="36" s="1"/>
  <c r="W33" i="32"/>
  <c r="K147" i="36" s="1"/>
  <c r="W34" i="32"/>
  <c r="K148" i="36" s="1"/>
  <c r="W35" i="32"/>
  <c r="K149" i="36" s="1"/>
  <c r="W24" i="32"/>
  <c r="K138" i="36" s="1"/>
  <c r="X7" i="32"/>
  <c r="X8" i="32"/>
  <c r="X9" i="32"/>
  <c r="X10" i="32"/>
  <c r="X11" i="32"/>
  <c r="X12" i="32"/>
  <c r="X13" i="32"/>
  <c r="X14" i="32"/>
  <c r="X15" i="32"/>
  <c r="X16" i="32"/>
  <c r="X17" i="32"/>
  <c r="X6" i="32"/>
  <c r="W7" i="32"/>
  <c r="J139" i="36" s="1"/>
  <c r="W8" i="32"/>
  <c r="J140" i="36" s="1"/>
  <c r="W9" i="32"/>
  <c r="J141" i="36" s="1"/>
  <c r="W10" i="32"/>
  <c r="J142" i="36" s="1"/>
  <c r="W11" i="32"/>
  <c r="J143" i="36" s="1"/>
  <c r="W12" i="32"/>
  <c r="J144" i="36" s="1"/>
  <c r="W13" i="32"/>
  <c r="J145" i="36" s="1"/>
  <c r="W14" i="32"/>
  <c r="J146" i="36" s="1"/>
  <c r="W15" i="32"/>
  <c r="J147" i="36" s="1"/>
  <c r="W16" i="32"/>
  <c r="J148" i="36" s="1"/>
  <c r="W17" i="32"/>
  <c r="J149" i="36" s="1"/>
  <c r="W6" i="32"/>
  <c r="J138" i="36" s="1"/>
  <c r="V19" i="32"/>
  <c r="H137" i="36"/>
  <c r="H136" i="36"/>
  <c r="H135" i="36"/>
  <c r="H134" i="36"/>
  <c r="H133" i="36"/>
  <c r="H132" i="36"/>
  <c r="H131" i="36"/>
  <c r="H130" i="36"/>
  <c r="H129" i="36"/>
  <c r="H128" i="36"/>
  <c r="H127" i="36"/>
  <c r="H126" i="36"/>
  <c r="AC44" i="36" l="1"/>
  <c r="L5" i="11" s="1"/>
  <c r="B13" i="38" l="1"/>
  <c r="C13" i="38" s="1"/>
  <c r="F63" i="17" l="1"/>
  <c r="G8" i="17" l="1"/>
  <c r="L8" i="17" s="1"/>
  <c r="G7" i="17"/>
  <c r="L7" i="17" s="1"/>
  <c r="G6" i="17"/>
  <c r="L6" i="17" s="1"/>
  <c r="G5" i="17"/>
  <c r="L5" i="17" s="1"/>
  <c r="G4" i="17"/>
  <c r="E9" i="17"/>
  <c r="E8" i="17"/>
  <c r="E7" i="17"/>
  <c r="E6" i="17"/>
  <c r="E5" i="17"/>
  <c r="E4" i="17"/>
  <c r="L4" i="17" l="1"/>
  <c r="E41" i="17"/>
  <c r="E43" i="17"/>
  <c r="J8" i="17"/>
  <c r="G40" i="17"/>
  <c r="J5" i="17"/>
  <c r="E40" i="17"/>
  <c r="J9" i="17"/>
  <c r="G41" i="17"/>
  <c r="G42" i="17"/>
  <c r="J7" i="17"/>
  <c r="E42" i="17"/>
  <c r="J6" i="17"/>
  <c r="G39" i="17"/>
  <c r="J4" i="17"/>
  <c r="E39" i="17"/>
  <c r="E55" i="17" l="1"/>
  <c r="J42" i="17"/>
  <c r="G55" i="17"/>
  <c r="J41" i="17"/>
  <c r="L22" i="17"/>
  <c r="G54" i="17"/>
  <c r="J40" i="17"/>
  <c r="J21" i="17"/>
  <c r="J24" i="17"/>
  <c r="J39" i="17"/>
  <c r="J43" i="17"/>
  <c r="L23" i="17"/>
  <c r="J20" i="17"/>
  <c r="L20" i="17"/>
  <c r="E53" i="17"/>
  <c r="E54" i="17"/>
  <c r="J22" i="17"/>
  <c r="L21" i="17"/>
  <c r="G53" i="17"/>
  <c r="E56" i="17"/>
  <c r="J23" i="17"/>
  <c r="J56" i="17" l="1"/>
  <c r="J55" i="17"/>
  <c r="J54" i="17"/>
  <c r="J53" i="17"/>
  <c r="D47" i="38"/>
  <c r="E24" i="17"/>
  <c r="F67" i="38" l="1"/>
  <c r="E67" i="38"/>
  <c r="E77" i="38" l="1"/>
  <c r="K153" i="36" l="1"/>
  <c r="K154" i="36"/>
  <c r="K155" i="36"/>
  <c r="K156" i="36"/>
  <c r="K157" i="36"/>
  <c r="K158" i="36"/>
  <c r="K159" i="36"/>
  <c r="K160" i="36"/>
  <c r="K161" i="36"/>
  <c r="K162" i="36"/>
  <c r="K163" i="36"/>
  <c r="K164" i="36"/>
  <c r="J153" i="36"/>
  <c r="J154" i="36"/>
  <c r="J155" i="36"/>
  <c r="J156" i="36"/>
  <c r="J157" i="36"/>
  <c r="J158" i="36"/>
  <c r="J159" i="36"/>
  <c r="J160" i="36"/>
  <c r="J161" i="36"/>
  <c r="J162" i="36"/>
  <c r="J163" i="36"/>
  <c r="J164" i="36"/>
  <c r="M153" i="36"/>
  <c r="M154" i="36"/>
  <c r="M155" i="36"/>
  <c r="M156" i="36"/>
  <c r="M157" i="36"/>
  <c r="M158" i="36"/>
  <c r="M159" i="36"/>
  <c r="M160" i="36"/>
  <c r="M161" i="36"/>
  <c r="M162" i="36"/>
  <c r="M163" i="36"/>
  <c r="M164" i="36"/>
  <c r="E29" i="18"/>
  <c r="D12" i="18" l="1"/>
  <c r="C12" i="18"/>
  <c r="K30" i="11" s="1"/>
  <c r="B12" i="18"/>
  <c r="D11" i="18"/>
  <c r="C11" i="18"/>
  <c r="J30" i="11" s="1"/>
  <c r="B11" i="18"/>
  <c r="D10" i="18"/>
  <c r="C10" i="18"/>
  <c r="I30" i="11" s="1"/>
  <c r="B10" i="18"/>
  <c r="D9" i="18"/>
  <c r="C9" i="18"/>
  <c r="H30" i="11" s="1"/>
  <c r="B9" i="18"/>
  <c r="D8" i="18"/>
  <c r="C8" i="18"/>
  <c r="G30" i="11" s="1"/>
  <c r="B8" i="18"/>
  <c r="D7" i="18"/>
  <c r="C7" i="18"/>
  <c r="F30" i="11" s="1"/>
  <c r="B7" i="18"/>
  <c r="D6" i="18"/>
  <c r="C6" i="18"/>
  <c r="E30" i="11" s="1"/>
  <c r="B6" i="18"/>
  <c r="D5" i="18"/>
  <c r="C5" i="18"/>
  <c r="D30" i="11" s="1"/>
  <c r="B5" i="18"/>
  <c r="D4" i="18"/>
  <c r="C4" i="18"/>
  <c r="C30" i="11" s="1"/>
  <c r="B4" i="18"/>
  <c r="D3" i="18"/>
  <c r="C3" i="18"/>
  <c r="B30" i="11" s="1"/>
  <c r="B3" i="18"/>
  <c r="G13" i="17"/>
  <c r="F13" i="17"/>
  <c r="E13" i="17"/>
  <c r="D13" i="17"/>
  <c r="C13" i="17"/>
  <c r="B13" i="17"/>
  <c r="G12" i="17"/>
  <c r="F12" i="17"/>
  <c r="E12" i="17"/>
  <c r="J12" i="17" s="1"/>
  <c r="D12" i="17"/>
  <c r="C12" i="17"/>
  <c r="B12" i="17"/>
  <c r="G11" i="17"/>
  <c r="F11" i="17"/>
  <c r="E11" i="17"/>
  <c r="J11" i="17" s="1"/>
  <c r="D11" i="17"/>
  <c r="C11" i="17"/>
  <c r="B11" i="17"/>
  <c r="F10" i="17"/>
  <c r="E10" i="17"/>
  <c r="D10" i="17"/>
  <c r="C10" i="17"/>
  <c r="B10" i="17"/>
  <c r="G9" i="17"/>
  <c r="F9" i="17"/>
  <c r="D9" i="17"/>
  <c r="C9" i="17"/>
  <c r="B9" i="17"/>
  <c r="F8" i="17"/>
  <c r="D8" i="17"/>
  <c r="C8" i="17"/>
  <c r="B8" i="17"/>
  <c r="F7" i="17"/>
  <c r="D7" i="17"/>
  <c r="C7" i="17"/>
  <c r="B7" i="17"/>
  <c r="F6" i="17"/>
  <c r="D6" i="17"/>
  <c r="C6" i="17"/>
  <c r="B6" i="17"/>
  <c r="F5" i="17"/>
  <c r="D5" i="17"/>
  <c r="C5" i="17"/>
  <c r="B5" i="17"/>
  <c r="F4" i="17"/>
  <c r="D4" i="17"/>
  <c r="C4" i="17"/>
  <c r="B4" i="17"/>
  <c r="J12" i="38"/>
  <c r="I12" i="38"/>
  <c r="H12" i="38"/>
  <c r="G12" i="38"/>
  <c r="F12" i="38"/>
  <c r="E12" i="38"/>
  <c r="J11" i="38"/>
  <c r="I11" i="38"/>
  <c r="H11" i="38"/>
  <c r="G11" i="38"/>
  <c r="F11" i="38"/>
  <c r="E11" i="38"/>
  <c r="J10" i="38"/>
  <c r="I10" i="38"/>
  <c r="H10" i="38"/>
  <c r="G10" i="38"/>
  <c r="F10" i="38"/>
  <c r="E10" i="38"/>
  <c r="J9" i="38"/>
  <c r="I9" i="38"/>
  <c r="H9" i="38"/>
  <c r="G9" i="38"/>
  <c r="F9" i="38"/>
  <c r="E9" i="38"/>
  <c r="J8" i="38"/>
  <c r="I8" i="38"/>
  <c r="H8" i="38"/>
  <c r="G8" i="38"/>
  <c r="F8" i="38"/>
  <c r="E8" i="38"/>
  <c r="J7" i="38"/>
  <c r="I7" i="38"/>
  <c r="H7" i="38"/>
  <c r="G7" i="38"/>
  <c r="F7" i="38"/>
  <c r="E7" i="38"/>
  <c r="J6" i="38"/>
  <c r="I6" i="38"/>
  <c r="H6" i="38"/>
  <c r="G6" i="38"/>
  <c r="F6" i="38"/>
  <c r="E6" i="38"/>
  <c r="J5" i="38"/>
  <c r="I5" i="38"/>
  <c r="H5" i="38"/>
  <c r="G5" i="38"/>
  <c r="F5" i="38"/>
  <c r="E5" i="38"/>
  <c r="J4" i="38"/>
  <c r="I4" i="38"/>
  <c r="H4" i="38"/>
  <c r="G4" i="38"/>
  <c r="F4" i="38"/>
  <c r="E4" i="38"/>
  <c r="J3" i="38"/>
  <c r="I3" i="38"/>
  <c r="H3" i="38"/>
  <c r="G3" i="38"/>
  <c r="F3" i="38"/>
  <c r="E3" i="38"/>
  <c r="B34" i="11" l="1" a="1"/>
  <c r="I34" i="11" s="1"/>
  <c r="B16" i="11" a="1"/>
  <c r="C16" i="11" s="1"/>
  <c r="D40" i="17"/>
  <c r="B29" i="11" a="1"/>
  <c r="E29" i="11" s="1"/>
  <c r="B33" i="11" a="1"/>
  <c r="E33" i="11" s="1"/>
  <c r="B20" i="11" a="1"/>
  <c r="F40" i="17"/>
  <c r="B39" i="11" a="1"/>
  <c r="B24" i="11" a="1"/>
  <c r="L9" i="17"/>
  <c r="L24" i="17" s="1"/>
  <c r="J10" i="17"/>
  <c r="J44" i="17" s="1"/>
  <c r="J57" i="17" s="1"/>
  <c r="J25" i="38"/>
  <c r="J23" i="38"/>
  <c r="H24" i="38"/>
  <c r="J22" i="38"/>
  <c r="H23" i="38"/>
  <c r="F24" i="38"/>
  <c r="J24" i="38"/>
  <c r="H25" i="38"/>
  <c r="J26" i="38"/>
  <c r="H27" i="38"/>
  <c r="H26" i="38"/>
  <c r="E24" i="38"/>
  <c r="G24" i="38"/>
  <c r="E25" i="38"/>
  <c r="E27" i="38"/>
  <c r="J27" i="38"/>
  <c r="H30" i="38"/>
  <c r="J29" i="38"/>
  <c r="C40" i="17"/>
  <c r="H28" i="38"/>
  <c r="F31" i="38"/>
  <c r="E23" i="38"/>
  <c r="F26" i="38"/>
  <c r="G26" i="38"/>
  <c r="D42" i="17"/>
  <c r="F29" i="38"/>
  <c r="J31" i="38"/>
  <c r="D29" i="17"/>
  <c r="D48" i="17"/>
  <c r="J13" i="17"/>
  <c r="J47" i="17" s="1"/>
  <c r="E48" i="17"/>
  <c r="E29" i="17"/>
  <c r="B48" i="17"/>
  <c r="B29" i="17"/>
  <c r="F48" i="17"/>
  <c r="F29" i="17"/>
  <c r="C48" i="17"/>
  <c r="C29" i="17"/>
  <c r="L13" i="17"/>
  <c r="L29" i="17" s="1"/>
  <c r="G48" i="17"/>
  <c r="G29" i="17"/>
  <c r="F23" i="38"/>
  <c r="F25" i="38"/>
  <c r="F27" i="38"/>
  <c r="E28" i="38"/>
  <c r="I28" i="38"/>
  <c r="G29" i="38"/>
  <c r="E30" i="38"/>
  <c r="I30" i="38"/>
  <c r="G31" i="38"/>
  <c r="C25" i="17"/>
  <c r="B26" i="17"/>
  <c r="F46" i="17"/>
  <c r="D47" i="17"/>
  <c r="B28" i="17"/>
  <c r="D41" i="17"/>
  <c r="D54" i="17" s="1"/>
  <c r="D43" i="17"/>
  <c r="E26" i="38"/>
  <c r="B40" i="17"/>
  <c r="G23" i="38"/>
  <c r="G25" i="38"/>
  <c r="G27" i="38"/>
  <c r="I23" i="38"/>
  <c r="I25" i="38"/>
  <c r="I27" i="38"/>
  <c r="G28" i="38"/>
  <c r="E29" i="38"/>
  <c r="I29" i="38"/>
  <c r="G30" i="38"/>
  <c r="E31" i="38"/>
  <c r="I31" i="38"/>
  <c r="I24" i="38"/>
  <c r="I26" i="38"/>
  <c r="F28" i="38"/>
  <c r="J28" i="38"/>
  <c r="H29" i="38"/>
  <c r="F30" i="38"/>
  <c r="J30" i="38"/>
  <c r="H31" i="38"/>
  <c r="J46" i="17"/>
  <c r="C27" i="17"/>
  <c r="B21" i="17"/>
  <c r="B42" i="17"/>
  <c r="B22" i="17"/>
  <c r="B43" i="17"/>
  <c r="B23" i="17"/>
  <c r="B24" i="17"/>
  <c r="C26" i="17"/>
  <c r="J27" i="17"/>
  <c r="C28" i="17"/>
  <c r="C41" i="17"/>
  <c r="C21" i="17"/>
  <c r="C42" i="17"/>
  <c r="C22" i="17"/>
  <c r="C43" i="17"/>
  <c r="C23" i="17"/>
  <c r="C24" i="17"/>
  <c r="B25" i="17"/>
  <c r="B27" i="17"/>
  <c r="C47" i="17"/>
  <c r="C45" i="17"/>
  <c r="E46" i="17"/>
  <c r="B41" i="17"/>
  <c r="F42" i="17"/>
  <c r="F43" i="17"/>
  <c r="B45" i="17"/>
  <c r="F45" i="17"/>
  <c r="D46" i="17"/>
  <c r="B47" i="17"/>
  <c r="F41" i="17"/>
  <c r="F47" i="17"/>
  <c r="F44" i="17"/>
  <c r="D45" i="17"/>
  <c r="B46" i="17"/>
  <c r="C46" i="17"/>
  <c r="E47" i="17"/>
  <c r="C44" i="17"/>
  <c r="D39" i="17"/>
  <c r="D53" i="17" s="1"/>
  <c r="F39" i="17"/>
  <c r="B39" i="17"/>
  <c r="C39" i="17"/>
  <c r="D44" i="17"/>
  <c r="L10" i="17"/>
  <c r="G45" i="17"/>
  <c r="L12" i="17"/>
  <c r="G47" i="17"/>
  <c r="B44" i="17"/>
  <c r="G44" i="17"/>
  <c r="G43" i="17"/>
  <c r="G56" i="17" s="1"/>
  <c r="E45" i="17"/>
  <c r="E44" i="17"/>
  <c r="E57" i="17" s="1"/>
  <c r="L11" i="17"/>
  <c r="G46" i="17"/>
  <c r="C19" i="39"/>
  <c r="D25" i="39"/>
  <c r="D17" i="39" s="1"/>
  <c r="H21" i="39"/>
  <c r="H18" i="39"/>
  <c r="E34" i="11" l="1"/>
  <c r="K16" i="11"/>
  <c r="J34" i="11"/>
  <c r="H34" i="11"/>
  <c r="D16" i="11"/>
  <c r="F29" i="11"/>
  <c r="F34" i="11"/>
  <c r="H16" i="11"/>
  <c r="C34" i="11"/>
  <c r="B16" i="11"/>
  <c r="D34" i="11"/>
  <c r="G16" i="11"/>
  <c r="B34" i="11"/>
  <c r="F16" i="11"/>
  <c r="G34" i="11"/>
  <c r="E16" i="11"/>
  <c r="J29" i="11"/>
  <c r="K34" i="11"/>
  <c r="I16" i="11"/>
  <c r="H29" i="11"/>
  <c r="J16" i="11"/>
  <c r="B29" i="11"/>
  <c r="C29" i="11"/>
  <c r="I29" i="11"/>
  <c r="K29" i="11"/>
  <c r="D29" i="11"/>
  <c r="G29" i="11"/>
  <c r="J26" i="17"/>
  <c r="H33" i="11"/>
  <c r="J45" i="17"/>
  <c r="J58" i="17" s="1"/>
  <c r="J33" i="11"/>
  <c r="C53" i="17"/>
  <c r="F33" i="11"/>
  <c r="I33" i="11"/>
  <c r="L33" i="11"/>
  <c r="K33" i="11"/>
  <c r="M33" i="11"/>
  <c r="C33" i="11"/>
  <c r="B33" i="11"/>
  <c r="G33" i="11"/>
  <c r="D33" i="11"/>
  <c r="E38" i="38"/>
  <c r="F54" i="17"/>
  <c r="J25" i="17"/>
  <c r="F53" i="17"/>
  <c r="C54" i="17"/>
  <c r="H40" i="17"/>
  <c r="E24" i="11"/>
  <c r="K24" i="11"/>
  <c r="H24" i="11"/>
  <c r="J24" i="11"/>
  <c r="F24" i="11"/>
  <c r="B24" i="11"/>
  <c r="G24" i="11"/>
  <c r="D24" i="11"/>
  <c r="C24" i="11"/>
  <c r="I24" i="11"/>
  <c r="B39" i="11"/>
  <c r="D39" i="11"/>
  <c r="G39" i="11"/>
  <c r="J39" i="11"/>
  <c r="K39" i="11"/>
  <c r="C39" i="11"/>
  <c r="F39" i="11"/>
  <c r="H39" i="11"/>
  <c r="I39" i="11"/>
  <c r="E39" i="11"/>
  <c r="D20" i="11"/>
  <c r="E20" i="11"/>
  <c r="F20" i="11"/>
  <c r="H20" i="11"/>
  <c r="B20" i="11"/>
  <c r="G20" i="11"/>
  <c r="I20" i="11"/>
  <c r="C20" i="11"/>
  <c r="J20" i="11"/>
  <c r="K20" i="11"/>
  <c r="E25" i="39"/>
  <c r="E17" i="39" s="1"/>
  <c r="B55" i="17"/>
  <c r="E41" i="38"/>
  <c r="F45" i="38"/>
  <c r="H45" i="38"/>
  <c r="I45" i="38"/>
  <c r="E45" i="38"/>
  <c r="E40" i="38"/>
  <c r="J45" i="38"/>
  <c r="G45" i="38"/>
  <c r="E37" i="38"/>
  <c r="D55" i="17"/>
  <c r="D60" i="17"/>
  <c r="D56" i="17"/>
  <c r="C58" i="17"/>
  <c r="G49" i="17"/>
  <c r="E43" i="38"/>
  <c r="E39" i="38"/>
  <c r="E44" i="38"/>
  <c r="D57" i="17"/>
  <c r="F61" i="17"/>
  <c r="E61" i="17"/>
  <c r="C61" i="17"/>
  <c r="B61" i="17"/>
  <c r="D61" i="17"/>
  <c r="G61" i="17"/>
  <c r="L28" i="17"/>
  <c r="F49" i="17"/>
  <c r="J48" i="17"/>
  <c r="J61" i="17" s="1"/>
  <c r="J29" i="17"/>
  <c r="J28" i="17"/>
  <c r="F59" i="17"/>
  <c r="C56" i="17"/>
  <c r="E42" i="38"/>
  <c r="B53" i="17"/>
  <c r="H39" i="17"/>
  <c r="B54" i="17"/>
  <c r="H41" i="17"/>
  <c r="H42" i="17"/>
  <c r="B59" i="17"/>
  <c r="H46" i="17"/>
  <c r="H45" i="17"/>
  <c r="H44" i="17"/>
  <c r="H47" i="17"/>
  <c r="B56" i="17"/>
  <c r="H43" i="17"/>
  <c r="B57" i="17"/>
  <c r="J60" i="17"/>
  <c r="C55" i="17"/>
  <c r="L27" i="17"/>
  <c r="C57" i="17"/>
  <c r="F55" i="17"/>
  <c r="F56" i="17"/>
  <c r="B60" i="17"/>
  <c r="C59" i="17"/>
  <c r="F57" i="17"/>
  <c r="F58" i="17"/>
  <c r="E60" i="17"/>
  <c r="D59" i="17"/>
  <c r="C60" i="17"/>
  <c r="G59" i="17"/>
  <c r="F60" i="17"/>
  <c r="L26" i="17"/>
  <c r="L25" i="17"/>
  <c r="G58" i="17"/>
  <c r="G57" i="17"/>
  <c r="B58" i="17"/>
  <c r="E58" i="17"/>
  <c r="E59" i="17"/>
  <c r="G60" i="17"/>
  <c r="D58" i="17"/>
  <c r="J59" i="17" l="1"/>
  <c r="F25" i="39"/>
  <c r="F17" i="39" s="1"/>
  <c r="E19" i="39"/>
  <c r="E50" i="38"/>
  <c r="J33" i="17"/>
  <c r="J31" i="17" s="1"/>
  <c r="J15" i="17" s="1"/>
  <c r="L33" i="17"/>
  <c r="C64" i="17"/>
  <c r="C63" i="17" s="1"/>
  <c r="C49" i="17" s="1"/>
  <c r="J64" i="17"/>
  <c r="E63" i="17" s="1"/>
  <c r="E49" i="17" s="1"/>
  <c r="E15" i="17"/>
  <c r="B28" i="11" s="1" a="1"/>
  <c r="D64" i="17"/>
  <c r="D63" i="17" s="1"/>
  <c r="D49" i="17" s="1"/>
  <c r="B64" i="17"/>
  <c r="B63" i="17" s="1"/>
  <c r="F64" i="17"/>
  <c r="E64" i="17"/>
  <c r="G64" i="17"/>
  <c r="L45" i="37"/>
  <c r="K45" i="37"/>
  <c r="J45" i="37"/>
  <c r="I45" i="37"/>
  <c r="H45" i="37"/>
  <c r="G45" i="37"/>
  <c r="F45" i="37"/>
  <c r="L44" i="37"/>
  <c r="K44" i="37"/>
  <c r="J44" i="37"/>
  <c r="I44" i="37"/>
  <c r="H44" i="37"/>
  <c r="G44" i="37"/>
  <c r="F44" i="37"/>
  <c r="E44" i="37"/>
  <c r="L43" i="37"/>
  <c r="K43" i="37"/>
  <c r="J43" i="37"/>
  <c r="I43" i="37"/>
  <c r="H43" i="37"/>
  <c r="G43" i="37"/>
  <c r="F43" i="37"/>
  <c r="E43" i="37"/>
  <c r="D43" i="37"/>
  <c r="L42" i="37"/>
  <c r="K42" i="37"/>
  <c r="J42" i="37"/>
  <c r="I42" i="37"/>
  <c r="H42" i="37"/>
  <c r="G42" i="37"/>
  <c r="F42" i="37"/>
  <c r="E42" i="37"/>
  <c r="D42" i="37"/>
  <c r="C42" i="37"/>
  <c r="L41" i="37"/>
  <c r="K41" i="37"/>
  <c r="J41" i="37"/>
  <c r="I41" i="37"/>
  <c r="H41" i="37"/>
  <c r="G41" i="37"/>
  <c r="F41" i="37"/>
  <c r="E41" i="37"/>
  <c r="D41" i="37"/>
  <c r="C41" i="37"/>
  <c r="B41" i="37"/>
  <c r="B28" i="11" l="1"/>
  <c r="K28" i="11"/>
  <c r="E28" i="11"/>
  <c r="H28" i="11"/>
  <c r="G28" i="11"/>
  <c r="L28" i="11"/>
  <c r="F28" i="11"/>
  <c r="M28" i="11"/>
  <c r="C28" i="11"/>
  <c r="D28" i="11"/>
  <c r="I28" i="11"/>
  <c r="J28" i="11"/>
  <c r="G25" i="39"/>
  <c r="G17" i="39" s="1"/>
  <c r="F19" i="39"/>
  <c r="H25" i="39"/>
  <c r="B49" i="17"/>
  <c r="H49" i="17" s="1"/>
  <c r="H48" i="17"/>
  <c r="L31" i="17"/>
  <c r="G31" i="17" s="1"/>
  <c r="B28" i="37"/>
  <c r="C28" i="37"/>
  <c r="D28" i="37"/>
  <c r="E28" i="37"/>
  <c r="C29" i="37"/>
  <c r="D29" i="37"/>
  <c r="E29" i="37"/>
  <c r="E30" i="37"/>
  <c r="C27" i="37"/>
  <c r="D27" i="37"/>
  <c r="E27" i="37"/>
  <c r="B27" i="37"/>
  <c r="H46" i="37" l="1"/>
  <c r="G46" i="37"/>
  <c r="I46" i="37"/>
  <c r="L15" i="17"/>
  <c r="G15" i="17"/>
  <c r="J46" i="37"/>
  <c r="N6" i="36"/>
  <c r="N9" i="36"/>
  <c r="N10" i="36"/>
  <c r="N11" i="36"/>
  <c r="N12" i="36"/>
  <c r="N13" i="36"/>
  <c r="N14" i="36"/>
  <c r="N15" i="36"/>
  <c r="N16" i="36"/>
  <c r="N17" i="36"/>
  <c r="N18" i="36"/>
  <c r="N20" i="36"/>
  <c r="N22" i="36"/>
  <c r="N23" i="36"/>
  <c r="N24" i="36"/>
  <c r="N25" i="36"/>
  <c r="N26" i="36"/>
  <c r="N27" i="36"/>
  <c r="N28" i="36"/>
  <c r="N29" i="36"/>
  <c r="N30" i="36"/>
  <c r="N32" i="36"/>
  <c r="N34" i="36"/>
  <c r="N35" i="36"/>
  <c r="N36" i="36"/>
  <c r="N37" i="36"/>
  <c r="N38" i="36"/>
  <c r="N39" i="36"/>
  <c r="N40" i="36"/>
  <c r="N41" i="36"/>
  <c r="N42" i="36"/>
  <c r="N45" i="36"/>
  <c r="N46" i="36"/>
  <c r="N47" i="36"/>
  <c r="N48" i="36"/>
  <c r="N49" i="36"/>
  <c r="N50" i="36"/>
  <c r="N51" i="36"/>
  <c r="N52" i="36"/>
  <c r="N53" i="36"/>
  <c r="N54" i="36"/>
  <c r="N56" i="36"/>
  <c r="N58" i="36"/>
  <c r="N59" i="36"/>
  <c r="N60" i="36"/>
  <c r="N61" i="36"/>
  <c r="N62" i="36"/>
  <c r="N63" i="36"/>
  <c r="N64" i="36"/>
  <c r="N65" i="36"/>
  <c r="N66" i="36"/>
  <c r="N68" i="36"/>
  <c r="N70" i="36"/>
  <c r="N71" i="36"/>
  <c r="N72" i="36"/>
  <c r="N73" i="36"/>
  <c r="N74" i="36"/>
  <c r="N75" i="36"/>
  <c r="N76" i="36"/>
  <c r="N77" i="36"/>
  <c r="N78" i="36"/>
  <c r="N80" i="36"/>
  <c r="N82" i="36"/>
  <c r="N83" i="36"/>
  <c r="N84" i="36"/>
  <c r="N85" i="36"/>
  <c r="N86" i="36"/>
  <c r="N87" i="36"/>
  <c r="N88" i="36"/>
  <c r="N89" i="36"/>
  <c r="N90" i="36"/>
  <c r="N92" i="36"/>
  <c r="N94" i="36"/>
  <c r="N95" i="36"/>
  <c r="N96" i="36"/>
  <c r="N97" i="36"/>
  <c r="N98" i="36"/>
  <c r="N99" i="36"/>
  <c r="N100" i="36"/>
  <c r="N101" i="36"/>
  <c r="N102" i="36"/>
  <c r="N104" i="36"/>
  <c r="N106" i="36"/>
  <c r="N107" i="36"/>
  <c r="N108" i="36"/>
  <c r="N109" i="36"/>
  <c r="N110" i="36"/>
  <c r="N111" i="36"/>
  <c r="N112" i="36"/>
  <c r="N113" i="36"/>
  <c r="N114" i="36"/>
  <c r="N116" i="36"/>
  <c r="N118" i="36"/>
  <c r="N119" i="36"/>
  <c r="N120" i="36"/>
  <c r="N121" i="36"/>
  <c r="N122" i="36"/>
  <c r="N123" i="36"/>
  <c r="N124" i="36"/>
  <c r="N125" i="36"/>
  <c r="N126" i="36"/>
  <c r="N128" i="36"/>
  <c r="N130" i="36"/>
  <c r="N131" i="36"/>
  <c r="N132" i="36"/>
  <c r="N133" i="36"/>
  <c r="N134" i="36"/>
  <c r="N135" i="36"/>
  <c r="N136" i="36"/>
  <c r="N137" i="36"/>
  <c r="N138" i="36"/>
  <c r="N141" i="36"/>
  <c r="N142" i="36"/>
  <c r="N143" i="36"/>
  <c r="N144" i="36"/>
  <c r="N145" i="36"/>
  <c r="N146" i="36"/>
  <c r="N147" i="36"/>
  <c r="N148" i="36"/>
  <c r="N149" i="36"/>
  <c r="B38" i="11" l="1" a="1"/>
  <c r="D38" i="11" s="1"/>
  <c r="K46" i="37"/>
  <c r="L46" i="37" s="1"/>
  <c r="F38" i="11"/>
  <c r="B38" i="11"/>
  <c r="G38" i="11"/>
  <c r="N163" i="36"/>
  <c r="N158" i="36"/>
  <c r="N161" i="36"/>
  <c r="N157" i="36"/>
  <c r="N159" i="36"/>
  <c r="N162" i="36"/>
  <c r="N164" i="36"/>
  <c r="N160" i="36"/>
  <c r="N156" i="36"/>
  <c r="N153" i="36"/>
  <c r="C19" i="32"/>
  <c r="D19" i="32"/>
  <c r="E19" i="32"/>
  <c r="B19" i="32"/>
  <c r="H38" i="11" l="1"/>
  <c r="K38" i="11"/>
  <c r="J38" i="11"/>
  <c r="C38" i="11"/>
  <c r="I38" i="11"/>
  <c r="M38" i="11"/>
  <c r="E38" i="11"/>
  <c r="L38" i="11"/>
  <c r="B43" i="11" l="1"/>
  <c r="F43" i="11" l="1"/>
  <c r="D43" i="11"/>
  <c r="C43" i="11"/>
  <c r="I43" i="11"/>
  <c r="J43" i="11"/>
  <c r="E43" i="11"/>
  <c r="G43" i="11"/>
  <c r="H43" i="11"/>
  <c r="K43" i="11"/>
  <c r="H34" i="37" l="1"/>
  <c r="G33" i="37"/>
  <c r="H33" i="37" s="1"/>
  <c r="G21" i="17" l="1"/>
  <c r="G20" i="17"/>
  <c r="G22" i="17"/>
  <c r="F22" i="38"/>
  <c r="E22" i="38"/>
  <c r="B24" i="18" l="1"/>
  <c r="C26" i="18"/>
  <c r="C18" i="18"/>
  <c r="B23" i="18"/>
  <c r="B19" i="18"/>
  <c r="C25" i="18"/>
  <c r="C21" i="18"/>
  <c r="H22" i="38"/>
  <c r="C17" i="18"/>
  <c r="D23" i="18"/>
  <c r="D19" i="18"/>
  <c r="B26" i="18"/>
  <c r="B18" i="18"/>
  <c r="D26" i="18"/>
  <c r="B22" i="18"/>
  <c r="C24" i="18"/>
  <c r="C20" i="18"/>
  <c r="D22" i="18"/>
  <c r="D18" i="18"/>
  <c r="B25" i="18"/>
  <c r="B21" i="18"/>
  <c r="G22" i="38"/>
  <c r="B17" i="18"/>
  <c r="C23" i="18"/>
  <c r="C19" i="18"/>
  <c r="D25" i="18"/>
  <c r="D21" i="18"/>
  <c r="I22" i="38"/>
  <c r="D17" i="18"/>
  <c r="B20" i="18"/>
  <c r="C22" i="18"/>
  <c r="D24" i="18"/>
  <c r="D20" i="18"/>
  <c r="F36" i="38"/>
  <c r="J36" i="38"/>
  <c r="B31" i="18" l="1"/>
  <c r="B29" i="18" s="1"/>
  <c r="D31" i="18"/>
  <c r="D29" i="18" s="1"/>
  <c r="C31" i="18"/>
  <c r="C29" i="18" s="1"/>
  <c r="G36" i="38"/>
  <c r="I36" i="38"/>
  <c r="H36" i="38"/>
  <c r="A33" i="38"/>
  <c r="A32" i="38"/>
  <c r="A31" i="38"/>
  <c r="A30" i="38"/>
  <c r="A29" i="38"/>
  <c r="A28" i="38"/>
  <c r="A27" i="38"/>
  <c r="A26" i="38"/>
  <c r="A25" i="38"/>
  <c r="A24" i="38"/>
  <c r="A23" i="38"/>
  <c r="A22" i="38"/>
  <c r="D16" i="38"/>
  <c r="F39" i="38" l="1"/>
  <c r="G38" i="38"/>
  <c r="D10" i="38"/>
  <c r="I42" i="38"/>
  <c r="D11" i="38"/>
  <c r="H43" i="38"/>
  <c r="J39" i="38"/>
  <c r="D6" i="38"/>
  <c r="D7" i="38"/>
  <c r="E36" i="38"/>
  <c r="E49" i="38" s="1"/>
  <c r="I37" i="38"/>
  <c r="G40" i="38"/>
  <c r="F37" i="38"/>
  <c r="J37" i="38"/>
  <c r="I38" i="38"/>
  <c r="H39" i="38"/>
  <c r="H40" i="38"/>
  <c r="H41" i="38"/>
  <c r="G42" i="38"/>
  <c r="F43" i="38"/>
  <c r="J43" i="38"/>
  <c r="F44" i="38"/>
  <c r="J44" i="38"/>
  <c r="H37" i="38"/>
  <c r="G39" i="38"/>
  <c r="G41" i="38"/>
  <c r="G37" i="38"/>
  <c r="F38" i="38"/>
  <c r="J38" i="38"/>
  <c r="I39" i="38"/>
  <c r="I40" i="38"/>
  <c r="I41" i="38"/>
  <c r="H42" i="38"/>
  <c r="G43" i="38"/>
  <c r="G44" i="38"/>
  <c r="F40" i="38"/>
  <c r="J40" i="38"/>
  <c r="F41" i="38"/>
  <c r="J41" i="38"/>
  <c r="H44" i="38"/>
  <c r="H38" i="38"/>
  <c r="F42" i="38"/>
  <c r="J42" i="38"/>
  <c r="I43" i="38"/>
  <c r="I44" i="38"/>
  <c r="D3" i="38"/>
  <c r="D4" i="38"/>
  <c r="D8" i="38"/>
  <c r="D12" i="38"/>
  <c r="D5" i="38"/>
  <c r="D9" i="38"/>
  <c r="B11" i="11" l="1" a="1"/>
  <c r="C20" i="39" a="1"/>
  <c r="R5" i="38"/>
  <c r="S5" i="38"/>
  <c r="N5" i="38"/>
  <c r="Q5" i="38"/>
  <c r="P5" i="38"/>
  <c r="O5" i="38"/>
  <c r="P7" i="38"/>
  <c r="N7" i="38"/>
  <c r="R7" i="38"/>
  <c r="S7" i="38"/>
  <c r="Q7" i="38"/>
  <c r="O7" i="38"/>
  <c r="Q11" i="38"/>
  <c r="N11" i="38"/>
  <c r="S11" i="38"/>
  <c r="P11" i="38"/>
  <c r="O11" i="38"/>
  <c r="R11" i="38"/>
  <c r="Q3" i="38"/>
  <c r="O3" i="38"/>
  <c r="P3" i="38"/>
  <c r="N3" i="38"/>
  <c r="S3" i="38"/>
  <c r="R3" i="38"/>
  <c r="S8" i="38"/>
  <c r="N8" i="38"/>
  <c r="P8" i="38"/>
  <c r="R8" i="38"/>
  <c r="O8" i="38"/>
  <c r="Q8" i="38"/>
  <c r="P6" i="38"/>
  <c r="S6" i="38"/>
  <c r="Q6" i="38"/>
  <c r="N6" i="38"/>
  <c r="O6" i="38"/>
  <c r="R6" i="38"/>
  <c r="R12" i="38"/>
  <c r="O12" i="38"/>
  <c r="Q12" i="38"/>
  <c r="S12" i="38"/>
  <c r="P12" i="38"/>
  <c r="N12" i="38"/>
  <c r="O9" i="38"/>
  <c r="Q9" i="38"/>
  <c r="S9" i="38"/>
  <c r="R9" i="38"/>
  <c r="N9" i="38"/>
  <c r="P9" i="38"/>
  <c r="S4" i="38"/>
  <c r="Q4" i="38"/>
  <c r="O4" i="38"/>
  <c r="N4" i="38"/>
  <c r="P4" i="38"/>
  <c r="R4" i="38"/>
  <c r="N10" i="38"/>
  <c r="R10" i="38"/>
  <c r="O10" i="38"/>
  <c r="Q10" i="38"/>
  <c r="S10" i="38"/>
  <c r="P10" i="38"/>
  <c r="H49" i="38"/>
  <c r="H47" i="38" s="1"/>
  <c r="G49" i="38"/>
  <c r="G47" i="38" s="1"/>
  <c r="I49" i="38"/>
  <c r="I47" i="38" s="1"/>
  <c r="F49" i="38"/>
  <c r="F47" i="38" s="1"/>
  <c r="I50" i="38"/>
  <c r="J50" i="38"/>
  <c r="F50" i="38"/>
  <c r="G50" i="38"/>
  <c r="H50" i="38"/>
  <c r="J49" i="38"/>
  <c r="J47" i="38" s="1"/>
  <c r="B47" i="11" a="1"/>
  <c r="L11" i="38"/>
  <c r="L12" i="38"/>
  <c r="L9" i="38"/>
  <c r="L8" i="38"/>
  <c r="L7" i="38"/>
  <c r="L5" i="38"/>
  <c r="L6" i="38"/>
  <c r="L4" i="38"/>
  <c r="L10" i="38"/>
  <c r="L51" i="37"/>
  <c r="K50" i="37"/>
  <c r="L50" i="37" s="1"/>
  <c r="J49" i="37"/>
  <c r="J48" i="37"/>
  <c r="K48" i="37" s="1"/>
  <c r="L48" i="37" s="1"/>
  <c r="I48" i="37"/>
  <c r="H48" i="37"/>
  <c r="J47" i="37"/>
  <c r="K47" i="37" s="1"/>
  <c r="L47" i="37" s="1"/>
  <c r="I47" i="37"/>
  <c r="H47" i="37"/>
  <c r="G47" i="37"/>
  <c r="B52" i="37"/>
  <c r="H35" i="37"/>
  <c r="G35" i="37"/>
  <c r="E31" i="37"/>
  <c r="D31" i="37"/>
  <c r="C31" i="37"/>
  <c r="B31" i="37"/>
  <c r="F30" i="37"/>
  <c r="F29" i="37"/>
  <c r="F28" i="37"/>
  <c r="F27" i="37"/>
  <c r="E24" i="37"/>
  <c r="E23" i="37"/>
  <c r="D23" i="37"/>
  <c r="C23" i="37"/>
  <c r="E22" i="37"/>
  <c r="D22" i="37"/>
  <c r="C22" i="37"/>
  <c r="B22" i="37"/>
  <c r="E21" i="37"/>
  <c r="D21" i="37"/>
  <c r="C21" i="37"/>
  <c r="B21" i="37"/>
  <c r="M15" i="37"/>
  <c r="B11" i="11" l="1"/>
  <c r="H11" i="11"/>
  <c r="G11" i="11"/>
  <c r="F11" i="11"/>
  <c r="I11" i="11"/>
  <c r="D11" i="11"/>
  <c r="C11" i="11"/>
  <c r="J11" i="11"/>
  <c r="E11" i="11"/>
  <c r="K11" i="11"/>
  <c r="M4" i="38"/>
  <c r="C20" i="39"/>
  <c r="D20" i="39"/>
  <c r="D22" i="39" s="1"/>
  <c r="F20" i="39"/>
  <c r="F22" i="39" s="1"/>
  <c r="F23" i="39" s="1"/>
  <c r="F27" i="39" s="1"/>
  <c r="E20" i="39"/>
  <c r="E22" i="39" s="1"/>
  <c r="E23" i="39" s="1"/>
  <c r="E27" i="39" s="1"/>
  <c r="G20" i="39"/>
  <c r="M7" i="38"/>
  <c r="M10" i="38"/>
  <c r="M9" i="38"/>
  <c r="M5" i="38"/>
  <c r="F24" i="37"/>
  <c r="M12" i="38"/>
  <c r="M6" i="38"/>
  <c r="M8" i="38"/>
  <c r="M3" i="38"/>
  <c r="M11" i="38"/>
  <c r="K49" i="37"/>
  <c r="L49" i="37" s="1"/>
  <c r="J52" i="38"/>
  <c r="G33" i="38"/>
  <c r="H33" i="38"/>
  <c r="F33" i="38"/>
  <c r="I52" i="38"/>
  <c r="I68" i="38" s="1"/>
  <c r="B25" i="37"/>
  <c r="G22" i="39"/>
  <c r="B47" i="11"/>
  <c r="D47" i="11"/>
  <c r="G47" i="11"/>
  <c r="I47" i="11"/>
  <c r="C47" i="11"/>
  <c r="E47" i="11"/>
  <c r="J47" i="11"/>
  <c r="H47" i="11"/>
  <c r="K47" i="11"/>
  <c r="F47" i="11"/>
  <c r="G3" i="37"/>
  <c r="D25" i="37"/>
  <c r="F22" i="37"/>
  <c r="F23" i="37"/>
  <c r="F31" i="37"/>
  <c r="C52" i="37"/>
  <c r="D52" i="37"/>
  <c r="H52" i="37"/>
  <c r="G52" i="37"/>
  <c r="E52" i="37"/>
  <c r="I52" i="37"/>
  <c r="F52" i="37"/>
  <c r="J52" i="37"/>
  <c r="C25" i="37"/>
  <c r="E25" i="37"/>
  <c r="F21" i="37"/>
  <c r="B57" i="37" l="1"/>
  <c r="D78" i="38" s="1"/>
  <c r="AF59" i="36" s="1"/>
  <c r="B58" i="37"/>
  <c r="D79" i="38" s="1"/>
  <c r="E47" i="38"/>
  <c r="J33" i="38"/>
  <c r="I33" i="38"/>
  <c r="C22" i="39"/>
  <c r="C23" i="39" s="1"/>
  <c r="C27" i="39" s="1"/>
  <c r="H20" i="39"/>
  <c r="H22" i="39" s="1"/>
  <c r="L52" i="37"/>
  <c r="F25" i="37"/>
  <c r="K52" i="37"/>
  <c r="B4" i="37" a="1"/>
  <c r="B11" i="37" s="1"/>
  <c r="J68" i="38"/>
  <c r="AF60" i="36" l="1"/>
  <c r="I53" i="38"/>
  <c r="J53" i="38"/>
  <c r="E33" i="38"/>
  <c r="B13" i="37"/>
  <c r="B14" i="37"/>
  <c r="B12" i="37"/>
  <c r="B6" i="37"/>
  <c r="B5" i="37"/>
  <c r="B10" i="37"/>
  <c r="B8" i="37"/>
  <c r="B7" i="37"/>
  <c r="B9" i="37"/>
  <c r="B4" i="37"/>
  <c r="J69" i="38" l="1"/>
  <c r="I69" i="38"/>
  <c r="C12" i="37"/>
  <c r="C10" i="37"/>
  <c r="C13" i="37"/>
  <c r="D13" i="37" s="1"/>
  <c r="E13" i="37" s="1"/>
  <c r="C14" i="37"/>
  <c r="D14" i="37" s="1"/>
  <c r="E14" i="37" s="1"/>
  <c r="C9" i="37"/>
  <c r="C7" i="37"/>
  <c r="C6" i="37"/>
  <c r="C4" i="37"/>
  <c r="D4" i="37" s="1"/>
  <c r="E4" i="37" s="1"/>
  <c r="C11" i="37"/>
  <c r="C8" i="37"/>
  <c r="C5" i="37"/>
  <c r="B15" i="37"/>
  <c r="F4" i="37" l="1"/>
  <c r="D5" i="37"/>
  <c r="E5" i="37" s="1"/>
  <c r="D6" i="37"/>
  <c r="E6" i="37" s="1"/>
  <c r="D8" i="37"/>
  <c r="E8" i="37" s="1"/>
  <c r="D7" i="37"/>
  <c r="E7" i="37" s="1"/>
  <c r="D10" i="37"/>
  <c r="E10" i="37" s="1"/>
  <c r="D11" i="37"/>
  <c r="E11" i="37" s="1"/>
  <c r="D9" i="37"/>
  <c r="E9" i="37" s="1"/>
  <c r="D12" i="37"/>
  <c r="E12" i="37" s="1"/>
  <c r="G4" i="37" l="1"/>
  <c r="C64" i="37" s="1"/>
  <c r="R18" i="47" s="1"/>
  <c r="E15" i="37"/>
  <c r="C65" i="37" l="1"/>
  <c r="O18" i="36"/>
  <c r="O19" i="36" l="1"/>
  <c r="R19" i="47"/>
  <c r="C66" i="37"/>
  <c r="O20" i="36" l="1"/>
  <c r="R20" i="47"/>
  <c r="C67" i="37"/>
  <c r="O21" i="36" l="1"/>
  <c r="R21" i="47"/>
  <c r="C68" i="37"/>
  <c r="O22" i="36" l="1"/>
  <c r="R22" i="47"/>
  <c r="C69" i="37"/>
  <c r="R23" i="47" s="1"/>
  <c r="C70" i="37" l="1"/>
  <c r="R24" i="47" s="1"/>
  <c r="O23" i="36"/>
  <c r="C71" i="37"/>
  <c r="R25" i="47" s="1"/>
  <c r="O24" i="36" l="1"/>
  <c r="C72" i="37"/>
  <c r="R26" i="47" s="1"/>
  <c r="O25" i="36"/>
  <c r="C73" i="37" l="1"/>
  <c r="R27" i="47" s="1"/>
  <c r="O26" i="36"/>
  <c r="C74" i="37" l="1"/>
  <c r="R28" i="47" s="1"/>
  <c r="O27" i="36"/>
  <c r="C75" i="37" l="1"/>
  <c r="R29" i="47" s="1"/>
  <c r="O28" i="36"/>
  <c r="O29" i="36" l="1"/>
  <c r="E75" i="37"/>
  <c r="F5" i="37" s="1"/>
  <c r="D75" i="37"/>
  <c r="G5" i="37" l="1"/>
  <c r="C76" i="37" s="1"/>
  <c r="R30" i="47" s="1"/>
  <c r="I4" i="37"/>
  <c r="J4" i="37" s="1"/>
  <c r="D76" i="37"/>
  <c r="C77" i="37" l="1"/>
  <c r="O30" i="36"/>
  <c r="C78" i="37" l="1"/>
  <c r="R32" i="47" s="1"/>
  <c r="R31" i="47"/>
  <c r="O31" i="36"/>
  <c r="C79" i="37"/>
  <c r="R33" i="47" s="1"/>
  <c r="O32" i="36"/>
  <c r="C80" i="37" l="1"/>
  <c r="R34" i="47" s="1"/>
  <c r="O33" i="36"/>
  <c r="C81" i="37" l="1"/>
  <c r="R35" i="47" s="1"/>
  <c r="O34" i="36"/>
  <c r="C82" i="37" l="1"/>
  <c r="R36" i="47" s="1"/>
  <c r="O35" i="36"/>
  <c r="C83" i="37" l="1"/>
  <c r="R37" i="47" s="1"/>
  <c r="O36" i="36"/>
  <c r="C84" i="37" l="1"/>
  <c r="R38" i="47" s="1"/>
  <c r="O37" i="36"/>
  <c r="C85" i="37" l="1"/>
  <c r="R39" i="47" s="1"/>
  <c r="O38" i="36"/>
  <c r="C86" i="37" l="1"/>
  <c r="R40" i="47" s="1"/>
  <c r="O39" i="36"/>
  <c r="C87" i="37" l="1"/>
  <c r="R41" i="47" s="1"/>
  <c r="O40" i="36"/>
  <c r="E87" i="37" l="1"/>
  <c r="F6" i="37" s="1"/>
  <c r="G6" i="37" s="1"/>
  <c r="D87" i="37"/>
  <c r="I5" i="37" s="1"/>
  <c r="J5" i="37" s="1"/>
  <c r="O41" i="36"/>
  <c r="C88" i="37" l="1"/>
  <c r="R42" i="47" s="1"/>
  <c r="O42" i="36" l="1"/>
  <c r="C89" i="37"/>
  <c r="R43" i="47" s="1"/>
  <c r="O43" i="36" l="1"/>
  <c r="C90" i="37"/>
  <c r="R44" i="47" s="1"/>
  <c r="O44" i="36" l="1"/>
  <c r="C91" i="37"/>
  <c r="O45" i="36" l="1"/>
  <c r="R45" i="47"/>
  <c r="C92" i="37"/>
  <c r="R46" i="47" s="1"/>
  <c r="C93" i="37" l="1"/>
  <c r="R47" i="47" s="1"/>
  <c r="O46" i="36"/>
  <c r="O47" i="36"/>
  <c r="C94" i="37" l="1"/>
  <c r="R48" i="47" s="1"/>
  <c r="O48" i="36" l="1"/>
  <c r="C95" i="37"/>
  <c r="R49" i="47" s="1"/>
  <c r="C96" i="37"/>
  <c r="R50" i="47" s="1"/>
  <c r="O49" i="36"/>
  <c r="C97" i="37" l="1"/>
  <c r="R51" i="47" s="1"/>
  <c r="O50" i="36"/>
  <c r="C98" i="37" l="1"/>
  <c r="R52" i="47" s="1"/>
  <c r="O51" i="36"/>
  <c r="C99" i="37" l="1"/>
  <c r="R53" i="47" s="1"/>
  <c r="O52" i="36"/>
  <c r="O53" i="36" l="1"/>
  <c r="E99" i="37"/>
  <c r="F7" i="37" s="1"/>
  <c r="G7" i="37" s="1"/>
  <c r="D99" i="37"/>
  <c r="I6" i="37" s="1"/>
  <c r="J6" i="37" s="1"/>
  <c r="C100" i="37" l="1"/>
  <c r="R54" i="47" s="1"/>
  <c r="O54" i="36" l="1"/>
  <c r="C101" i="37"/>
  <c r="R55" i="47" s="1"/>
  <c r="O55" i="36" l="1"/>
  <c r="C102" i="37"/>
  <c r="O56" i="36" l="1"/>
  <c r="R56" i="47"/>
  <c r="C103" i="37"/>
  <c r="C104" i="37" l="1"/>
  <c r="R58" i="47" s="1"/>
  <c r="R57" i="47"/>
  <c r="O57" i="36"/>
  <c r="C105" i="37"/>
  <c r="R59" i="47" s="1"/>
  <c r="O58" i="36"/>
  <c r="O59" i="36" l="1"/>
  <c r="C106" i="37"/>
  <c r="R60" i="47" s="1"/>
  <c r="O60" i="36" l="1"/>
  <c r="C107" i="37"/>
  <c r="R61" i="47" s="1"/>
  <c r="C108" i="37" l="1"/>
  <c r="R62" i="47" s="1"/>
  <c r="O61" i="36"/>
  <c r="C109" i="37" l="1"/>
  <c r="R63" i="47" s="1"/>
  <c r="O62" i="36"/>
  <c r="C110" i="37" l="1"/>
  <c r="R64" i="47" s="1"/>
  <c r="O63" i="36"/>
  <c r="C111" i="37" l="1"/>
  <c r="R65" i="47" s="1"/>
  <c r="O64" i="36"/>
  <c r="E111" i="37" l="1"/>
  <c r="F8" i="37" s="1"/>
  <c r="G8" i="37" s="1"/>
  <c r="D111" i="37"/>
  <c r="I7" i="37" s="1"/>
  <c r="J7" i="37" s="1"/>
  <c r="O65" i="36"/>
  <c r="C112" i="37" l="1"/>
  <c r="R66" i="47" s="1"/>
  <c r="O66" i="36" l="1"/>
  <c r="C113" i="37"/>
  <c r="R67" i="47" s="1"/>
  <c r="O67" i="36" l="1"/>
  <c r="C114" i="37"/>
  <c r="O68" i="36" l="1"/>
  <c r="R68" i="47"/>
  <c r="C115" i="37"/>
  <c r="R69" i="47" s="1"/>
  <c r="O69" i="36" l="1"/>
  <c r="C116" i="37"/>
  <c r="R70" i="47" s="1"/>
  <c r="O70" i="36" l="1"/>
  <c r="C117" i="37"/>
  <c r="O71" i="36" l="1"/>
  <c r="R71" i="47"/>
  <c r="C118" i="37"/>
  <c r="R72" i="47" s="1"/>
  <c r="C119" i="37" l="1"/>
  <c r="R73" i="47" s="1"/>
  <c r="O72" i="36"/>
  <c r="C120" i="37" l="1"/>
  <c r="R74" i="47" s="1"/>
  <c r="O73" i="36"/>
  <c r="O74" i="36"/>
  <c r="C121" i="37" l="1"/>
  <c r="R75" i="47" s="1"/>
  <c r="O75" i="36" l="1"/>
  <c r="C122" i="37"/>
  <c r="R76" i="47" s="1"/>
  <c r="C123" i="37"/>
  <c r="R77" i="47" s="1"/>
  <c r="O76" i="36"/>
  <c r="O77" i="36" l="1"/>
  <c r="E123" i="37"/>
  <c r="F9" i="37" s="1"/>
  <c r="G9" i="37" s="1"/>
  <c r="D123" i="37"/>
  <c r="I8" i="37" s="1"/>
  <c r="J8" i="37" s="1"/>
  <c r="C124" i="37" l="1"/>
  <c r="R78" i="47" s="1"/>
  <c r="O78" i="36" l="1"/>
  <c r="C125" i="37"/>
  <c r="R79" i="47" s="1"/>
  <c r="O79" i="36" l="1"/>
  <c r="C126" i="37"/>
  <c r="O80" i="36" l="1"/>
  <c r="R80" i="47"/>
  <c r="C127" i="37"/>
  <c r="O81" i="36" l="1"/>
  <c r="R81" i="47"/>
  <c r="C128" i="37"/>
  <c r="R82" i="47" s="1"/>
  <c r="O82" i="36" l="1"/>
  <c r="C129" i="37"/>
  <c r="R83" i="47" s="1"/>
  <c r="O83" i="36" l="1"/>
  <c r="C130" i="37"/>
  <c r="R84" i="47" s="1"/>
  <c r="O84" i="36" l="1"/>
  <c r="C131" i="37"/>
  <c r="R85" i="47" s="1"/>
  <c r="O85" i="36" l="1"/>
  <c r="C132" i="37"/>
  <c r="R86" i="47" s="1"/>
  <c r="O86" i="36"/>
  <c r="C133" i="37" l="1"/>
  <c r="R87" i="47" s="1"/>
  <c r="O87" i="36"/>
  <c r="C134" i="37" l="1"/>
  <c r="R88" i="47" s="1"/>
  <c r="C135" i="37" l="1"/>
  <c r="R89" i="47" s="1"/>
  <c r="O88" i="36"/>
  <c r="O89" i="36"/>
  <c r="D135" i="37"/>
  <c r="I9" i="37" s="1"/>
  <c r="J9" i="37" s="1"/>
  <c r="E135" i="37" l="1"/>
  <c r="F10" i="37" s="1"/>
  <c r="G10" i="37" s="1"/>
  <c r="C136" i="37" s="1"/>
  <c r="R90" i="47" s="1"/>
  <c r="O90" i="36" l="1"/>
  <c r="C137" i="37"/>
  <c r="R91" i="47" s="1"/>
  <c r="O91" i="36" l="1"/>
  <c r="C138" i="37"/>
  <c r="O92" i="36" l="1"/>
  <c r="R92" i="47"/>
  <c r="C139" i="37"/>
  <c r="R93" i="47" s="1"/>
  <c r="O93" i="36" l="1"/>
  <c r="C140" i="37"/>
  <c r="R94" i="47" s="1"/>
  <c r="O94" i="36" l="1"/>
  <c r="C141" i="37"/>
  <c r="C142" i="37" l="1"/>
  <c r="R96" i="47" s="1"/>
  <c r="R95" i="47"/>
  <c r="O95" i="36"/>
  <c r="C143" i="37"/>
  <c r="R97" i="47" s="1"/>
  <c r="O96" i="36"/>
  <c r="C144" i="37" l="1"/>
  <c r="R98" i="47" s="1"/>
  <c r="O97" i="36"/>
  <c r="O98" i="36" l="1"/>
  <c r="C145" i="37"/>
  <c r="R99" i="47" s="1"/>
  <c r="C146" i="37" l="1"/>
  <c r="R100" i="47" s="1"/>
  <c r="O99" i="36"/>
  <c r="C147" i="37" l="1"/>
  <c r="R101" i="47" s="1"/>
  <c r="O100" i="36"/>
  <c r="E147" i="37" l="1"/>
  <c r="F11" i="37" s="1"/>
  <c r="G11" i="37" s="1"/>
  <c r="O101" i="36"/>
  <c r="D147" i="37"/>
  <c r="I10" i="37" s="1"/>
  <c r="J10" i="37" s="1"/>
  <c r="C148" i="37" l="1"/>
  <c r="R102" i="47" s="1"/>
  <c r="O102" i="36" l="1"/>
  <c r="C149" i="37"/>
  <c r="C150" i="37" l="1"/>
  <c r="R104" i="47" s="1"/>
  <c r="R103" i="47"/>
  <c r="O103" i="36"/>
  <c r="O104" i="36" l="1"/>
  <c r="C151" i="37"/>
  <c r="R105" i="47" s="1"/>
  <c r="O105" i="36"/>
  <c r="C152" i="37" l="1"/>
  <c r="R106" i="47" s="1"/>
  <c r="O106" i="36" l="1"/>
  <c r="C153" i="37"/>
  <c r="R107" i="47" s="1"/>
  <c r="C154" i="37" l="1"/>
  <c r="R108" i="47" s="1"/>
  <c r="O107" i="36"/>
  <c r="O108" i="36" l="1"/>
  <c r="C155" i="37"/>
  <c r="R109" i="47" s="1"/>
  <c r="C156" i="37"/>
  <c r="R110" i="47" s="1"/>
  <c r="O109" i="36"/>
  <c r="C157" i="37" l="1"/>
  <c r="R111" i="47" s="1"/>
  <c r="O110" i="36"/>
  <c r="C158" i="37" l="1"/>
  <c r="R112" i="47" s="1"/>
  <c r="O111" i="36"/>
  <c r="C159" i="37" l="1"/>
  <c r="R113" i="47" s="1"/>
  <c r="O112" i="36"/>
  <c r="E159" i="37" l="1"/>
  <c r="F12" i="37" s="1"/>
  <c r="G12" i="37" s="1"/>
  <c r="O113" i="36"/>
  <c r="D159" i="37"/>
  <c r="I11" i="37" s="1"/>
  <c r="J11" i="37" s="1"/>
  <c r="C160" i="37" l="1"/>
  <c r="R114" i="47" s="1"/>
  <c r="C161" i="37" l="1"/>
  <c r="O114" i="36"/>
  <c r="C162" i="37" l="1"/>
  <c r="R116" i="47" s="1"/>
  <c r="R115" i="47"/>
  <c r="O115" i="36"/>
  <c r="C163" i="37"/>
  <c r="R117" i="47" s="1"/>
  <c r="O116" i="36"/>
  <c r="C164" i="37" l="1"/>
  <c r="R118" i="47" s="1"/>
  <c r="O117" i="36"/>
  <c r="C165" i="37" l="1"/>
  <c r="R119" i="47" s="1"/>
  <c r="O118" i="36"/>
  <c r="C166" i="37" l="1"/>
  <c r="R120" i="47" s="1"/>
  <c r="O119" i="36"/>
  <c r="C167" i="37" l="1"/>
  <c r="R121" i="47" s="1"/>
  <c r="O120" i="36"/>
  <c r="C168" i="37" l="1"/>
  <c r="R122" i="47" s="1"/>
  <c r="O121" i="36"/>
  <c r="C169" i="37" l="1"/>
  <c r="R123" i="47" s="1"/>
  <c r="O122" i="36"/>
  <c r="O123" i="36" l="1"/>
  <c r="C170" i="37"/>
  <c r="R124" i="47" s="1"/>
  <c r="C171" i="37" l="1"/>
  <c r="R125" i="47" s="1"/>
  <c r="O124" i="36"/>
  <c r="D171" i="37"/>
  <c r="I12" i="37" s="1"/>
  <c r="J12" i="37" s="1"/>
  <c r="O125" i="36" l="1"/>
  <c r="E171" i="37"/>
  <c r="F13" i="37" s="1"/>
  <c r="G13" i="37" s="1"/>
  <c r="C172" i="37" l="1"/>
  <c r="C173" i="37" l="1"/>
  <c r="O127" i="36" s="1"/>
  <c r="O126" i="36"/>
  <c r="C174" i="37"/>
  <c r="C175" i="37" l="1"/>
  <c r="O128" i="36"/>
  <c r="C176" i="37" l="1"/>
  <c r="O129" i="36"/>
  <c r="C177" i="37" l="1"/>
  <c r="O130" i="36"/>
  <c r="C178" i="37" l="1"/>
  <c r="O131" i="36"/>
  <c r="C179" i="37" l="1"/>
  <c r="O132" i="36"/>
  <c r="C180" i="37" l="1"/>
  <c r="O133" i="36"/>
  <c r="C181" i="37" l="1"/>
  <c r="O134" i="36"/>
  <c r="C182" i="37" l="1"/>
  <c r="O135" i="36"/>
  <c r="C183" i="37" l="1"/>
  <c r="O136" i="36"/>
  <c r="E183" i="37" l="1"/>
  <c r="F14" i="37" s="1"/>
  <c r="G14" i="37" s="1"/>
  <c r="O137" i="36"/>
  <c r="D183" i="37"/>
  <c r="I13" i="37" s="1"/>
  <c r="J13" i="37" s="1"/>
  <c r="C184" i="37" l="1"/>
  <c r="C185" i="37" l="1"/>
  <c r="C186" i="37" s="1"/>
  <c r="O138" i="36"/>
  <c r="O139" i="36" l="1"/>
  <c r="O153" i="36"/>
  <c r="O154" i="36"/>
  <c r="O140" i="36"/>
  <c r="C187" i="37"/>
  <c r="O155" i="36" l="1"/>
  <c r="C188" i="37"/>
  <c r="O141" i="36"/>
  <c r="O156" i="36" l="1"/>
  <c r="C189" i="37"/>
  <c r="O142" i="36"/>
  <c r="O157" i="36" l="1"/>
  <c r="C190" i="37"/>
  <c r="O143" i="36"/>
  <c r="O158" i="36" l="1"/>
  <c r="C191" i="37"/>
  <c r="O144" i="36"/>
  <c r="O159" i="36" l="1"/>
  <c r="C192" i="37"/>
  <c r="O145" i="36"/>
  <c r="O160" i="36" l="1"/>
  <c r="C193" i="37"/>
  <c r="O146" i="36"/>
  <c r="O161" i="36" l="1"/>
  <c r="C194" i="37"/>
  <c r="O147" i="36"/>
  <c r="O162" i="36" l="1"/>
  <c r="O148" i="36"/>
  <c r="C195" i="37"/>
  <c r="O163" i="36" l="1"/>
  <c r="D195" i="37"/>
  <c r="I14" i="37" s="1"/>
  <c r="E195" i="37"/>
  <c r="C196" i="37"/>
  <c r="C197" i="37" s="1"/>
  <c r="O149" i="36"/>
  <c r="B7" i="36"/>
  <c r="L7" i="36" s="1"/>
  <c r="L6" i="36"/>
  <c r="O164" i="36" l="1"/>
  <c r="I15" i="37"/>
  <c r="J15" i="37" s="1"/>
  <c r="J14" i="37"/>
  <c r="B8" i="36"/>
  <c r="B9" i="36" l="1"/>
  <c r="L8" i="36"/>
  <c r="B10" i="36" l="1"/>
  <c r="L9" i="36"/>
  <c r="B11" i="36" l="1"/>
  <c r="L10" i="36"/>
  <c r="B12" i="36" l="1"/>
  <c r="L11" i="36"/>
  <c r="B13" i="36" l="1"/>
  <c r="L12" i="36"/>
  <c r="B14" i="36" l="1"/>
  <c r="L13" i="36"/>
  <c r="B15" i="36" l="1"/>
  <c r="L14" i="36"/>
  <c r="B16" i="36" l="1"/>
  <c r="L15" i="36"/>
  <c r="B17" i="36" l="1"/>
  <c r="L16" i="36"/>
  <c r="B18" i="36" l="1"/>
  <c r="L17" i="36"/>
  <c r="B19" i="36" l="1"/>
  <c r="L18" i="36"/>
  <c r="B20" i="36" l="1"/>
  <c r="L19" i="36"/>
  <c r="B21" i="36" l="1"/>
  <c r="L20" i="36"/>
  <c r="B22" i="36" l="1"/>
  <c r="L21" i="36"/>
  <c r="B23" i="36" l="1"/>
  <c r="L22" i="36"/>
  <c r="B24" i="36" l="1"/>
  <c r="L23" i="36"/>
  <c r="B25" i="36" l="1"/>
  <c r="L24" i="36"/>
  <c r="B26" i="36" l="1"/>
  <c r="L25" i="36"/>
  <c r="B27" i="36" l="1"/>
  <c r="L26" i="36"/>
  <c r="B28" i="36" l="1"/>
  <c r="L27" i="36"/>
  <c r="B29" i="36" l="1"/>
  <c r="L28" i="36"/>
  <c r="L29" i="36" l="1"/>
  <c r="B30" i="36"/>
  <c r="B31" i="36" l="1"/>
  <c r="L30" i="36"/>
  <c r="B32" i="36" l="1"/>
  <c r="L31" i="36"/>
  <c r="B33" i="36" l="1"/>
  <c r="L32" i="36"/>
  <c r="B34" i="36" l="1"/>
  <c r="L33" i="36"/>
  <c r="B35" i="36" l="1"/>
  <c r="L34" i="36"/>
  <c r="B36" i="36" l="1"/>
  <c r="L35" i="36"/>
  <c r="B37" i="36" l="1"/>
  <c r="L36" i="36"/>
  <c r="B38" i="36" l="1"/>
  <c r="L37" i="36"/>
  <c r="B39" i="36" l="1"/>
  <c r="L38" i="36"/>
  <c r="B40" i="36" l="1"/>
  <c r="L39" i="36"/>
  <c r="B41" i="36" l="1"/>
  <c r="L40" i="36"/>
  <c r="B42" i="36" l="1"/>
  <c r="L41" i="36"/>
  <c r="B43" i="36" l="1"/>
  <c r="L42" i="36"/>
  <c r="B44" i="36" l="1"/>
  <c r="L43" i="36"/>
  <c r="B45" i="36" l="1"/>
  <c r="L44" i="36"/>
  <c r="B46" i="36" l="1"/>
  <c r="L45" i="36"/>
  <c r="B47" i="36" l="1"/>
  <c r="L46" i="36"/>
  <c r="B48" i="36" l="1"/>
  <c r="L47" i="36"/>
  <c r="B49" i="36" l="1"/>
  <c r="L48" i="36"/>
  <c r="B50" i="36" l="1"/>
  <c r="L49" i="36"/>
  <c r="B51" i="36" l="1"/>
  <c r="L50" i="36"/>
  <c r="B52" i="36" l="1"/>
  <c r="L51" i="36"/>
  <c r="B53" i="36" l="1"/>
  <c r="L52" i="36"/>
  <c r="B54" i="36" l="1"/>
  <c r="L53" i="36"/>
  <c r="B55" i="36" l="1"/>
  <c r="L54" i="36"/>
  <c r="B56" i="36" l="1"/>
  <c r="L55" i="36"/>
  <c r="B57" i="36" l="1"/>
  <c r="L56" i="36"/>
  <c r="B58" i="36" l="1"/>
  <c r="L57" i="36"/>
  <c r="B59" i="36" l="1"/>
  <c r="L58" i="36"/>
  <c r="B60" i="36" l="1"/>
  <c r="L59" i="36"/>
  <c r="B61" i="36" l="1"/>
  <c r="L60" i="36"/>
  <c r="B62" i="36" l="1"/>
  <c r="L61" i="36"/>
  <c r="B63" i="36" l="1"/>
  <c r="L62" i="36"/>
  <c r="B64" i="36" l="1"/>
  <c r="L63" i="36"/>
  <c r="B65" i="36" l="1"/>
  <c r="L64" i="36"/>
  <c r="B66" i="36" l="1"/>
  <c r="L65" i="36"/>
  <c r="B67" i="36" l="1"/>
  <c r="L66" i="36"/>
  <c r="B68" i="36" l="1"/>
  <c r="L67" i="36"/>
  <c r="B69" i="36" l="1"/>
  <c r="L68" i="36"/>
  <c r="B70" i="36" l="1"/>
  <c r="L69" i="36"/>
  <c r="B71" i="36" l="1"/>
  <c r="L70" i="36"/>
  <c r="B72" i="36" l="1"/>
  <c r="L71" i="36"/>
  <c r="B73" i="36" l="1"/>
  <c r="L72" i="36"/>
  <c r="B74" i="36" l="1"/>
  <c r="L73" i="36"/>
  <c r="B75" i="36" l="1"/>
  <c r="L74" i="36"/>
  <c r="B76" i="36" l="1"/>
  <c r="L75" i="36"/>
  <c r="B77" i="36" l="1"/>
  <c r="L76" i="36"/>
  <c r="B78" i="36" l="1"/>
  <c r="L77" i="36"/>
  <c r="B79" i="36" l="1"/>
  <c r="L78" i="36"/>
  <c r="B80" i="36" l="1"/>
  <c r="L79" i="36"/>
  <c r="B81" i="36" l="1"/>
  <c r="L80" i="36"/>
  <c r="B82" i="36" l="1"/>
  <c r="L81" i="36"/>
  <c r="B83" i="36" l="1"/>
  <c r="L82" i="36"/>
  <c r="B84" i="36" l="1"/>
  <c r="L83" i="36"/>
  <c r="B85" i="36" l="1"/>
  <c r="L84" i="36"/>
  <c r="B86" i="36" l="1"/>
  <c r="L85" i="36"/>
  <c r="B87" i="36" l="1"/>
  <c r="L86" i="36"/>
  <c r="B88" i="36" l="1"/>
  <c r="L87" i="36"/>
  <c r="B89" i="36" l="1"/>
  <c r="L88" i="36"/>
  <c r="B90" i="36" l="1"/>
  <c r="L89" i="36"/>
  <c r="B91" i="36" l="1"/>
  <c r="L90" i="36"/>
  <c r="B92" i="36" l="1"/>
  <c r="L91" i="36"/>
  <c r="B93" i="36" l="1"/>
  <c r="L92" i="36"/>
  <c r="B94" i="36" l="1"/>
  <c r="L93" i="36"/>
  <c r="B95" i="36" l="1"/>
  <c r="L94" i="36"/>
  <c r="B96" i="36" l="1"/>
  <c r="L95" i="36"/>
  <c r="B97" i="36" l="1"/>
  <c r="L96" i="36"/>
  <c r="B98" i="36" l="1"/>
  <c r="L97" i="36"/>
  <c r="B99" i="36" l="1"/>
  <c r="L98" i="36"/>
  <c r="B100" i="36" l="1"/>
  <c r="L99" i="36"/>
  <c r="B101" i="36" l="1"/>
  <c r="L100" i="36"/>
  <c r="B102" i="36" l="1"/>
  <c r="L101" i="36"/>
  <c r="B103" i="36" l="1"/>
  <c r="L102" i="36"/>
  <c r="B104" i="36" l="1"/>
  <c r="L103" i="36"/>
  <c r="B105" i="36" l="1"/>
  <c r="L104" i="36"/>
  <c r="B106" i="36" l="1"/>
  <c r="L105" i="36"/>
  <c r="B107" i="36" l="1"/>
  <c r="L106" i="36"/>
  <c r="B108" i="36" l="1"/>
  <c r="L107" i="36"/>
  <c r="B109" i="36" l="1"/>
  <c r="L108" i="36"/>
  <c r="B110" i="36" l="1"/>
  <c r="L109" i="36"/>
  <c r="B111" i="36" l="1"/>
  <c r="L110" i="36"/>
  <c r="B112" i="36" l="1"/>
  <c r="L111" i="36"/>
  <c r="B113" i="36" l="1"/>
  <c r="L112" i="36"/>
  <c r="B114" i="36" l="1"/>
  <c r="L113" i="36"/>
  <c r="B115" i="36" l="1"/>
  <c r="L114" i="36"/>
  <c r="B116" i="36" l="1"/>
  <c r="L115" i="36"/>
  <c r="B117" i="36" l="1"/>
  <c r="L116" i="36"/>
  <c r="B118" i="36" l="1"/>
  <c r="L117" i="36"/>
  <c r="B119" i="36" l="1"/>
  <c r="L118" i="36"/>
  <c r="B120" i="36" l="1"/>
  <c r="L119" i="36"/>
  <c r="B121" i="36" l="1"/>
  <c r="L120" i="36"/>
  <c r="B122" i="36" l="1"/>
  <c r="L121" i="36"/>
  <c r="B123" i="36" l="1"/>
  <c r="L122" i="36"/>
  <c r="B124" i="36" l="1"/>
  <c r="L123" i="36"/>
  <c r="B125" i="36" l="1"/>
  <c r="L124" i="36"/>
  <c r="B126" i="36" l="1"/>
  <c r="L125" i="36"/>
  <c r="B127" i="36" l="1"/>
  <c r="L126" i="36"/>
  <c r="B128" i="36" l="1"/>
  <c r="L127" i="36"/>
  <c r="B129" i="36" l="1"/>
  <c r="L128" i="36"/>
  <c r="B130" i="36" l="1"/>
  <c r="L129" i="36"/>
  <c r="B131" i="36" l="1"/>
  <c r="L131" i="36" s="1"/>
  <c r="L130" i="36"/>
  <c r="B132" i="36" l="1"/>
  <c r="B133" i="36" l="1"/>
  <c r="L132" i="36"/>
  <c r="B134" i="36" l="1"/>
  <c r="L133" i="36"/>
  <c r="B135" i="36" l="1"/>
  <c r="L134" i="36"/>
  <c r="B136" i="36" l="1"/>
  <c r="L135" i="36"/>
  <c r="B137" i="36" l="1"/>
  <c r="L136" i="36"/>
  <c r="B138" i="36" l="1"/>
  <c r="B153" i="36" s="1"/>
  <c r="L137" i="36"/>
  <c r="B139" i="36" l="1"/>
  <c r="B154" i="36" s="1"/>
  <c r="L138" i="36"/>
  <c r="L153" i="36" l="1"/>
  <c r="B140" i="36"/>
  <c r="B155" i="36" s="1"/>
  <c r="L139" i="36"/>
  <c r="L154" i="36" l="1"/>
  <c r="U153" i="36"/>
  <c r="B141" i="36"/>
  <c r="B156" i="36" s="1"/>
  <c r="L140" i="36"/>
  <c r="L155" i="36" l="1"/>
  <c r="B142" i="36"/>
  <c r="B157" i="36" s="1"/>
  <c r="L141" i="36"/>
  <c r="L156" i="36" l="1"/>
  <c r="B143" i="36"/>
  <c r="B158" i="36" s="1"/>
  <c r="L142" i="36"/>
  <c r="L157" i="36" l="1"/>
  <c r="U156" i="36"/>
  <c r="B144" i="36"/>
  <c r="B159" i="36" s="1"/>
  <c r="L143" i="36"/>
  <c r="L158" i="36" l="1"/>
  <c r="U157" i="36"/>
  <c r="B145" i="36"/>
  <c r="B160" i="36" s="1"/>
  <c r="L144" i="36"/>
  <c r="L159" i="36" l="1"/>
  <c r="U158" i="36"/>
  <c r="B146" i="36"/>
  <c r="B161" i="36" s="1"/>
  <c r="L145" i="36"/>
  <c r="L160" i="36" l="1"/>
  <c r="U159" i="36"/>
  <c r="B147" i="36"/>
  <c r="B162" i="36" s="1"/>
  <c r="L146" i="36"/>
  <c r="L161" i="36" l="1"/>
  <c r="U160" i="36"/>
  <c r="B148" i="36"/>
  <c r="B163" i="36" s="1"/>
  <c r="L147" i="36"/>
  <c r="L162" i="36" l="1"/>
  <c r="U161" i="36"/>
  <c r="B149" i="36"/>
  <c r="L148" i="36"/>
  <c r="L163" i="36" l="1"/>
  <c r="U162" i="36"/>
  <c r="L149" i="36"/>
  <c r="B164" i="36"/>
  <c r="K114" i="36"/>
  <c r="K115" i="36"/>
  <c r="K116" i="36"/>
  <c r="K117" i="36"/>
  <c r="K118" i="36"/>
  <c r="K119" i="36"/>
  <c r="K120" i="36"/>
  <c r="K121" i="36"/>
  <c r="K122" i="36"/>
  <c r="K123" i="36"/>
  <c r="K124" i="36"/>
  <c r="K125" i="36"/>
  <c r="J114" i="36"/>
  <c r="J115" i="36"/>
  <c r="J116" i="36"/>
  <c r="J117" i="36"/>
  <c r="J118" i="36"/>
  <c r="J119" i="36"/>
  <c r="J120" i="36"/>
  <c r="J121" i="36"/>
  <c r="J122" i="36"/>
  <c r="J123" i="36"/>
  <c r="J124" i="36"/>
  <c r="J125" i="36"/>
  <c r="K102" i="36"/>
  <c r="K103" i="36"/>
  <c r="K104" i="36"/>
  <c r="K105" i="36"/>
  <c r="K106" i="36"/>
  <c r="K107" i="36"/>
  <c r="K108" i="36"/>
  <c r="K109" i="36"/>
  <c r="K110" i="36"/>
  <c r="K111" i="36"/>
  <c r="K112" i="36"/>
  <c r="K113" i="36"/>
  <c r="J102" i="36"/>
  <c r="J103" i="36"/>
  <c r="J104" i="36"/>
  <c r="J105" i="36"/>
  <c r="J106" i="36"/>
  <c r="J107" i="36"/>
  <c r="J108" i="36"/>
  <c r="J109" i="36"/>
  <c r="J110" i="36"/>
  <c r="J111" i="36"/>
  <c r="J112" i="36"/>
  <c r="J113" i="36"/>
  <c r="K90" i="36"/>
  <c r="K91" i="36"/>
  <c r="K92" i="36"/>
  <c r="K93" i="36"/>
  <c r="K94" i="36"/>
  <c r="K95" i="36"/>
  <c r="K96" i="36"/>
  <c r="K97" i="36"/>
  <c r="K98" i="36"/>
  <c r="K99" i="36"/>
  <c r="K100" i="36"/>
  <c r="K101" i="36"/>
  <c r="J90" i="36"/>
  <c r="J91" i="36"/>
  <c r="J92" i="36"/>
  <c r="J93" i="36"/>
  <c r="J94" i="36"/>
  <c r="J95" i="36"/>
  <c r="J96" i="36"/>
  <c r="J97" i="36"/>
  <c r="J98" i="36"/>
  <c r="J99" i="36"/>
  <c r="J100" i="36"/>
  <c r="J101" i="36"/>
  <c r="K89" i="36"/>
  <c r="K88" i="36"/>
  <c r="K87" i="36"/>
  <c r="K86" i="36"/>
  <c r="K85" i="36"/>
  <c r="K84" i="36"/>
  <c r="K83" i="36"/>
  <c r="K82" i="36"/>
  <c r="K81" i="36"/>
  <c r="K80" i="36"/>
  <c r="K79" i="36"/>
  <c r="K78" i="36"/>
  <c r="J78" i="36"/>
  <c r="J79" i="36"/>
  <c r="J80" i="36"/>
  <c r="J81" i="36"/>
  <c r="J82" i="36"/>
  <c r="J83" i="36"/>
  <c r="J84" i="36"/>
  <c r="J85" i="36"/>
  <c r="J86" i="36"/>
  <c r="J87" i="36"/>
  <c r="J88" i="36"/>
  <c r="J89" i="36"/>
  <c r="K66" i="36"/>
  <c r="K67" i="36"/>
  <c r="K68" i="36"/>
  <c r="K69" i="36"/>
  <c r="K70" i="36"/>
  <c r="K71" i="36"/>
  <c r="K72" i="36"/>
  <c r="K73" i="36"/>
  <c r="K74" i="36"/>
  <c r="K75" i="36"/>
  <c r="K76" i="36"/>
  <c r="K77" i="36"/>
  <c r="J66" i="36"/>
  <c r="J67" i="36"/>
  <c r="J68" i="36"/>
  <c r="J69" i="36"/>
  <c r="J70" i="36"/>
  <c r="J71" i="36"/>
  <c r="J72" i="36"/>
  <c r="J73" i="36"/>
  <c r="J74" i="36"/>
  <c r="J75" i="36"/>
  <c r="J76" i="36"/>
  <c r="J77" i="36"/>
  <c r="K54" i="36"/>
  <c r="K55" i="36"/>
  <c r="K56" i="36"/>
  <c r="K57" i="36"/>
  <c r="K58" i="36"/>
  <c r="K59" i="36"/>
  <c r="K60" i="36"/>
  <c r="K61" i="36"/>
  <c r="K62" i="36"/>
  <c r="K63" i="36"/>
  <c r="K64" i="36"/>
  <c r="K65" i="36"/>
  <c r="J54" i="36"/>
  <c r="J55" i="36"/>
  <c r="J56" i="36"/>
  <c r="J57" i="36"/>
  <c r="J58" i="36"/>
  <c r="J59" i="36"/>
  <c r="J60" i="36"/>
  <c r="J61" i="36"/>
  <c r="J62" i="36"/>
  <c r="J63" i="36"/>
  <c r="J64" i="36"/>
  <c r="J65" i="36"/>
  <c r="K42" i="36"/>
  <c r="K43" i="36"/>
  <c r="K44" i="36"/>
  <c r="K45" i="36"/>
  <c r="K46" i="36"/>
  <c r="K47" i="36"/>
  <c r="K48" i="36"/>
  <c r="K49" i="36"/>
  <c r="K50" i="36"/>
  <c r="K51" i="36"/>
  <c r="K52" i="36"/>
  <c r="K53" i="36"/>
  <c r="J42" i="36"/>
  <c r="U42" i="36" s="1"/>
  <c r="J43" i="36"/>
  <c r="J44" i="36"/>
  <c r="J45" i="36"/>
  <c r="J46" i="36"/>
  <c r="J47" i="36"/>
  <c r="J48" i="36"/>
  <c r="J49" i="36"/>
  <c r="J50" i="36"/>
  <c r="J51" i="36"/>
  <c r="U51" i="36" s="1"/>
  <c r="J52" i="36"/>
  <c r="J53" i="36"/>
  <c r="K30" i="36"/>
  <c r="K31" i="36"/>
  <c r="K32" i="36"/>
  <c r="K33" i="36"/>
  <c r="K34" i="36"/>
  <c r="K35" i="36"/>
  <c r="K36" i="36"/>
  <c r="K37" i="36"/>
  <c r="K38" i="36"/>
  <c r="K39" i="36"/>
  <c r="K40" i="36"/>
  <c r="K41" i="36"/>
  <c r="J30" i="36"/>
  <c r="J31" i="36"/>
  <c r="J32" i="36"/>
  <c r="J33" i="36"/>
  <c r="J34" i="36"/>
  <c r="J35" i="36"/>
  <c r="J36" i="36"/>
  <c r="J37" i="36"/>
  <c r="J38" i="36"/>
  <c r="J39" i="36"/>
  <c r="J40" i="36"/>
  <c r="J41" i="36"/>
  <c r="K18" i="36"/>
  <c r="K19" i="36"/>
  <c r="K20" i="36"/>
  <c r="K21" i="36"/>
  <c r="K22" i="36"/>
  <c r="K23" i="36"/>
  <c r="K24" i="36"/>
  <c r="K25" i="36"/>
  <c r="K26" i="36"/>
  <c r="K27" i="36"/>
  <c r="K28" i="36"/>
  <c r="K29" i="36"/>
  <c r="J18" i="36"/>
  <c r="J19" i="36"/>
  <c r="J20" i="36"/>
  <c r="J21" i="36"/>
  <c r="J22" i="36"/>
  <c r="J23" i="36"/>
  <c r="J24" i="36"/>
  <c r="J25" i="36"/>
  <c r="J26" i="36"/>
  <c r="J27" i="36"/>
  <c r="J28" i="36"/>
  <c r="J29" i="36"/>
  <c r="K6" i="36"/>
  <c r="K7" i="36"/>
  <c r="K8" i="36"/>
  <c r="K9" i="36"/>
  <c r="K10" i="36"/>
  <c r="K11" i="36"/>
  <c r="K12" i="36"/>
  <c r="K13" i="36"/>
  <c r="K14" i="36"/>
  <c r="K15" i="36"/>
  <c r="K16" i="36"/>
  <c r="K17" i="36"/>
  <c r="J6" i="36"/>
  <c r="J7" i="36"/>
  <c r="J8" i="36"/>
  <c r="J9" i="36"/>
  <c r="J10" i="36"/>
  <c r="J11" i="36"/>
  <c r="J12" i="36"/>
  <c r="U12" i="36" s="1"/>
  <c r="J13" i="36"/>
  <c r="U13" i="36" s="1"/>
  <c r="J14" i="36"/>
  <c r="U14" i="36" s="1"/>
  <c r="J15" i="36"/>
  <c r="U15" i="36" s="1"/>
  <c r="J16" i="36"/>
  <c r="U16" i="36" s="1"/>
  <c r="J17" i="36"/>
  <c r="L164" i="36" l="1"/>
  <c r="U163" i="36"/>
  <c r="U18" i="36"/>
  <c r="U6" i="36"/>
  <c r="U50" i="36"/>
  <c r="U11" i="36"/>
  <c r="U52" i="36"/>
  <c r="U49" i="36"/>
  <c r="U53" i="36"/>
  <c r="U48" i="36"/>
  <c r="U47" i="36"/>
  <c r="U46" i="36"/>
  <c r="U9" i="36"/>
  <c r="U17" i="36"/>
  <c r="U45" i="36"/>
  <c r="U10" i="36"/>
  <c r="U149" i="36"/>
  <c r="U137" i="36"/>
  <c r="V137" i="36" s="1"/>
  <c r="W137" i="36" s="1"/>
  <c r="X137" i="36" s="1"/>
  <c r="U145" i="36"/>
  <c r="U133" i="36"/>
  <c r="V133" i="36" s="1"/>
  <c r="W133" i="36" s="1"/>
  <c r="X133" i="36" s="1"/>
  <c r="U141" i="36"/>
  <c r="U148" i="36"/>
  <c r="U136" i="36"/>
  <c r="V136" i="36" s="1"/>
  <c r="W136" i="36" s="1"/>
  <c r="X136" i="36" s="1"/>
  <c r="U144" i="36"/>
  <c r="U132" i="36"/>
  <c r="V132" i="36" s="1"/>
  <c r="W132" i="36" s="1"/>
  <c r="X132" i="36" s="1"/>
  <c r="U128" i="36"/>
  <c r="V128" i="36" s="1"/>
  <c r="W128" i="36" s="1"/>
  <c r="X128" i="36" s="1"/>
  <c r="U147" i="36"/>
  <c r="U135" i="36"/>
  <c r="V135" i="36" s="1"/>
  <c r="W135" i="36" s="1"/>
  <c r="X135" i="36" s="1"/>
  <c r="U143" i="36"/>
  <c r="U131" i="36"/>
  <c r="V131" i="36" s="1"/>
  <c r="W131" i="36" s="1"/>
  <c r="X131" i="36" s="1"/>
  <c r="U146" i="36"/>
  <c r="U134" i="36"/>
  <c r="V134" i="36" s="1"/>
  <c r="W134" i="36" s="1"/>
  <c r="X134" i="36" s="1"/>
  <c r="U142" i="36"/>
  <c r="U130" i="36"/>
  <c r="V130" i="36" s="1"/>
  <c r="W130" i="36" s="1"/>
  <c r="X130" i="36" s="1"/>
  <c r="U138" i="36"/>
  <c r="U126" i="36"/>
  <c r="U164" i="36" l="1"/>
  <c r="V126" i="36"/>
  <c r="W126" i="36" s="1"/>
  <c r="X126" i="36" s="1"/>
  <c r="X19" i="32"/>
  <c r="X37" i="32"/>
  <c r="H77" i="36" l="1"/>
  <c r="H76" i="36"/>
  <c r="H75" i="36"/>
  <c r="H74" i="36"/>
  <c r="H73" i="36"/>
  <c r="H72" i="36"/>
  <c r="H71" i="36"/>
  <c r="H70" i="36"/>
  <c r="H69" i="36"/>
  <c r="H68" i="36"/>
  <c r="H67" i="36"/>
  <c r="H66" i="36"/>
  <c r="H65" i="36"/>
  <c r="H64" i="36"/>
  <c r="H63" i="36"/>
  <c r="H62" i="36"/>
  <c r="H61" i="36"/>
  <c r="H60" i="36"/>
  <c r="H59" i="36"/>
  <c r="H58" i="36"/>
  <c r="H57" i="36"/>
  <c r="H56" i="36"/>
  <c r="H55" i="36"/>
  <c r="H54" i="36"/>
  <c r="H53" i="36"/>
  <c r="H52" i="36"/>
  <c r="H51" i="36"/>
  <c r="H50" i="36"/>
  <c r="H49" i="36"/>
  <c r="H48" i="36"/>
  <c r="H47" i="36"/>
  <c r="H46" i="36"/>
  <c r="H45" i="36"/>
  <c r="H44" i="36"/>
  <c r="H43" i="36"/>
  <c r="H42" i="36"/>
  <c r="H41" i="36"/>
  <c r="H40" i="36"/>
  <c r="H39" i="36"/>
  <c r="H38" i="36"/>
  <c r="H37" i="36"/>
  <c r="H36" i="36"/>
  <c r="H35" i="36"/>
  <c r="H34" i="36"/>
  <c r="H33" i="36"/>
  <c r="H32" i="36"/>
  <c r="H31" i="36"/>
  <c r="H30" i="36"/>
  <c r="H29" i="36"/>
  <c r="H28" i="36"/>
  <c r="H27" i="36"/>
  <c r="H26" i="36"/>
  <c r="H25" i="36"/>
  <c r="H24" i="36"/>
  <c r="H23" i="36"/>
  <c r="H22" i="36"/>
  <c r="H21" i="36"/>
  <c r="H20" i="36"/>
  <c r="H19" i="36"/>
  <c r="AC39" i="36" l="1"/>
  <c r="AC38" i="36"/>
  <c r="H92" i="36"/>
  <c r="H96" i="36"/>
  <c r="H100" i="36"/>
  <c r="H90" i="36"/>
  <c r="AC37" i="36"/>
  <c r="H94" i="36"/>
  <c r="H98" i="36"/>
  <c r="H91" i="36"/>
  <c r="H95" i="36"/>
  <c r="H99" i="36"/>
  <c r="AC36" i="36"/>
  <c r="H93" i="36"/>
  <c r="H97" i="36"/>
  <c r="H101" i="36"/>
  <c r="B5" i="38" l="1"/>
  <c r="B7" i="38"/>
  <c r="B6" i="38"/>
  <c r="B8" i="38"/>
  <c r="AC41" i="36"/>
  <c r="AC42" i="36"/>
  <c r="C8" i="38" l="1"/>
  <c r="C7" i="38"/>
  <c r="K67" i="37" s="1"/>
  <c r="C6" i="38"/>
  <c r="K66" i="37" s="1"/>
  <c r="C5" i="38"/>
  <c r="K65" i="37" s="1"/>
  <c r="B11" i="38"/>
  <c r="B10" i="38"/>
  <c r="K68" i="37" l="1"/>
  <c r="G116" i="37" s="1"/>
  <c r="G76" i="37"/>
  <c r="G77" i="37"/>
  <c r="G78" i="37"/>
  <c r="G79" i="37"/>
  <c r="G80" i="37"/>
  <c r="G81" i="37"/>
  <c r="G82" i="37"/>
  <c r="G83" i="37"/>
  <c r="G84" i="37"/>
  <c r="G85" i="37"/>
  <c r="G86" i="37"/>
  <c r="G87" i="37"/>
  <c r="G88" i="37"/>
  <c r="G89" i="37"/>
  <c r="G90" i="37"/>
  <c r="G91" i="37"/>
  <c r="G92" i="37"/>
  <c r="G93" i="37"/>
  <c r="G94" i="37"/>
  <c r="G95" i="37"/>
  <c r="G96" i="37"/>
  <c r="G97" i="37"/>
  <c r="G98" i="37"/>
  <c r="G99" i="37"/>
  <c r="G100" i="37"/>
  <c r="G101" i="37"/>
  <c r="G102" i="37"/>
  <c r="G103" i="37"/>
  <c r="G104" i="37"/>
  <c r="G105" i="37"/>
  <c r="G106" i="37"/>
  <c r="G107" i="37"/>
  <c r="G108" i="37"/>
  <c r="G109" i="37"/>
  <c r="G110" i="37"/>
  <c r="G111" i="37"/>
  <c r="G112" i="37"/>
  <c r="G113" i="37"/>
  <c r="G114" i="37"/>
  <c r="G115" i="37"/>
  <c r="G117" i="37"/>
  <c r="G118" i="37"/>
  <c r="G119" i="37"/>
  <c r="G120" i="37"/>
  <c r="G121" i="37"/>
  <c r="G122" i="37"/>
  <c r="G123" i="37"/>
  <c r="C10" i="38"/>
  <c r="K70" i="37" s="1"/>
  <c r="C11" i="38"/>
  <c r="K71" i="37" s="1"/>
  <c r="U70" i="36" l="1"/>
  <c r="V70" i="36" s="1"/>
  <c r="W70" i="36" s="1"/>
  <c r="X70" i="36" s="1"/>
  <c r="V46" i="36"/>
  <c r="W46" i="36" s="1"/>
  <c r="X46" i="36" s="1"/>
  <c r="U38" i="36"/>
  <c r="V38" i="36" s="1"/>
  <c r="W38" i="36" s="1"/>
  <c r="X38" i="36" s="1"/>
  <c r="U77" i="36"/>
  <c r="V77" i="36" s="1"/>
  <c r="W77" i="36" s="1"/>
  <c r="X77" i="36" s="1"/>
  <c r="U73" i="36"/>
  <c r="V73" i="36" s="1"/>
  <c r="W73" i="36" s="1"/>
  <c r="X73" i="36" s="1"/>
  <c r="U65" i="36"/>
  <c r="V65" i="36" s="1"/>
  <c r="W65" i="36" s="1"/>
  <c r="X65" i="36" s="1"/>
  <c r="U61" i="36"/>
  <c r="V61" i="36" s="1"/>
  <c r="W61" i="36" s="1"/>
  <c r="X61" i="36" s="1"/>
  <c r="V53" i="36"/>
  <c r="W53" i="36" s="1"/>
  <c r="X53" i="36" s="1"/>
  <c r="V49" i="36"/>
  <c r="W49" i="36" s="1"/>
  <c r="X49" i="36" s="1"/>
  <c r="V45" i="36"/>
  <c r="W45" i="36" s="1"/>
  <c r="X45" i="36" s="1"/>
  <c r="U41" i="36"/>
  <c r="V41" i="36" s="1"/>
  <c r="W41" i="36" s="1"/>
  <c r="X41" i="36" s="1"/>
  <c r="U37" i="36"/>
  <c r="V37" i="36" s="1"/>
  <c r="W37" i="36" s="1"/>
  <c r="X37" i="36" s="1"/>
  <c r="U74" i="36"/>
  <c r="V74" i="36" s="1"/>
  <c r="W74" i="36" s="1"/>
  <c r="X74" i="36" s="1"/>
  <c r="U62" i="36"/>
  <c r="V62" i="36" s="1"/>
  <c r="W62" i="36" s="1"/>
  <c r="X62" i="36" s="1"/>
  <c r="U34" i="36"/>
  <c r="V34" i="36" s="1"/>
  <c r="W34" i="36" s="1"/>
  <c r="X34" i="36" s="1"/>
  <c r="U76" i="36"/>
  <c r="V76" i="36" s="1"/>
  <c r="W76" i="36" s="1"/>
  <c r="X76" i="36" s="1"/>
  <c r="U72" i="36"/>
  <c r="V72" i="36" s="1"/>
  <c r="W72" i="36" s="1"/>
  <c r="X72" i="36" s="1"/>
  <c r="U68" i="36"/>
  <c r="V68" i="36" s="1"/>
  <c r="W68" i="36" s="1"/>
  <c r="X68" i="36" s="1"/>
  <c r="U64" i="36"/>
  <c r="V64" i="36" s="1"/>
  <c r="W64" i="36" s="1"/>
  <c r="X64" i="36" s="1"/>
  <c r="U60" i="36"/>
  <c r="V60" i="36" s="1"/>
  <c r="W60" i="36" s="1"/>
  <c r="X60" i="36" s="1"/>
  <c r="U56" i="36"/>
  <c r="V56" i="36" s="1"/>
  <c r="W56" i="36" s="1"/>
  <c r="X56" i="36" s="1"/>
  <c r="V52" i="36"/>
  <c r="W52" i="36" s="1"/>
  <c r="X52" i="36" s="1"/>
  <c r="V48" i="36"/>
  <c r="W48" i="36" s="1"/>
  <c r="X48" i="36" s="1"/>
  <c r="U40" i="36"/>
  <c r="V40" i="36" s="1"/>
  <c r="W40" i="36" s="1"/>
  <c r="X40" i="36" s="1"/>
  <c r="U36" i="36"/>
  <c r="V36" i="36" s="1"/>
  <c r="W36" i="36" s="1"/>
  <c r="X36" i="36" s="1"/>
  <c r="U32" i="36"/>
  <c r="V32" i="36" s="1"/>
  <c r="W32" i="36" s="1"/>
  <c r="X32" i="36" s="1"/>
  <c r="U58" i="36"/>
  <c r="V58" i="36" s="1"/>
  <c r="W58" i="36" s="1"/>
  <c r="X58" i="36" s="1"/>
  <c r="V50" i="36"/>
  <c r="W50" i="36" s="1"/>
  <c r="X50" i="36" s="1"/>
  <c r="U75" i="36"/>
  <c r="V75" i="36" s="1"/>
  <c r="W75" i="36" s="1"/>
  <c r="X75" i="36" s="1"/>
  <c r="U71" i="36"/>
  <c r="V71" i="36" s="1"/>
  <c r="W71" i="36" s="1"/>
  <c r="X71" i="36" s="1"/>
  <c r="U63" i="36"/>
  <c r="V63" i="36" s="1"/>
  <c r="W63" i="36" s="1"/>
  <c r="X63" i="36" s="1"/>
  <c r="U59" i="36"/>
  <c r="V59" i="36" s="1"/>
  <c r="W59" i="36" s="1"/>
  <c r="X59" i="36" s="1"/>
  <c r="V51" i="36"/>
  <c r="W51" i="36" s="1"/>
  <c r="X51" i="36" s="1"/>
  <c r="V47" i="36"/>
  <c r="W47" i="36" s="1"/>
  <c r="X47" i="36" s="1"/>
  <c r="U39" i="36"/>
  <c r="V39" i="36" s="1"/>
  <c r="W39" i="36" s="1"/>
  <c r="X39" i="36" s="1"/>
  <c r="U35" i="36"/>
  <c r="V35" i="36" s="1"/>
  <c r="W35" i="36" s="1"/>
  <c r="X35" i="36" s="1"/>
  <c r="G136" i="37"/>
  <c r="G137" i="37"/>
  <c r="G138" i="37"/>
  <c r="G139" i="37"/>
  <c r="G140" i="37"/>
  <c r="G141" i="37"/>
  <c r="G142" i="37"/>
  <c r="G143" i="37"/>
  <c r="G144" i="37"/>
  <c r="G145" i="37"/>
  <c r="G146" i="37"/>
  <c r="G147" i="37"/>
  <c r="G148" i="37"/>
  <c r="G149" i="37"/>
  <c r="G150" i="37"/>
  <c r="G151" i="37"/>
  <c r="G152" i="37"/>
  <c r="G153" i="37"/>
  <c r="G154" i="37"/>
  <c r="G155" i="37"/>
  <c r="G156" i="37"/>
  <c r="G157" i="37"/>
  <c r="G158" i="37"/>
  <c r="G159" i="37"/>
  <c r="U66" i="36"/>
  <c r="H123" i="37"/>
  <c r="I123" i="37" s="1"/>
  <c r="U54" i="36"/>
  <c r="H111" i="37"/>
  <c r="I111" i="37" s="1"/>
  <c r="H99" i="37"/>
  <c r="I99" i="37" s="1"/>
  <c r="U30" i="36"/>
  <c r="H87" i="37"/>
  <c r="I87" i="37" s="1"/>
  <c r="U85" i="36" l="1"/>
  <c r="U121" i="36"/>
  <c r="U97" i="36"/>
  <c r="V97" i="36" s="1"/>
  <c r="W97" i="36" s="1"/>
  <c r="X97" i="36" s="1"/>
  <c r="U88" i="36"/>
  <c r="U84" i="36"/>
  <c r="U80" i="36"/>
  <c r="U112" i="36"/>
  <c r="V112" i="36" s="1"/>
  <c r="W112" i="36" s="1"/>
  <c r="X112" i="36" s="1"/>
  <c r="U108" i="36"/>
  <c r="V108" i="36" s="1"/>
  <c r="W108" i="36" s="1"/>
  <c r="X108" i="36" s="1"/>
  <c r="U104" i="36"/>
  <c r="V104" i="36" s="1"/>
  <c r="W104" i="36" s="1"/>
  <c r="X104" i="36" s="1"/>
  <c r="U28" i="36"/>
  <c r="V28" i="36" s="1"/>
  <c r="W28" i="36" s="1"/>
  <c r="X28" i="36" s="1"/>
  <c r="U24" i="36"/>
  <c r="V24" i="36" s="1"/>
  <c r="W24" i="36" s="1"/>
  <c r="X24" i="36" s="1"/>
  <c r="U20" i="36"/>
  <c r="V20" i="36" s="1"/>
  <c r="W20" i="36" s="1"/>
  <c r="X20" i="36" s="1"/>
  <c r="U124" i="36"/>
  <c r="U120" i="36"/>
  <c r="U116" i="36"/>
  <c r="U100" i="36"/>
  <c r="V100" i="36" s="1"/>
  <c r="W100" i="36" s="1"/>
  <c r="X100" i="36" s="1"/>
  <c r="U96" i="36"/>
  <c r="V96" i="36" s="1"/>
  <c r="W96" i="36" s="1"/>
  <c r="X96" i="36" s="1"/>
  <c r="U92" i="36"/>
  <c r="V92" i="36" s="1"/>
  <c r="W92" i="36" s="1"/>
  <c r="X92" i="36" s="1"/>
  <c r="U89" i="36"/>
  <c r="U113" i="36"/>
  <c r="V113" i="36" s="1"/>
  <c r="W113" i="36" s="1"/>
  <c r="X113" i="36" s="1"/>
  <c r="U29" i="36"/>
  <c r="V29" i="36" s="1"/>
  <c r="W29" i="36" s="1"/>
  <c r="X29" i="36" s="1"/>
  <c r="U125" i="36"/>
  <c r="U101" i="36"/>
  <c r="V101" i="36" s="1"/>
  <c r="W101" i="36" s="1"/>
  <c r="X101" i="36" s="1"/>
  <c r="U87" i="36"/>
  <c r="U83" i="36"/>
  <c r="U111" i="36"/>
  <c r="V111" i="36" s="1"/>
  <c r="W111" i="36" s="1"/>
  <c r="X111" i="36" s="1"/>
  <c r="U107" i="36"/>
  <c r="V107" i="36" s="1"/>
  <c r="W107" i="36" s="1"/>
  <c r="X107" i="36" s="1"/>
  <c r="U27" i="36"/>
  <c r="V27" i="36" s="1"/>
  <c r="W27" i="36" s="1"/>
  <c r="X27" i="36" s="1"/>
  <c r="U23" i="36"/>
  <c r="V23" i="36" s="1"/>
  <c r="W23" i="36" s="1"/>
  <c r="X23" i="36" s="1"/>
  <c r="U123" i="36"/>
  <c r="U119" i="36"/>
  <c r="U99" i="36"/>
  <c r="V99" i="36" s="1"/>
  <c r="W99" i="36" s="1"/>
  <c r="X99" i="36" s="1"/>
  <c r="U95" i="36"/>
  <c r="V95" i="36" s="1"/>
  <c r="W95" i="36" s="1"/>
  <c r="X95" i="36" s="1"/>
  <c r="U109" i="36"/>
  <c r="V109" i="36" s="1"/>
  <c r="W109" i="36" s="1"/>
  <c r="X109" i="36" s="1"/>
  <c r="U25" i="36"/>
  <c r="V25" i="36" s="1"/>
  <c r="W25" i="36" s="1"/>
  <c r="X25" i="36" s="1"/>
  <c r="U86" i="36"/>
  <c r="U82" i="36"/>
  <c r="U110" i="36"/>
  <c r="V110" i="36" s="1"/>
  <c r="W110" i="36" s="1"/>
  <c r="X110" i="36" s="1"/>
  <c r="U106" i="36"/>
  <c r="V106" i="36" s="1"/>
  <c r="W106" i="36" s="1"/>
  <c r="X106" i="36" s="1"/>
  <c r="U26" i="36"/>
  <c r="V26" i="36" s="1"/>
  <c r="W26" i="36" s="1"/>
  <c r="X26" i="36" s="1"/>
  <c r="U22" i="36"/>
  <c r="V22" i="36" s="1"/>
  <c r="W22" i="36" s="1"/>
  <c r="X22" i="36" s="1"/>
  <c r="U122" i="36"/>
  <c r="U118" i="36"/>
  <c r="U98" i="36"/>
  <c r="V98" i="36" s="1"/>
  <c r="W98" i="36" s="1"/>
  <c r="X98" i="36" s="1"/>
  <c r="U94" i="36"/>
  <c r="V94" i="36" s="1"/>
  <c r="W94" i="36" s="1"/>
  <c r="X94" i="36" s="1"/>
  <c r="V30" i="36"/>
  <c r="W30" i="36" s="1"/>
  <c r="X30" i="36" s="1"/>
  <c r="V54" i="36"/>
  <c r="W54" i="36" s="1"/>
  <c r="X54" i="36" s="1"/>
  <c r="V42" i="36"/>
  <c r="W42" i="36" s="1"/>
  <c r="X42" i="36" s="1"/>
  <c r="V66" i="36"/>
  <c r="W66" i="36" s="1"/>
  <c r="X66" i="36" s="1"/>
  <c r="U78" i="36"/>
  <c r="U102" i="36"/>
  <c r="H159" i="37"/>
  <c r="I159" i="37" s="1"/>
  <c r="U90" i="36"/>
  <c r="H147" i="37"/>
  <c r="I147" i="37" s="1"/>
  <c r="V90" i="36" l="1"/>
  <c r="W90" i="36" s="1"/>
  <c r="X90" i="36" s="1"/>
  <c r="U114" i="36"/>
  <c r="V102" i="36"/>
  <c r="W102" i="36" s="1"/>
  <c r="X102" i="36" s="1"/>
  <c r="R37" i="32" l="1"/>
  <c r="R19" i="32"/>
  <c r="Q37" i="32"/>
  <c r="Q19" i="32"/>
  <c r="P37" i="32"/>
  <c r="P19" i="32"/>
  <c r="O37" i="32"/>
  <c r="O19" i="32"/>
  <c r="N37" i="32"/>
  <c r="N19" i="32"/>
  <c r="M37" i="32"/>
  <c r="M19" i="32"/>
  <c r="L19" i="32"/>
  <c r="J37" i="32"/>
  <c r="I37" i="32"/>
  <c r="I19" i="32"/>
  <c r="H19" i="32"/>
  <c r="G37" i="32"/>
  <c r="G19" i="32"/>
  <c r="F19" i="32"/>
  <c r="E37" i="32"/>
  <c r="C37" i="32"/>
  <c r="F37" i="32"/>
  <c r="D37" i="32"/>
  <c r="K19" i="32"/>
  <c r="J19" i="32"/>
  <c r="L37" i="32" l="1"/>
  <c r="K37" i="32"/>
  <c r="H37" i="32"/>
  <c r="B37" i="32"/>
  <c r="G23" i="17" l="1"/>
  <c r="G24" i="17"/>
  <c r="G25" i="17"/>
  <c r="G26" i="17"/>
  <c r="G27" i="17"/>
  <c r="G28" i="17"/>
  <c r="G33" i="17" l="1"/>
  <c r="H9" i="17"/>
  <c r="H5" i="17"/>
  <c r="H8" i="17"/>
  <c r="H7" i="17"/>
  <c r="H4" i="17"/>
  <c r="H6" i="17"/>
  <c r="H10" i="17"/>
  <c r="I10" i="17" l="1"/>
  <c r="I6" i="17"/>
  <c r="I8" i="17"/>
  <c r="I5" i="17"/>
  <c r="I9" i="17"/>
  <c r="I7" i="17"/>
  <c r="H13" i="17"/>
  <c r="H11" i="17"/>
  <c r="I11" i="17" s="1"/>
  <c r="H12" i="17"/>
  <c r="F25" i="17"/>
  <c r="E25" i="17"/>
  <c r="C20" i="17"/>
  <c r="C33" i="17" s="1"/>
  <c r="D21" i="17"/>
  <c r="D20" i="17"/>
  <c r="D23" i="17"/>
  <c r="D24" i="17"/>
  <c r="E20" i="17"/>
  <c r="E21" i="17"/>
  <c r="E22" i="17"/>
  <c r="E23" i="17"/>
  <c r="F20" i="17"/>
  <c r="F21" i="17"/>
  <c r="F22" i="17"/>
  <c r="F23" i="17"/>
  <c r="F24" i="17"/>
  <c r="D22" i="17"/>
  <c r="B20" i="17"/>
  <c r="B33" i="17" s="1"/>
  <c r="F28" i="17"/>
  <c r="E4" i="18"/>
  <c r="D28" i="17"/>
  <c r="I12" i="17" l="1"/>
  <c r="I13" i="17"/>
  <c r="S19" i="32"/>
  <c r="T19" i="32"/>
  <c r="U19" i="32"/>
  <c r="T37" i="32"/>
  <c r="U37" i="32"/>
  <c r="C52" i="11"/>
  <c r="D52" i="11"/>
  <c r="B52" i="11"/>
  <c r="E12" i="18"/>
  <c r="E10" i="18"/>
  <c r="E7" i="18"/>
  <c r="E9" i="18"/>
  <c r="E8" i="18"/>
  <c r="D25" i="17"/>
  <c r="F26" i="17"/>
  <c r="F27" i="17"/>
  <c r="E6" i="18"/>
  <c r="E3" i="18"/>
  <c r="D26" i="17"/>
  <c r="D27" i="17"/>
  <c r="E27" i="17"/>
  <c r="E28" i="17"/>
  <c r="E11" i="18"/>
  <c r="E26" i="17"/>
  <c r="V20" i="32" l="1"/>
  <c r="D33" i="17"/>
  <c r="E33" i="17"/>
  <c r="F33" i="17"/>
  <c r="G52" i="11"/>
  <c r="Y37" i="32"/>
  <c r="Y19" i="32"/>
  <c r="S37" i="32"/>
  <c r="V38" i="32" s="1"/>
  <c r="F52" i="11"/>
  <c r="E52" i="11"/>
  <c r="C31" i="17"/>
  <c r="C15" i="17" s="1"/>
  <c r="B31" i="17"/>
  <c r="B15" i="17" s="1"/>
  <c r="E5" i="18"/>
  <c r="B19" i="11" l="1" a="1"/>
  <c r="J19" i="11" s="1"/>
  <c r="B15" i="11" a="1"/>
  <c r="D15" i="11" s="1"/>
  <c r="E19" i="11"/>
  <c r="C19" i="11"/>
  <c r="F19" i="11"/>
  <c r="I19" i="11"/>
  <c r="B19" i="11"/>
  <c r="M19" i="11"/>
  <c r="K19" i="11"/>
  <c r="G19" i="11"/>
  <c r="F15" i="11"/>
  <c r="E15" i="11"/>
  <c r="E52" i="38"/>
  <c r="F52" i="38"/>
  <c r="W37" i="32"/>
  <c r="W19" i="32"/>
  <c r="D31" i="17"/>
  <c r="D15" i="17" s="1"/>
  <c r="H52" i="11"/>
  <c r="K52" i="11"/>
  <c r="I52" i="11"/>
  <c r="J52" i="11"/>
  <c r="H15" i="11" l="1"/>
  <c r="I15" i="11"/>
  <c r="J15" i="11"/>
  <c r="L19" i="11"/>
  <c r="G15" i="11"/>
  <c r="L15" i="11"/>
  <c r="B15" i="11"/>
  <c r="B23" i="11" a="1"/>
  <c r="I23" i="11" s="1"/>
  <c r="M15" i="11"/>
  <c r="K15" i="11"/>
  <c r="C15" i="11"/>
  <c r="D19" i="11"/>
  <c r="H19" i="11"/>
  <c r="C23" i="11"/>
  <c r="F53" i="38"/>
  <c r="H53" i="38"/>
  <c r="H52" i="38"/>
  <c r="H68" i="38" s="1"/>
  <c r="F68" i="38"/>
  <c r="E68" i="38"/>
  <c r="E53" i="38"/>
  <c r="H23" i="11" l="1"/>
  <c r="H42" i="11" s="1"/>
  <c r="K23" i="11"/>
  <c r="L23" i="11"/>
  <c r="F23" i="11"/>
  <c r="F42" i="11" s="1"/>
  <c r="J23" i="11"/>
  <c r="J42" i="11" s="1"/>
  <c r="M23" i="11"/>
  <c r="M42" i="11" s="1"/>
  <c r="B23" i="11"/>
  <c r="B42" i="11" s="1"/>
  <c r="C42" i="11"/>
  <c r="G23" i="11"/>
  <c r="G42" i="11" s="1"/>
  <c r="D23" i="11"/>
  <c r="D42" i="11" s="1"/>
  <c r="E23" i="11"/>
  <c r="E42" i="11" s="1"/>
  <c r="K42" i="11"/>
  <c r="I42" i="11"/>
  <c r="L42" i="11"/>
  <c r="E69" i="38"/>
  <c r="F69" i="38"/>
  <c r="H69" i="38"/>
  <c r="H15" i="17"/>
  <c r="G52" i="38"/>
  <c r="H14" i="17"/>
  <c r="I14" i="17" s="1"/>
  <c r="O42" i="11" l="1"/>
  <c r="I15" i="17"/>
  <c r="B46" i="11" a="1"/>
  <c r="B46" i="11" s="1"/>
  <c r="G53" i="38"/>
  <c r="G68" i="38"/>
  <c r="D52" i="38"/>
  <c r="G69" i="38" l="1"/>
  <c r="K69" i="38" s="1"/>
  <c r="D46" i="11"/>
  <c r="F46" i="11"/>
  <c r="H46" i="11"/>
  <c r="K46" i="11"/>
  <c r="C46" i="11"/>
  <c r="L46" i="11"/>
  <c r="E46" i="11"/>
  <c r="M46" i="11"/>
  <c r="G46" i="11"/>
  <c r="J46" i="11"/>
  <c r="I46" i="11"/>
  <c r="D53" i="38"/>
  <c r="K68" i="38"/>
  <c r="D51" i="11" l="1"/>
  <c r="C51" i="11"/>
  <c r="G51" i="11"/>
  <c r="E51" i="11"/>
  <c r="F51" i="11"/>
  <c r="H51" i="11"/>
  <c r="B51" i="11"/>
  <c r="K51" i="11" l="1"/>
  <c r="J51" i="11"/>
  <c r="M51" i="11"/>
  <c r="L51" i="11"/>
  <c r="I51" i="11"/>
  <c r="N44" i="36"/>
  <c r="N140" i="36"/>
  <c r="N8" i="36"/>
  <c r="U8" i="36" s="1"/>
  <c r="N105" i="36"/>
  <c r="U105" i="36" s="1"/>
  <c r="V105" i="36" s="1"/>
  <c r="W105" i="36" s="1"/>
  <c r="X105" i="36" s="1"/>
  <c r="U44" i="36" l="1"/>
  <c r="V44" i="36" s="1"/>
  <c r="W44" i="36" s="1"/>
  <c r="X44" i="36" s="1"/>
  <c r="N155" i="36"/>
  <c r="U140" i="36"/>
  <c r="U155" i="36" l="1"/>
  <c r="N115" i="36"/>
  <c r="N103" i="36"/>
  <c r="U103" i="36" s="1"/>
  <c r="N91" i="36"/>
  <c r="U91" i="36" s="1"/>
  <c r="N79" i="36"/>
  <c r="U79" i="36" s="1"/>
  <c r="N67" i="36"/>
  <c r="U67" i="36" s="1"/>
  <c r="N55" i="36"/>
  <c r="U55" i="36" s="1"/>
  <c r="N43" i="36"/>
  <c r="U43" i="36" s="1"/>
  <c r="N31" i="36"/>
  <c r="U31" i="36" s="1"/>
  <c r="N7" i="36"/>
  <c r="U7" i="36" s="1"/>
  <c r="N139" i="36"/>
  <c r="N19" i="36"/>
  <c r="U19" i="36" s="1"/>
  <c r="N127" i="36"/>
  <c r="U127" i="36" s="1"/>
  <c r="V127" i="36" l="1"/>
  <c r="W127" i="36" s="1"/>
  <c r="X127" i="36" s="1"/>
  <c r="V19" i="36"/>
  <c r="W19" i="36" s="1"/>
  <c r="X19" i="36" s="1"/>
  <c r="N154" i="36"/>
  <c r="U139" i="36"/>
  <c r="AB34" i="36"/>
  <c r="V31" i="36"/>
  <c r="W31" i="36" s="1"/>
  <c r="X31" i="36" s="1"/>
  <c r="V43" i="36"/>
  <c r="W43" i="36" s="1"/>
  <c r="X43" i="36" s="1"/>
  <c r="AB37" i="36"/>
  <c r="V55" i="36"/>
  <c r="W55" i="36" s="1"/>
  <c r="X55" i="36" s="1"/>
  <c r="V67" i="36"/>
  <c r="W67" i="36" s="1"/>
  <c r="X67" i="36" s="1"/>
  <c r="V91" i="36"/>
  <c r="W91" i="36" s="1"/>
  <c r="X91" i="36" s="1"/>
  <c r="V103" i="36"/>
  <c r="W103" i="36" s="1"/>
  <c r="X103" i="36" s="1"/>
  <c r="AB42" i="36"/>
  <c r="U115" i="36"/>
  <c r="AB45" i="36" l="1"/>
  <c r="AB46" i="36" s="1"/>
  <c r="U154" i="36"/>
  <c r="AC60" i="36"/>
  <c r="M6" i="11" s="1"/>
  <c r="N81" i="36"/>
  <c r="U81" i="36" s="1"/>
  <c r="N33" i="36"/>
  <c r="U33" i="36" s="1"/>
  <c r="N69" i="36"/>
  <c r="U69" i="36" s="1"/>
  <c r="N129" i="36"/>
  <c r="U129" i="36" s="1"/>
  <c r="AE37" i="36"/>
  <c r="AF37" i="36" s="1"/>
  <c r="AD37" i="36"/>
  <c r="N117" i="36"/>
  <c r="N21" i="36"/>
  <c r="U21" i="36" s="1"/>
  <c r="N93" i="36"/>
  <c r="U93" i="36" s="1"/>
  <c r="AD42" i="36"/>
  <c r="AE42" i="36"/>
  <c r="AF42" i="36" s="1"/>
  <c r="N57" i="36"/>
  <c r="U57" i="36" s="1"/>
  <c r="U166" i="36" l="1"/>
  <c r="AB66" i="36" s="1"/>
  <c r="AB47" i="36"/>
  <c r="B14" i="38"/>
  <c r="V129" i="36"/>
  <c r="W129" i="36" s="1"/>
  <c r="X129" i="36" s="1"/>
  <c r="AB44" i="36"/>
  <c r="AC59" i="36" s="1"/>
  <c r="AD60" i="36" s="1"/>
  <c r="AB40" i="36"/>
  <c r="V21" i="36"/>
  <c r="AB35" i="36"/>
  <c r="U117" i="36"/>
  <c r="U151" i="36" s="1"/>
  <c r="V33" i="36"/>
  <c r="W33" i="36" s="1"/>
  <c r="X33" i="36" s="1"/>
  <c r="AB36" i="36"/>
  <c r="V69" i="36"/>
  <c r="W69" i="36" s="1"/>
  <c r="X69" i="36" s="1"/>
  <c r="AB39" i="36"/>
  <c r="V57" i="36"/>
  <c r="W57" i="36" s="1"/>
  <c r="X57" i="36" s="1"/>
  <c r="AB38" i="36"/>
  <c r="V93" i="36"/>
  <c r="W93" i="36" s="1"/>
  <c r="X93" i="36" s="1"/>
  <c r="AB41" i="36"/>
  <c r="AD44" i="36" l="1"/>
  <c r="AE44" i="36"/>
  <c r="AF44" i="36" s="1"/>
  <c r="AE41" i="36"/>
  <c r="AF41" i="36" s="1"/>
  <c r="AD41" i="36"/>
  <c r="AB43" i="36"/>
  <c r="AE38" i="36"/>
  <c r="AF38" i="36" s="1"/>
  <c r="AD38" i="36"/>
  <c r="AD39" i="36"/>
  <c r="AE39" i="36"/>
  <c r="AF39" i="36" s="1"/>
  <c r="AE36" i="36"/>
  <c r="AF36" i="36" s="1"/>
  <c r="AD36" i="36"/>
  <c r="W21" i="36"/>
  <c r="X21" i="36" s="1"/>
  <c r="B6" i="11" l="1" a="1"/>
  <c r="B6" i="11" l="1"/>
  <c r="E6" i="11"/>
  <c r="D6" i="11"/>
  <c r="K6" i="11"/>
  <c r="G6" i="11"/>
  <c r="I6" i="11"/>
  <c r="H6" i="11"/>
  <c r="C6" i="11"/>
  <c r="J6" i="11"/>
  <c r="F6" i="11"/>
  <c r="H18" i="36"/>
  <c r="H8" i="36"/>
  <c r="H13" i="36"/>
  <c r="H6" i="36"/>
  <c r="H7" i="36"/>
  <c r="H12" i="36"/>
  <c r="H17" i="36"/>
  <c r="H10" i="36"/>
  <c r="H11" i="36"/>
  <c r="H16" i="36"/>
  <c r="H14" i="36"/>
  <c r="H15" i="36"/>
  <c r="H9" i="36"/>
  <c r="V15" i="36" l="1"/>
  <c r="W15" i="36" s="1"/>
  <c r="X15" i="36" s="1"/>
  <c r="V10" i="36"/>
  <c r="W10" i="36" s="1"/>
  <c r="X10" i="36" s="1"/>
  <c r="V11" i="36"/>
  <c r="W11" i="36" s="1"/>
  <c r="X11" i="36" s="1"/>
  <c r="V7" i="36"/>
  <c r="W7" i="36" s="1"/>
  <c r="X7" i="36" s="1"/>
  <c r="V16" i="36"/>
  <c r="W16" i="36" s="1"/>
  <c r="X16" i="36" s="1"/>
  <c r="V12" i="36"/>
  <c r="W12" i="36" s="1"/>
  <c r="X12" i="36" s="1"/>
  <c r="V8" i="36"/>
  <c r="W8" i="36" s="1"/>
  <c r="X8" i="36" s="1"/>
  <c r="V9" i="36"/>
  <c r="W9" i="36" s="1"/>
  <c r="X9" i="36" s="1"/>
  <c r="V14" i="36"/>
  <c r="W14" i="36" s="1"/>
  <c r="X14" i="36" s="1"/>
  <c r="V17" i="36"/>
  <c r="W17" i="36" s="1"/>
  <c r="X17" i="36" s="1"/>
  <c r="V13" i="36"/>
  <c r="W13" i="36" s="1"/>
  <c r="X13" i="36" s="1"/>
  <c r="AC34" i="36"/>
  <c r="V6" i="36"/>
  <c r="W6" i="36" s="1"/>
  <c r="X6" i="36" s="1"/>
  <c r="V18" i="36"/>
  <c r="W18" i="36" s="1"/>
  <c r="X18" i="36" s="1"/>
  <c r="AC35" i="36"/>
  <c r="H115" i="36" l="1"/>
  <c r="B3" i="38"/>
  <c r="C3" i="38" s="1"/>
  <c r="AE34" i="36"/>
  <c r="AF34" i="36" s="1"/>
  <c r="AD34" i="36"/>
  <c r="B4" i="38"/>
  <c r="C4" i="38" s="1"/>
  <c r="AE35" i="36"/>
  <c r="AF35" i="36" s="1"/>
  <c r="AD35" i="36"/>
  <c r="V115" i="36" l="1"/>
  <c r="W115" i="36" s="1"/>
  <c r="X115" i="36" s="1"/>
  <c r="K64" i="37"/>
  <c r="G68" i="37" s="1"/>
  <c r="H117" i="36"/>
  <c r="H116" i="36"/>
  <c r="H121" i="36"/>
  <c r="H120" i="36"/>
  <c r="H125" i="36"/>
  <c r="H119" i="36"/>
  <c r="H124" i="36"/>
  <c r="H123" i="36"/>
  <c r="H118" i="36"/>
  <c r="H122" i="36"/>
  <c r="G64" i="37" l="1"/>
  <c r="G67" i="37"/>
  <c r="G70" i="37"/>
  <c r="G66" i="37"/>
  <c r="G75" i="37"/>
  <c r="G73" i="37"/>
  <c r="G69" i="37"/>
  <c r="G65" i="37"/>
  <c r="G71" i="37"/>
  <c r="G74" i="37"/>
  <c r="G72" i="37"/>
  <c r="V118" i="36"/>
  <c r="W118" i="36" s="1"/>
  <c r="X118" i="36" s="1"/>
  <c r="V121" i="36"/>
  <c r="W121" i="36" s="1"/>
  <c r="X121" i="36" s="1"/>
  <c r="V122" i="36"/>
  <c r="W122" i="36" s="1"/>
  <c r="X122" i="36" s="1"/>
  <c r="V120" i="36"/>
  <c r="W120" i="36" s="1"/>
  <c r="X120" i="36" s="1"/>
  <c r="V117" i="36"/>
  <c r="W117" i="36" s="1"/>
  <c r="X117" i="36" s="1"/>
  <c r="V125" i="36"/>
  <c r="W125" i="36" s="1"/>
  <c r="X125" i="36" s="1"/>
  <c r="V123" i="36"/>
  <c r="W123" i="36" s="1"/>
  <c r="X123" i="36" s="1"/>
  <c r="V119" i="36"/>
  <c r="W119" i="36" s="1"/>
  <c r="X119" i="36" s="1"/>
  <c r="V116" i="36"/>
  <c r="W116" i="36" s="1"/>
  <c r="X116" i="36" s="1"/>
  <c r="H114" i="36"/>
  <c r="V124" i="36"/>
  <c r="W124" i="36" s="1"/>
  <c r="X124" i="36" s="1"/>
  <c r="G19" i="39" l="1"/>
  <c r="G23" i="39" s="1"/>
  <c r="G27" i="39" s="1"/>
  <c r="H75" i="37"/>
  <c r="I75" i="37" s="1"/>
  <c r="AC43" i="36"/>
  <c r="V114" i="36"/>
  <c r="W114" i="36" s="1"/>
  <c r="X114" i="36" s="1"/>
  <c r="H86" i="36"/>
  <c r="H80" i="36"/>
  <c r="H85" i="36"/>
  <c r="H79" i="36"/>
  <c r="H84" i="36"/>
  <c r="H83" i="36"/>
  <c r="H88" i="36"/>
  <c r="H89" i="36"/>
  <c r="H78" i="36"/>
  <c r="H82" i="36"/>
  <c r="H87" i="36"/>
  <c r="H81" i="36"/>
  <c r="V89" i="36" l="1"/>
  <c r="W89" i="36" s="1"/>
  <c r="X89" i="36" s="1"/>
  <c r="V79" i="36"/>
  <c r="W79" i="36" s="1"/>
  <c r="X79" i="36" s="1"/>
  <c r="V85" i="36"/>
  <c r="W85" i="36" s="1"/>
  <c r="X85" i="36" s="1"/>
  <c r="V84" i="36"/>
  <c r="W84" i="36" s="1"/>
  <c r="X84" i="36" s="1"/>
  <c r="V81" i="36"/>
  <c r="W81" i="36" s="1"/>
  <c r="X81" i="36" s="1"/>
  <c r="V83" i="36"/>
  <c r="W83" i="36" s="1"/>
  <c r="X83" i="36" s="1"/>
  <c r="V86" i="36"/>
  <c r="W86" i="36" s="1"/>
  <c r="X86" i="36" s="1"/>
  <c r="V82" i="36"/>
  <c r="W82" i="36" s="1"/>
  <c r="X82" i="36" s="1"/>
  <c r="V87" i="36"/>
  <c r="W87" i="36" s="1"/>
  <c r="X87" i="36" s="1"/>
  <c r="V88" i="36"/>
  <c r="W88" i="36" s="1"/>
  <c r="X88" i="36" s="1"/>
  <c r="V80" i="36"/>
  <c r="W80" i="36" s="1"/>
  <c r="X80" i="36" s="1"/>
  <c r="B12" i="38"/>
  <c r="C12" i="38" s="1"/>
  <c r="K72" i="37" s="1"/>
  <c r="AD59" i="36"/>
  <c r="AD43" i="36"/>
  <c r="AE43" i="36"/>
  <c r="AF43" i="36" s="1"/>
  <c r="AC40" i="36"/>
  <c r="B5" i="11" s="1" a="1"/>
  <c r="H151" i="36"/>
  <c r="V78" i="36"/>
  <c r="B5" i="11" l="1"/>
  <c r="B7" i="11" s="1"/>
  <c r="G5" i="11"/>
  <c r="G7" i="11" s="1"/>
  <c r="I5" i="11"/>
  <c r="I7" i="11" s="1"/>
  <c r="K5" i="11"/>
  <c r="K7" i="11" s="1"/>
  <c r="C5" i="11"/>
  <c r="C7" i="11" s="1"/>
  <c r="J5" i="11"/>
  <c r="J7" i="11" s="1"/>
  <c r="F5" i="11"/>
  <c r="F7" i="11" s="1"/>
  <c r="E5" i="11"/>
  <c r="E7" i="11" s="1"/>
  <c r="H5" i="11"/>
  <c r="H7" i="11" s="1"/>
  <c r="D5" i="11"/>
  <c r="D7" i="11" s="1"/>
  <c r="G160" i="37"/>
  <c r="G164" i="37"/>
  <c r="G168" i="37"/>
  <c r="G161" i="37"/>
  <c r="G165" i="37"/>
  <c r="G169" i="37"/>
  <c r="G162" i="37"/>
  <c r="G166" i="37"/>
  <c r="G170" i="37"/>
  <c r="G163" i="37"/>
  <c r="G167" i="37"/>
  <c r="G171" i="37"/>
  <c r="B9" i="38"/>
  <c r="C9" i="38" s="1"/>
  <c r="AD40" i="36"/>
  <c r="AD49" i="36" s="1"/>
  <c r="AE40" i="36"/>
  <c r="AF40" i="36" s="1"/>
  <c r="AF51" i="36" s="1"/>
  <c r="AC49" i="36"/>
  <c r="H16" i="39"/>
  <c r="W78" i="36"/>
  <c r="X78" i="36" s="1"/>
  <c r="AF52" i="36" s="1"/>
  <c r="V150" i="36"/>
  <c r="H171" i="37" l="1"/>
  <c r="I171" i="37" s="1"/>
  <c r="X150" i="36"/>
  <c r="K69" i="37"/>
  <c r="D19" i="39"/>
  <c r="D23" i="39" s="1"/>
  <c r="D27" i="39" s="1"/>
  <c r="H17" i="39"/>
  <c r="H19" i="39" s="1"/>
  <c r="H23" i="39" s="1"/>
  <c r="H27" i="39" s="1"/>
  <c r="C18" i="38" l="1"/>
  <c r="C16" i="38" s="1"/>
  <c r="G124" i="37"/>
  <c r="G128" i="37"/>
  <c r="G132" i="37"/>
  <c r="G125" i="37"/>
  <c r="G129" i="37"/>
  <c r="G133" i="37"/>
  <c r="G126" i="37"/>
  <c r="G130" i="37"/>
  <c r="G134" i="37"/>
  <c r="G127" i="37"/>
  <c r="G131" i="37"/>
  <c r="G135" i="37"/>
  <c r="C14" i="38" l="1"/>
  <c r="D14" i="38" s="1"/>
  <c r="AG60" i="36"/>
  <c r="AH60" i="36" s="1"/>
  <c r="M8" i="11" s="1"/>
  <c r="M9" i="11" s="1"/>
  <c r="AG59" i="36"/>
  <c r="AH59" i="36" s="1"/>
  <c r="K73" i="37"/>
  <c r="G173" i="37" s="1"/>
  <c r="H135" i="37"/>
  <c r="I135" i="37" s="1"/>
  <c r="G176" i="37" l="1"/>
  <c r="G172" i="37"/>
  <c r="AI59" i="36"/>
  <c r="G180" i="37"/>
  <c r="G183" i="37"/>
  <c r="G179" i="37"/>
  <c r="G175" i="37"/>
  <c r="K74" i="37"/>
  <c r="G187" i="37" s="1"/>
  <c r="G182" i="37"/>
  <c r="G178" i="37"/>
  <c r="G174" i="37"/>
  <c r="G181" i="37"/>
  <c r="G177" i="37"/>
  <c r="AI60" i="36"/>
  <c r="G186" i="37" l="1"/>
  <c r="H183" i="37"/>
  <c r="I183" i="37" s="1"/>
  <c r="G194" i="37"/>
  <c r="G190" i="37"/>
  <c r="G193" i="37"/>
  <c r="G189" i="37"/>
  <c r="G185" i="37"/>
  <c r="L13" i="38"/>
  <c r="D72" i="38"/>
  <c r="G192" i="37"/>
  <c r="G188" i="37"/>
  <c r="G184" i="37"/>
  <c r="D73" i="38"/>
  <c r="L14" i="38"/>
  <c r="G195" i="37"/>
  <c r="G191" i="37"/>
  <c r="H195" i="37" l="1"/>
  <c r="I195" i="37" s="1"/>
  <c r="I73" i="38"/>
  <c r="H73" i="38"/>
  <c r="E73" i="38"/>
  <c r="G73" i="38"/>
  <c r="J73" i="38"/>
  <c r="D57" i="38"/>
  <c r="D61" i="38" s="1"/>
  <c r="M11" i="11" s="1"/>
  <c r="F73" i="38"/>
  <c r="F72" i="38"/>
  <c r="F56" i="38" s="1"/>
  <c r="J72" i="38"/>
  <c r="J56" i="38" s="1"/>
  <c r="J60" i="38" s="1"/>
  <c r="D56" i="38"/>
  <c r="D60" i="38" s="1"/>
  <c r="G72" i="38"/>
  <c r="G56" i="38" s="1"/>
  <c r="I72" i="38"/>
  <c r="I56" i="38" s="1"/>
  <c r="I60" i="38" s="1"/>
  <c r="E72" i="38"/>
  <c r="H72" i="38"/>
  <c r="H56" i="38" s="1"/>
  <c r="O11" i="11" l="1"/>
  <c r="M47" i="11"/>
  <c r="H57" i="38"/>
  <c r="F57" i="38"/>
  <c r="I57" i="38"/>
  <c r="J57" i="38"/>
  <c r="G57" i="38"/>
  <c r="E57" i="38"/>
  <c r="K73" i="38"/>
  <c r="L73" i="38" s="1"/>
  <c r="K72" i="38"/>
  <c r="L72" i="38" s="1"/>
  <c r="E56" i="38"/>
  <c r="K56" i="38" s="1"/>
  <c r="L56" i="38" s="1"/>
  <c r="J61" i="38" l="1"/>
  <c r="M39" i="11" s="1"/>
  <c r="K57" i="38"/>
  <c r="L57" i="38" s="1"/>
  <c r="I61" i="38"/>
  <c r="M34" i="11" s="1"/>
  <c r="H61" i="38"/>
  <c r="M29" i="11" s="1"/>
  <c r="D14" i="18" l="1"/>
  <c r="B35" i="11" s="1" a="1"/>
  <c r="E35" i="11" l="1"/>
  <c r="B35" i="11"/>
  <c r="F35" i="11"/>
  <c r="I35" i="11"/>
  <c r="J35" i="11"/>
  <c r="H35" i="11"/>
  <c r="G35" i="11"/>
  <c r="C35" i="11"/>
  <c r="M35" i="11"/>
  <c r="D35" i="11"/>
  <c r="L35" i="11"/>
  <c r="K35" i="11"/>
  <c r="G77" i="38" l="1"/>
  <c r="F77" i="38"/>
  <c r="H78" i="38" l="1"/>
  <c r="E78" i="38" l="1"/>
  <c r="F78" i="38"/>
  <c r="F60" i="38" s="1"/>
  <c r="H60" i="38"/>
  <c r="G78" i="38"/>
  <c r="G60" i="38" s="1"/>
  <c r="E13" i="18" s="1"/>
  <c r="G79" i="38"/>
  <c r="E79" i="38"/>
  <c r="F79" i="38"/>
  <c r="K78" i="38" l="1"/>
  <c r="L78" i="38" s="1"/>
  <c r="E60" i="38"/>
  <c r="K60" i="38" s="1"/>
  <c r="L60" i="38" s="1"/>
  <c r="F61" i="38"/>
  <c r="M20" i="11" s="1"/>
  <c r="K79" i="38"/>
  <c r="L79" i="38" s="1"/>
  <c r="E61" i="38"/>
  <c r="M16" i="11" s="1"/>
  <c r="C14" i="18"/>
  <c r="M30" i="11" s="1"/>
  <c r="G61" i="38"/>
  <c r="M24" i="11" s="1"/>
  <c r="K61" i="38" l="1"/>
  <c r="L61" i="38" s="1"/>
  <c r="B14" i="18"/>
  <c r="B25" i="11" l="1" a="1"/>
  <c r="D25" i="11" s="1"/>
  <c r="E14" i="18"/>
  <c r="B48" i="11" s="1" a="1"/>
  <c r="E25" i="11" l="1"/>
  <c r="C25" i="11"/>
  <c r="L25" i="11"/>
  <c r="B25" i="11"/>
  <c r="B44" i="11" s="1"/>
  <c r="M25" i="11"/>
  <c r="F25" i="11"/>
  <c r="F44" i="11" s="1"/>
  <c r="J25" i="11"/>
  <c r="H25" i="11"/>
  <c r="H44" i="11" s="1"/>
  <c r="K25" i="11"/>
  <c r="G25" i="11"/>
  <c r="I25" i="11"/>
  <c r="I48" i="11"/>
  <c r="L48" i="11"/>
  <c r="G48" i="11"/>
  <c r="E48" i="11"/>
  <c r="C48" i="11"/>
  <c r="H48" i="11"/>
  <c r="K48" i="11"/>
  <c r="M48" i="11"/>
  <c r="J48" i="11"/>
  <c r="D48" i="11"/>
  <c r="F48" i="11"/>
  <c r="B48" i="11"/>
  <c r="G44" i="11"/>
  <c r="D44" i="11"/>
  <c r="E44" i="11"/>
  <c r="C44" i="11"/>
  <c r="L43" i="11"/>
  <c r="M43" i="11"/>
  <c r="O43" i="11" l="1"/>
  <c r="I44" i="11"/>
  <c r="I53" i="11" s="1"/>
  <c r="L52" i="11"/>
  <c r="J44" i="11"/>
  <c r="M52" i="11"/>
  <c r="K44" i="11"/>
  <c r="F53" i="11"/>
  <c r="H53" i="11"/>
  <c r="L44" i="11"/>
  <c r="B53" i="11"/>
  <c r="D53" i="11"/>
  <c r="E53" i="11"/>
  <c r="M44" i="11"/>
  <c r="G53" i="11"/>
  <c r="C53" i="11"/>
  <c r="O44" i="11" l="1"/>
  <c r="J53" i="11"/>
  <c r="K53" i="11"/>
  <c r="M53" i="11"/>
  <c r="L53" i="11"/>
</calcChain>
</file>

<file path=xl/comments1.xml><?xml version="1.0" encoding="utf-8"?>
<comments xmlns="http://schemas.openxmlformats.org/spreadsheetml/2006/main">
  <authors>
    <author>Author</author>
    <author>Jane</author>
  </authors>
  <commentList>
    <comment ref="C6" authorId="0">
      <text>
        <r>
          <rPr>
            <b/>
            <sz val="9"/>
            <color indexed="81"/>
            <rFont val="Tahoma"/>
            <family val="2"/>
          </rPr>
          <t>Author:</t>
        </r>
        <r>
          <rPr>
            <sz val="9"/>
            <color indexed="81"/>
            <rFont val="Tahoma"/>
            <family val="2"/>
          </rPr>
          <t xml:space="preserve">
2005-2010 purchase is from 2012 COS. Purchase in 2005.01-2006.01 is 2012 COS kWh plus St Lawrence, i.e. unadjusted.
</t>
        </r>
      </text>
    </comment>
    <comment ref="O6" authorId="1">
      <text>
        <r>
          <rPr>
            <b/>
            <sz val="9"/>
            <color indexed="81"/>
            <rFont val="Tahoma"/>
            <family val="2"/>
          </rPr>
          <t>Jane:</t>
        </r>
        <r>
          <rPr>
            <sz val="9"/>
            <color indexed="81"/>
            <rFont val="Tahoma"/>
            <family val="2"/>
          </rPr>
          <t xml:space="preserve">
must enter 0 to run regression analysis; can't leave a cell blank
</t>
        </r>
      </text>
    </comment>
    <comment ref="AI37" authorId="0">
      <text>
        <r>
          <rPr>
            <b/>
            <sz val="9"/>
            <color indexed="81"/>
            <rFont val="Tahoma"/>
            <family val="2"/>
          </rPr>
          <t>Jane:</t>
        </r>
        <r>
          <rPr>
            <sz val="9"/>
            <color indexed="81"/>
            <rFont val="Tahoma"/>
            <family val="2"/>
          </rPr>
          <t xml:space="preserve">
Standard error of estimate, small is good</t>
        </r>
      </text>
    </comment>
  </commentList>
</comments>
</file>

<file path=xl/comments2.xml><?xml version="1.0" encoding="utf-8"?>
<comments xmlns="http://schemas.openxmlformats.org/spreadsheetml/2006/main">
  <authors>
    <author>Jane</author>
    <author>jrs</author>
  </authors>
  <commentList>
    <comment ref="D47" authorId="0">
      <text>
        <r>
          <rPr>
            <b/>
            <sz val="9"/>
            <color indexed="81"/>
            <rFont val="Tahoma"/>
            <family val="2"/>
          </rPr>
          <t>Jane:</t>
        </r>
        <r>
          <rPr>
            <sz val="9"/>
            <color indexed="81"/>
            <rFont val="Tahoma"/>
            <family val="2"/>
          </rPr>
          <t xml:space="preserve">
Consistent with other tabs</t>
        </r>
      </text>
    </comment>
    <comment ref="G67" authorId="1">
      <text>
        <r>
          <rPr>
            <sz val="8"/>
            <color indexed="81"/>
            <rFont val="Tahoma"/>
            <family val="2"/>
          </rPr>
          <t>Jane:
From Hydro One weather sensitivity study.</t>
        </r>
      </text>
    </comment>
    <comment ref="E77" authorId="0">
      <text>
        <r>
          <rPr>
            <b/>
            <sz val="9"/>
            <color indexed="81"/>
            <rFont val="Tahoma"/>
            <family val="2"/>
          </rPr>
          <t>Jane:</t>
        </r>
        <r>
          <rPr>
            <sz val="9"/>
            <color indexed="81"/>
            <rFont val="Tahoma"/>
            <family val="2"/>
          </rPr>
          <t xml:space="preserve">
Allocation is based on customer segments of 2015-2020 CDM plan</t>
        </r>
      </text>
    </comment>
  </commentList>
</comments>
</file>

<file path=xl/comments3.xml><?xml version="1.0" encoding="utf-8"?>
<comments xmlns="http://schemas.openxmlformats.org/spreadsheetml/2006/main">
  <authors>
    <author>Jane</author>
    <author>jrs</author>
  </authors>
  <commentList>
    <comment ref="G4" authorId="0">
      <text>
        <r>
          <rPr>
            <b/>
            <sz val="9"/>
            <color indexed="81"/>
            <rFont val="Tahoma"/>
            <family val="2"/>
          </rPr>
          <t>Jane:</t>
        </r>
        <r>
          <rPr>
            <sz val="9"/>
            <color indexed="81"/>
            <rFont val="Tahoma"/>
            <family val="2"/>
          </rPr>
          <t xml:space="preserve">
Add back 2 accounts to be reclassified in street lighting in 2010 for 2005-2009.</t>
        </r>
      </text>
    </comment>
    <comment ref="J4" authorId="0">
      <text>
        <r>
          <rPr>
            <b/>
            <sz val="9"/>
            <color indexed="81"/>
            <rFont val="Tahoma"/>
            <family val="2"/>
          </rPr>
          <t>Jane:</t>
        </r>
        <r>
          <rPr>
            <sz val="9"/>
            <color indexed="81"/>
            <rFont val="Tahoma"/>
            <family val="2"/>
          </rPr>
          <t xml:space="preserve">
Adjust for 24 underbilled lights and 36 reclassified lights from 2 unmetered loads accounts </t>
        </r>
      </text>
    </comment>
    <comment ref="L4" authorId="1">
      <text>
        <r>
          <rPr>
            <sz val="8"/>
            <color indexed="81"/>
            <rFont val="Tahoma"/>
            <family val="2"/>
          </rPr>
          <t>Jane:
Reduce 2 accounts to be reclassified in street lighting in 2010 for 2005-2009. And add 10 accounts from the cable company for 2005-2010</t>
        </r>
      </text>
    </comment>
    <comment ref="J5" authorId="0">
      <text>
        <r>
          <rPr>
            <b/>
            <sz val="9"/>
            <color indexed="81"/>
            <rFont val="Tahoma"/>
            <family val="2"/>
          </rPr>
          <t>Jane:</t>
        </r>
        <r>
          <rPr>
            <sz val="9"/>
            <color indexed="81"/>
            <rFont val="Tahoma"/>
            <family val="2"/>
          </rPr>
          <t xml:space="preserve">
Adjust for 24 underbilled lights and 36 reclassified lights from 2 unmetered loads accounts </t>
        </r>
      </text>
    </comment>
    <comment ref="J6" authorId="0">
      <text>
        <r>
          <rPr>
            <b/>
            <sz val="9"/>
            <color indexed="81"/>
            <rFont val="Tahoma"/>
            <family val="2"/>
          </rPr>
          <t>Jane:</t>
        </r>
        <r>
          <rPr>
            <sz val="9"/>
            <color indexed="81"/>
            <rFont val="Tahoma"/>
            <family val="2"/>
          </rPr>
          <t xml:space="preserve">
Adjust for 24 underbilled lights and 36 reclassified lights from 2 unmetered loads accounts </t>
        </r>
      </text>
    </comment>
    <comment ref="J7" authorId="0">
      <text>
        <r>
          <rPr>
            <b/>
            <sz val="9"/>
            <color indexed="81"/>
            <rFont val="Tahoma"/>
            <family val="2"/>
          </rPr>
          <t>Jane:</t>
        </r>
        <r>
          <rPr>
            <sz val="9"/>
            <color indexed="81"/>
            <rFont val="Tahoma"/>
            <family val="2"/>
          </rPr>
          <t xml:space="preserve">
Adjust for 24 underbilled lights and 36 reclassified lights from 2 unmetered loads accounts </t>
        </r>
      </text>
    </comment>
    <comment ref="F8" authorId="0">
      <text>
        <r>
          <rPr>
            <b/>
            <sz val="9"/>
            <color indexed="81"/>
            <rFont val="Tahoma"/>
            <family val="2"/>
          </rPr>
          <t xml:space="preserve">Jane:
</t>
        </r>
        <r>
          <rPr>
            <sz val="9"/>
            <color indexed="81"/>
            <rFont val="Tahoma"/>
            <family val="2"/>
          </rPr>
          <t>10 lights were added for account 404996 Hills Mobilie Village. 1 light was reclassified as street light.</t>
        </r>
      </text>
    </comment>
    <comment ref="J8" authorId="0">
      <text>
        <r>
          <rPr>
            <b/>
            <sz val="9"/>
            <color indexed="81"/>
            <rFont val="Tahoma"/>
            <family val="2"/>
          </rPr>
          <t>Jane:</t>
        </r>
        <r>
          <rPr>
            <sz val="9"/>
            <color indexed="81"/>
            <rFont val="Tahoma"/>
            <family val="2"/>
          </rPr>
          <t xml:space="preserve">
Adjust for 24 underbilled lights and 36 reclassified lights from 2 unmetered loads accounts </t>
        </r>
      </text>
    </comment>
    <comment ref="E9" authorId="0">
      <text>
        <r>
          <rPr>
            <b/>
            <sz val="9"/>
            <color indexed="81"/>
            <rFont val="Tahoma"/>
            <family val="2"/>
          </rPr>
          <t xml:space="preserve">Jane: </t>
        </r>
        <r>
          <rPr>
            <sz val="9"/>
            <color indexed="81"/>
            <rFont val="Tahoma"/>
            <family val="2"/>
          </rPr>
          <t>Allan
Found underbilling for 24 lights in Westport &amp; added 36 lights for SD&amp;G (account 1261) ( - was in Unmetered loads account1320 and 6279
Agrees with RRR Dec 31/10</t>
        </r>
      </text>
    </comment>
    <comment ref="J9" authorId="0">
      <text>
        <r>
          <rPr>
            <b/>
            <sz val="9"/>
            <color indexed="81"/>
            <rFont val="Tahoma"/>
            <family val="2"/>
          </rPr>
          <t>Jane:</t>
        </r>
        <r>
          <rPr>
            <sz val="9"/>
            <color indexed="81"/>
            <rFont val="Tahoma"/>
            <family val="2"/>
          </rPr>
          <t xml:space="preserve">
Jane: Allan
Found underbilling for 24 lights in Westport &amp; added 36 lights for SD&amp;G - was in Scat
Agrees with RRR Dec 31/10</t>
        </r>
      </text>
    </comment>
    <comment ref="G10" authorId="0">
      <text>
        <r>
          <rPr>
            <b/>
            <sz val="9"/>
            <color indexed="81"/>
            <rFont val="Tahoma"/>
            <family val="2"/>
          </rPr>
          <t>Jane</t>
        </r>
        <r>
          <rPr>
            <sz val="9"/>
            <color indexed="81"/>
            <rFont val="Tahoma"/>
            <family val="2"/>
          </rPr>
          <t xml:space="preserve">
10 unmetered scattered load accounts were added from a cable company in early 2011</t>
        </r>
      </text>
    </comment>
    <comment ref="G25" authorId="1">
      <text>
        <r>
          <rPr>
            <b/>
            <sz val="8"/>
            <color indexed="81"/>
            <rFont val="Tahoma"/>
            <family val="2"/>
          </rPr>
          <t>jane</t>
        </r>
        <r>
          <rPr>
            <sz val="8"/>
            <color indexed="81"/>
            <rFont val="Tahoma"/>
            <family val="2"/>
          </rPr>
          <t xml:space="preserve">
Due to one time increase from the cable company</t>
        </r>
      </text>
    </comment>
    <comment ref="G33" authorId="0">
      <text>
        <r>
          <rPr>
            <b/>
            <sz val="9"/>
            <color indexed="81"/>
            <rFont val="Tahoma"/>
            <family val="2"/>
          </rPr>
          <t>Jane:</t>
        </r>
        <r>
          <rPr>
            <sz val="9"/>
            <color indexed="81"/>
            <rFont val="Tahoma"/>
            <family val="2"/>
          </rPr>
          <t xml:space="preserve">
one time event from a cable company. It is not likely to happy again</t>
        </r>
      </text>
    </comment>
    <comment ref="L33" authorId="0">
      <text>
        <r>
          <rPr>
            <b/>
            <sz val="9"/>
            <color indexed="81"/>
            <rFont val="Tahoma"/>
            <family val="2"/>
          </rPr>
          <t>Jane:</t>
        </r>
        <r>
          <rPr>
            <sz val="9"/>
            <color indexed="81"/>
            <rFont val="Tahoma"/>
            <family val="2"/>
          </rPr>
          <t xml:space="preserve">
one time event from a cable company. It is not likely to happy again</t>
        </r>
      </text>
    </comment>
  </commentList>
</comments>
</file>

<file path=xl/comments4.xml><?xml version="1.0" encoding="utf-8"?>
<comments xmlns="http://schemas.openxmlformats.org/spreadsheetml/2006/main">
  <authors>
    <author>Jane</author>
  </authors>
  <commentList>
    <comment ref="W5" authorId="0">
      <text>
        <r>
          <rPr>
            <b/>
            <sz val="9"/>
            <color indexed="81"/>
            <rFont val="Tahoma"/>
            <family val="2"/>
          </rPr>
          <t xml:space="preserve">Jane: </t>
        </r>
        <r>
          <rPr>
            <sz val="9"/>
            <color indexed="81"/>
            <rFont val="Tahoma"/>
            <family val="2"/>
          </rPr>
          <t xml:space="preserve">
For 2016. For both 2015 and 2016 if there is no actual for 2015
</t>
        </r>
      </text>
    </comment>
  </commentList>
</comments>
</file>

<file path=xl/comments5.xml><?xml version="1.0" encoding="utf-8"?>
<comments xmlns="http://schemas.openxmlformats.org/spreadsheetml/2006/main">
  <authors>
    <author>Author</author>
    <author>Jane</author>
  </authors>
  <commentList>
    <comment ref="C6" authorId="0">
      <text>
        <r>
          <rPr>
            <b/>
            <sz val="9"/>
            <color indexed="81"/>
            <rFont val="Tahoma"/>
            <family val="2"/>
          </rPr>
          <t>Author:</t>
        </r>
        <r>
          <rPr>
            <sz val="9"/>
            <color indexed="81"/>
            <rFont val="Tahoma"/>
            <family val="2"/>
          </rPr>
          <t xml:space="preserve">
2005-2010 purchase is from 2012 COS. Purchase in 2005.01-2006.01 is 2012 COS kWh plus St Lawrence, i.e. unadjusted.
</t>
        </r>
      </text>
    </comment>
    <comment ref="R6" authorId="1">
      <text>
        <r>
          <rPr>
            <b/>
            <sz val="9"/>
            <color indexed="81"/>
            <rFont val="Tahoma"/>
            <family val="2"/>
          </rPr>
          <t>Jane:</t>
        </r>
        <r>
          <rPr>
            <sz val="9"/>
            <color indexed="81"/>
            <rFont val="Tahoma"/>
            <family val="2"/>
          </rPr>
          <t xml:space="preserve">
must enter 0 to run regression analysis; can't leave a cell blank
</t>
        </r>
      </text>
    </comment>
  </commentList>
</comments>
</file>

<file path=xl/sharedStrings.xml><?xml version="1.0" encoding="utf-8"?>
<sst xmlns="http://schemas.openxmlformats.org/spreadsheetml/2006/main" count="523" uniqueCount="268">
  <si>
    <t>Loss Factor</t>
  </si>
  <si>
    <t xml:space="preserve">Residential </t>
  </si>
  <si>
    <t xml:space="preserve">Unmetered Loads </t>
  </si>
  <si>
    <t>Number of Days in Month</t>
  </si>
  <si>
    <t>% Difference</t>
  </si>
  <si>
    <t>Total</t>
  </si>
  <si>
    <t>Variances (kWh)</t>
  </si>
  <si>
    <t>% Variance</t>
  </si>
  <si>
    <t>Average</t>
  </si>
  <si>
    <t xml:space="preserve">Geomean </t>
  </si>
  <si>
    <t>Usage Per Customer</t>
  </si>
  <si>
    <t>Check</t>
  </si>
  <si>
    <t xml:space="preserve">Total </t>
  </si>
  <si>
    <t xml:space="preserve">Used </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</si>
  <si>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</si>
  <si>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</si>
  <si>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</si>
  <si>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</si>
  <si>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</si>
  <si>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</si>
  <si>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</si>
  <si>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</si>
  <si>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</si>
  <si>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</si>
  <si>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</si>
  <si>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</si>
  <si>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</si>
  <si>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</si>
  <si>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</si>
  <si>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</si>
  <si>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</si>
  <si>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</si>
  <si>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</si>
  <si>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</si>
  <si>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</si>
  <si>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 Weather Sensitive</t>
  </si>
  <si>
    <t>Allocation of Weather Sensitive Amount</t>
  </si>
  <si>
    <t xml:space="preserve">  Customers</t>
  </si>
  <si>
    <t xml:space="preserve">  kWh</t>
  </si>
  <si>
    <t xml:space="preserve">  kW</t>
  </si>
  <si>
    <t xml:space="preserve">2005 Actual </t>
  </si>
  <si>
    <t xml:space="preserve">2006 Actual </t>
  </si>
  <si>
    <t xml:space="preserve">2007 Actual </t>
  </si>
  <si>
    <t xml:space="preserve">  Connections</t>
  </si>
  <si>
    <t xml:space="preserve">  kW from applicable classes</t>
  </si>
  <si>
    <t xml:space="preserve">  Customer/Connections</t>
  </si>
  <si>
    <t>Actual kWh Purchases</t>
  </si>
  <si>
    <t>Predicted kWh Purchases</t>
  </si>
  <si>
    <t>By Class</t>
  </si>
  <si>
    <t>Used</t>
  </si>
  <si>
    <t>kW/kWh</t>
  </si>
  <si>
    <t>Jan</t>
  </si>
  <si>
    <t>Feb</t>
  </si>
  <si>
    <t>Mar</t>
  </si>
  <si>
    <t>Apr</t>
  </si>
  <si>
    <t>May</t>
  </si>
  <si>
    <t>Jun</t>
  </si>
  <si>
    <t>Jul</t>
  </si>
  <si>
    <t>Aug</t>
  </si>
  <si>
    <t>Sep</t>
  </si>
  <si>
    <t>Oct</t>
  </si>
  <si>
    <t>Nov</t>
  </si>
  <si>
    <t>Dec</t>
  </si>
  <si>
    <t>`</t>
  </si>
  <si>
    <t>% Variance (Abs)</t>
  </si>
  <si>
    <t>CDM</t>
  </si>
  <si>
    <t xml:space="preserve">2008 Actual </t>
  </si>
  <si>
    <t xml:space="preserve">2010 Actual </t>
  </si>
  <si>
    <t xml:space="preserve">2011 Actual </t>
  </si>
  <si>
    <t>2011 Programs</t>
  </si>
  <si>
    <t>2012 Programs</t>
  </si>
  <si>
    <t>2013 Programs</t>
  </si>
  <si>
    <t>2014 Programs</t>
  </si>
  <si>
    <t xml:space="preserve">2009 Actual </t>
  </si>
  <si>
    <t xml:space="preserve">2012 Actual </t>
  </si>
  <si>
    <t>CDM Purchase Adjustment</t>
  </si>
  <si>
    <t>Predicted kWh Purchases after CDM</t>
  </si>
  <si>
    <t xml:space="preserve">Billed kWh </t>
  </si>
  <si>
    <t>CDM Activity</t>
  </si>
  <si>
    <t>Summary of Degree Day Information</t>
  </si>
  <si>
    <t>Month</t>
  </si>
  <si>
    <t>10 Year Avg</t>
  </si>
  <si>
    <t>20 Year Trend</t>
  </si>
  <si>
    <t>January</t>
  </si>
  <si>
    <t>February</t>
  </si>
  <si>
    <t>March</t>
  </si>
  <si>
    <t>April</t>
  </si>
  <si>
    <t>June</t>
  </si>
  <si>
    <t>July</t>
  </si>
  <si>
    <t>August</t>
  </si>
  <si>
    <t>September</t>
  </si>
  <si>
    <t>October</t>
  </si>
  <si>
    <t>November</t>
  </si>
  <si>
    <t>December</t>
  </si>
  <si>
    <t>20 Year Avg</t>
  </si>
  <si>
    <t>General Service &lt; 50 kW</t>
  </si>
  <si>
    <t>2016 Weather Normal</t>
  </si>
  <si>
    <t xml:space="preserve">2013 Actual </t>
  </si>
  <si>
    <t xml:space="preserve">2014 Actual </t>
  </si>
  <si>
    <t>2015 Programs</t>
  </si>
  <si>
    <t>2016 Programs</t>
  </si>
  <si>
    <t>Lower 95.0%</t>
  </si>
  <si>
    <t>Upper 95.0%</t>
  </si>
  <si>
    <t>Regression Analysis</t>
  </si>
  <si>
    <t xml:space="preserve">Adjustment for Microfit </t>
  </si>
  <si>
    <t>Adjustment</t>
  </si>
  <si>
    <t>HDD</t>
  </si>
  <si>
    <t>CDD</t>
  </si>
  <si>
    <t>Spring/Fall Flag</t>
  </si>
  <si>
    <t>Holidays in Month</t>
  </si>
  <si>
    <t>Year</t>
  </si>
  <si>
    <t xml:space="preserve"> Actual</t>
  </si>
  <si>
    <t>Note: Statistically, MAPE is defined as the average of percentage errors</t>
  </si>
  <si>
    <t>Note: the median is the numerical value separating the higher half of a data sample, from the lower half</t>
  </si>
  <si>
    <t>Adjustment for loss of St Lawrence Corp</t>
  </si>
  <si>
    <t>Heating Degree Days ( HDD)</t>
  </si>
  <si>
    <t>Use this</t>
  </si>
  <si>
    <t>20 year</t>
  </si>
  <si>
    <t>Monthly Increment (Year/78)</t>
  </si>
  <si>
    <t>2006 Programs</t>
  </si>
  <si>
    <t>2007 Programs</t>
  </si>
  <si>
    <t>2008 Programs</t>
  </si>
  <si>
    <t>2009 Programs</t>
  </si>
  <si>
    <t>2010 Programs</t>
  </si>
  <si>
    <t>CDM Activity Variable at Billed Level</t>
  </si>
  <si>
    <t>CDM Activity Variable at Purchased Level</t>
  </si>
  <si>
    <t xml:space="preserve">Monthly savings </t>
  </si>
  <si>
    <t xml:space="preserve">Annual savings </t>
  </si>
  <si>
    <t>Persisting to next year</t>
  </si>
  <si>
    <t>RSL 4 Year (2011-2014) kWh Target</t>
  </si>
  <si>
    <t>Billed kWh at the Meter (no loss)</t>
  </si>
  <si>
    <t xml:space="preserve">Streetlights </t>
  </si>
  <si>
    <t>Sentinel Lights</t>
  </si>
  <si>
    <t xml:space="preserve"> Billed Growth</t>
  </si>
  <si>
    <t xml:space="preserve">5 year average from Appendix </t>
  </si>
  <si>
    <t>Usage Growth</t>
  </si>
  <si>
    <t>5 year</t>
  </si>
  <si>
    <t xml:space="preserve">Non Weather Corrected Forecast Billed </t>
  </si>
  <si>
    <t>Weather Normalization Percentage from 2006 Hydro One Study</t>
  </si>
  <si>
    <t>Manual Adjustment to the Load Forecast on a Net Level</t>
  </si>
  <si>
    <t>Predicted by Model</t>
  </si>
  <si>
    <t>Year over Year</t>
  </si>
  <si>
    <t>Mean Average Percentage Error (Mape) Annually:</t>
  </si>
  <si>
    <t>Mean Average Percentage Error (Mape) Monthly :</t>
  </si>
  <si>
    <t>Predicted Purchases(kWh)</t>
  </si>
  <si>
    <t>Average Used</t>
  </si>
  <si>
    <t>Weight Factor for Inclusion in CDM Adjustment to 2016 Load Forecast</t>
  </si>
  <si>
    <t>Manual CDM Adjustment kWh</t>
  </si>
  <si>
    <t>Total in Year</t>
  </si>
  <si>
    <t>2017 Programs</t>
  </si>
  <si>
    <t>2018 Programs</t>
  </si>
  <si>
    <t>2019 Programs</t>
  </si>
  <si>
    <t>2020 Programs</t>
  </si>
  <si>
    <t xml:space="preserve">% </t>
  </si>
  <si>
    <t xml:space="preserve">Weather Corrected Forecast After CDM </t>
  </si>
  <si>
    <t xml:space="preserve">Weather Corrected Forecast Before CDM </t>
  </si>
  <si>
    <t xml:space="preserve">Street lights </t>
  </si>
  <si>
    <t>B</t>
  </si>
  <si>
    <t>E</t>
  </si>
  <si>
    <t xml:space="preserve">Street Lights </t>
  </si>
  <si>
    <t>Actual Purchases</t>
  </si>
  <si>
    <t>File Number:</t>
  </si>
  <si>
    <t>Jane:</t>
  </si>
  <si>
    <t>Notes in red apply to RSL</t>
  </si>
  <si>
    <t>Exhibit:</t>
  </si>
  <si>
    <t>Tab:</t>
  </si>
  <si>
    <t>Schedule:</t>
  </si>
  <si>
    <t>Page:</t>
  </si>
  <si>
    <t>Date:</t>
  </si>
  <si>
    <t>Appendix 2-R</t>
  </si>
  <si>
    <t>Loss Factors</t>
  </si>
  <si>
    <t>Historical Years</t>
  </si>
  <si>
    <t>5-Year Average</t>
  </si>
  <si>
    <t>Losses Within Distributor's System</t>
  </si>
  <si>
    <t>A(1)</t>
  </si>
  <si>
    <t>"Wholesale" kWh delivered to distributor (higher value)</t>
  </si>
  <si>
    <t>Updated Feb 19, 2015 for 2016 COS</t>
  </si>
  <si>
    <t>A(2)</t>
  </si>
  <si>
    <t>"Wholesale" kWh delivered to distributor (lower value)</t>
  </si>
  <si>
    <t>Add microfit kWh</t>
  </si>
  <si>
    <t>Portion of "Wholesale" kWh delivered to distributor for its Large Use Customer(s)</t>
  </si>
  <si>
    <t>C</t>
  </si>
  <si>
    <r>
      <t xml:space="preserve">Net "Wholesale" kWh delivered to distributor  = </t>
    </r>
    <r>
      <rPr>
        <b/>
        <sz val="10"/>
        <rFont val="Arial"/>
        <family val="2"/>
      </rPr>
      <t>A(2) - B</t>
    </r>
  </si>
  <si>
    <t>D</t>
  </si>
  <si>
    <t>"Retail" kWh delivered by distributor</t>
  </si>
  <si>
    <t>Portion of "Retail" kWh delivered by distributor to its Large Use Customer(s)</t>
  </si>
  <si>
    <r>
      <t xml:space="preserve">Net "Retail" kWh delivered by distributor = </t>
    </r>
    <r>
      <rPr>
        <b/>
        <sz val="10"/>
        <rFont val="Arial"/>
        <family val="2"/>
      </rPr>
      <t>D - E</t>
    </r>
  </si>
  <si>
    <t>G</t>
  </si>
  <si>
    <r>
      <t xml:space="preserve">Loss Factor in Distributor's system = </t>
    </r>
    <r>
      <rPr>
        <b/>
        <sz val="10"/>
        <rFont val="Arial"/>
        <family val="2"/>
      </rPr>
      <t>C / F</t>
    </r>
  </si>
  <si>
    <t>Losses Upstream of Distributor's System</t>
  </si>
  <si>
    <t>H</t>
  </si>
  <si>
    <t>Supply Facilities Loss Factor</t>
  </si>
  <si>
    <t>Total Losses</t>
  </si>
  <si>
    <t>I</t>
  </si>
  <si>
    <r>
      <t xml:space="preserve">Total Loss Factor = </t>
    </r>
    <r>
      <rPr>
        <b/>
        <sz val="10"/>
        <rFont val="Arial"/>
        <family val="2"/>
      </rPr>
      <t>G x H</t>
    </r>
  </si>
  <si>
    <t>Notes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</si>
  <si>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</si>
  <si>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t>
    </r>
    <r>
      <rPr>
        <sz val="10"/>
        <color rgb="FFFF0000"/>
        <rFont val="Arial"/>
        <family val="2"/>
      </rPr>
      <t>if the host distributor is Hydro One Networks Inc., kWh from the Hydro One Networks' invoice corresponding to "Total kWh w Losses" should be reported</t>
    </r>
    <r>
      <rPr>
        <sz val="10"/>
        <rFont val="Arial"/>
        <family val="2"/>
      </rPr>
      <t xml:space="preserve">.  This corresponds to the </t>
    </r>
    <r>
      <rPr>
        <u/>
        <sz val="10"/>
        <rFont val="Arial"/>
        <family val="2"/>
      </rPr>
      <t>higher</t>
    </r>
    <r>
      <rPr>
        <sz val="10"/>
        <rFont val="Arial"/>
        <family val="2"/>
      </rPr>
      <t xml:space="preserve"> of the two kWh values provided in Hydro One Networks' invoice.</t>
    </r>
  </si>
  <si>
    <t>If partially embedded, kWh pertains to the sum of the above.</t>
  </si>
  <si>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</si>
  <si>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t>
    </r>
    <r>
      <rPr>
        <sz val="10"/>
        <color rgb="FFFF0000"/>
        <rFont val="Arial"/>
        <family val="2"/>
      </rPr>
      <t>if the host distributor is Hydro One Networks Inc., kWh from the Hydro One Networks' invoice corresponding to "Total kWh" should be reported</t>
    </r>
    <r>
      <rPr>
        <sz val="10"/>
        <rFont val="Arial"/>
        <family val="2"/>
      </rPr>
      <t xml:space="preserve">.  This corresponds to the </t>
    </r>
    <r>
      <rPr>
        <u/>
        <sz val="10"/>
        <rFont val="Arial"/>
        <family val="2"/>
      </rPr>
      <t>lower</t>
    </r>
    <r>
      <rPr>
        <sz val="10"/>
        <rFont val="Arial"/>
        <family val="2"/>
      </rPr>
      <t xml:space="preserve"> of the two kWh values provided in Hydro One Networks' invoice.</t>
    </r>
  </si>
  <si>
    <r>
      <t xml:space="preserve">Additionally, kWh pertaining to distributed generation directly connected to the distributor's own distribution network should be included in </t>
    </r>
    <r>
      <rPr>
        <b/>
        <sz val="10"/>
        <color rgb="FFFF0000"/>
        <rFont val="Arial"/>
        <family val="2"/>
      </rPr>
      <t>A(2)</t>
    </r>
    <r>
      <rPr>
        <sz val="10"/>
        <color rgb="FFFF000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</si>
  <si>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t>
    </r>
  </si>
  <si>
    <t>kWh corresponding to D should equal metered or estimated kWh at the customer’s delivery point.</t>
  </si>
  <si>
    <r>
      <t>G</t>
    </r>
    <r>
      <rPr>
        <sz val="10"/>
        <rFont val="Arial"/>
        <family val="2"/>
      </rPr>
      <t xml:space="preserve"> and </t>
    </r>
    <r>
      <rPr>
        <b/>
        <sz val="10"/>
        <rFont val="Arial"/>
        <family val="2"/>
      </rPr>
      <t>I</t>
    </r>
  </si>
  <si>
    <t>These loss factors pertain to secondary-metered customers with demand less than 5,000 kW.</t>
  </si>
  <si>
    <t>If directly connected to the IESO-controlled grid, SFLF = 1.0045.</t>
  </si>
  <si>
    <r>
      <t xml:space="preserve">If fully embedded within a host distributor, SFLF = loss factor re losses in transformer at grid interface X loss factor re losses in host distributor's system. </t>
    </r>
    <r>
      <rPr>
        <sz val="10"/>
        <color rgb="FFFF0000"/>
        <rFont val="Arial"/>
        <family val="2"/>
      </rPr>
      <t xml:space="preserve"> If the host distributor is Hydro One Networks Inc., SFLF = 1.0060 X 1.0278 = 1.0340</t>
    </r>
    <r>
      <rPr>
        <sz val="10"/>
        <rFont val="Arial"/>
        <family val="2"/>
      </rPr>
      <t>. If partially embedded, SFLF should be calculated as the weighted average of above.</t>
    </r>
  </si>
  <si>
    <t>Distributors that wish to propose a different SFLF should provide appropriate justification for any such proposal including supporting</t>
  </si>
  <si>
    <t>calculations and any other relevant material.</t>
  </si>
  <si>
    <t>Revised Purchases kWh</t>
  </si>
  <si>
    <t>Don/t delete this</t>
  </si>
  <si>
    <t xml:space="preserve">CDM at Billed </t>
  </si>
  <si>
    <t xml:space="preserve">CDM at Purchase </t>
  </si>
  <si>
    <t>20 year trend</t>
  </si>
  <si>
    <t xml:space="preserve"> Forecasted Purchases kWh</t>
  </si>
  <si>
    <t>Manual Adjustment for CDM</t>
  </si>
  <si>
    <t>Final Purchase after CDM</t>
  </si>
  <si>
    <t>Add back to purchase</t>
  </si>
  <si>
    <t>Unadjusted Purchases kWh</t>
  </si>
  <si>
    <t>Ne need to adjust for Load transfers because purchase and sales match</t>
  </si>
  <si>
    <t xml:space="preserve">kWh Variance </t>
  </si>
  <si>
    <t xml:space="preserve">% Variance </t>
  </si>
  <si>
    <t>% Variance Abs</t>
  </si>
  <si>
    <t>Net Energy Savings (kWh)</t>
  </si>
  <si>
    <t>RSL 6 Year (2015-2020) kWh Target</t>
  </si>
  <si>
    <t xml:space="preserve"> </t>
  </si>
  <si>
    <t>General Service 50 to 4,999 kW</t>
  </si>
  <si>
    <t>Half of Incremental Savings</t>
  </si>
  <si>
    <t>See Kitchener-Wilmot Hydro Inc.’s 2014 COS Application, EB-2013-0147, Exhibit 3, Tab 1, Schedule 4</t>
  </si>
  <si>
    <t>Assume persistent savings begin to drop in year 4</t>
  </si>
  <si>
    <t>Estimated persistence in 2015 &amp; 2016 from 2011-2014 programs</t>
  </si>
  <si>
    <t>Year End</t>
  </si>
  <si>
    <t>Average of year beginning and ending</t>
  </si>
  <si>
    <t>Cooling Degree Days (CDD)</t>
  </si>
  <si>
    <t>Full year Incremental Savings (over prior year)</t>
  </si>
  <si>
    <t xml:space="preserve">Adjusted Street Lights </t>
  </si>
  <si>
    <t xml:space="preserve">Adjusted Unmetered Loads </t>
  </si>
  <si>
    <t>Half 2014 impact is included in 2014 CDM variable. Full 2014 persistence is included in 2015 and 2016 CDM variable</t>
  </si>
  <si>
    <t>SD&amp;G is Stormont , Dundasand Glengarry United Counties. Included in Morrisburg.</t>
  </si>
  <si>
    <t>General Service  50 to 4,999 kW</t>
  </si>
  <si>
    <t>Actual Purchases kWh</t>
  </si>
  <si>
    <t>From IESO (OPA) 2011-2014 Final Report</t>
  </si>
  <si>
    <t xml:space="preserve"> Annual Increment (net of persistence from prior year)</t>
  </si>
  <si>
    <t>Reported Savings Adjusted for Half Year Rule</t>
  </si>
  <si>
    <t xml:space="preserve">Reported Savings (kWh) Net </t>
  </si>
  <si>
    <t>2016  Normal</t>
  </si>
  <si>
    <t>2016 Normal -10 year average</t>
  </si>
  <si>
    <t>2016 Normal -20 year trend</t>
  </si>
  <si>
    <t>2015 Actual Weather</t>
  </si>
  <si>
    <t>11 year</t>
  </si>
  <si>
    <t xml:space="preserve">2015 Actual </t>
  </si>
  <si>
    <t>Table 3.2</t>
  </si>
  <si>
    <t>Table 3.8:  Purchased vs Weather Adjusted</t>
  </si>
  <si>
    <t>Table 3.12 Customer/Connection Data</t>
  </si>
  <si>
    <t>Table 3.13 Growth Rate in Customer Numbers</t>
  </si>
  <si>
    <t>Table 3.26: RSL Weather Normalized Load Forecast for 2016 Rate Application</t>
  </si>
  <si>
    <t xml:space="preserve">Table 3.13: Growth Rate in Customer Numbers </t>
  </si>
  <si>
    <t>Table 3.9:  Predicted VS Actual</t>
  </si>
  <si>
    <t>Note: 2005 - 2014 monlthly data was used in regression analysis.</t>
  </si>
  <si>
    <t xml:space="preserve">         </t>
  </si>
  <si>
    <t>Ontario Real GDP</t>
  </si>
  <si>
    <t>Customer Count (R+C+I)</t>
  </si>
  <si>
    <t>Scenario 1</t>
  </si>
  <si>
    <t>Scenario 2</t>
  </si>
  <si>
    <t>Scenario 3</t>
  </si>
  <si>
    <t>Scenario 4</t>
  </si>
  <si>
    <t>don't delete - linked to Chapter 2</t>
  </si>
</sst>
</file>

<file path=xl/styles.xml><?xml version="1.0" encoding="utf-8"?>
<styleSheet xmlns="http://schemas.openxmlformats.org/spreadsheetml/2006/main" xmlns:mc="http://schemas.openxmlformats.org/markup-compatibility/2006" xmlns:x14ac="http://schemas.microsoft.com/office/spreadsheetml/2009/9/ac" mc:Ignorable="x14ac">
  <numFmts count="137">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
    <numFmt numFmtId="168" formatCode="0.0"/>
    <numFmt numFmtId="169" formatCode="#,##0;\(#,##0\)"/>
    <numFmt numFmtId="170" formatCode="0.0000"/>
    <numFmt numFmtId="171" formatCode="#,##0.0000"/>
    <numFmt numFmtId="172" formatCode="0.0000%"/>
    <numFmt numFmtId="173" formatCode="_(* #,##0_);_(* \(#,##0\);_(* &quot;-&quot;??_);_(@_)"/>
    <numFmt numFmtId="174" formatCode="_(* #,##0.0_);_(* \(#,##0.0\);_(* &quot;-&quot;??_);_(@_)"/>
    <numFmt numFmtId="175" formatCode="_(* #,##0.0000_);_(* \(#,##0.0000\);_(* &quot;-&quot;??_);_(@_)"/>
    <numFmt numFmtId="176" formatCode="_-* #,##0_-;\-* #,##0_-;_-* &quot;-&quot;??_-;_-@_-"/>
    <numFmt numFmtId="177" formatCode="_-* #,##0.0_-;\-* #,##0.0_-;_-* &quot;-&quot;??_-;_-@_-"/>
    <numFmt numFmtId="178" formatCode="_-* #,##0.0000000_-;\-* #,##0.0000000_-;_-* &quot;-&quot;??_-;_-@_-"/>
    <numFmt numFmtId="179" formatCode="#,##0.0"/>
    <numFmt numFmtId="180" formatCode="mm/dd/yyyy"/>
    <numFmt numFmtId="181" formatCode="0\-0"/>
    <numFmt numFmtId="182" formatCode="##\-#"/>
    <numFmt numFmtId="183" formatCode="&quot;£ &quot;#,##0.00;[Red]\-&quot;£ &quot;#,##0.00"/>
    <numFmt numFmtId="184" formatCode="[$-F800]dddd\,\ mmmm\ dd\,\ yyyy"/>
    <numFmt numFmtId="185" formatCode="_-* #,##0.0000_-;\-* #,##0.0000_-;_-* &quot;-&quot;????_-;_-@_-"/>
    <numFmt numFmtId="186" formatCode="#,##0.000"/>
    <numFmt numFmtId="187" formatCode="#,##0.000000"/>
    <numFmt numFmtId="188" formatCode="_(&quot;$&quot;* #,##0_);_(&quot;$&quot;* \(#,##0\);_(&quot;$&quot;* &quot;-&quot;??_);_(@_)"/>
    <numFmt numFmtId="189" formatCode="#,##0.0_);[Red]\(#,##0.0\)"/>
    <numFmt numFmtId="190" formatCode="#,##0.0_);\(#,##0.0\)"/>
    <numFmt numFmtId="191" formatCode="&quot;$&quot;_(#,##0.00_);&quot;$&quot;\(#,##0.00\)"/>
    <numFmt numFmtId="192" formatCode="_(&quot;$&quot;* #,##0.00000000000000000_);_(&quot;$&quot;* \(#,##0.00000000000000000\);_(&quot;$&quot;* &quot;-&quot;??_);_(@_)"/>
    <numFmt numFmtId="193" formatCode="_-&quot;£&quot;* #,##0.00_-;\-&quot;£&quot;* #,##0.00_-;_-&quot;£&quot;* &quot;-&quot;??_-;_-@_-"/>
    <numFmt numFmtId="194" formatCode="#,##0.0_)\x;\(#,##0.0\)\x"/>
    <numFmt numFmtId="195" formatCode="_(&quot;$&quot;* #,##0.00000000_);_(&quot;$&quot;* \(#,##0.00000000\);_(&quot;$&quot;* &quot;-&quot;??_);_(@_)"/>
    <numFmt numFmtId="196" formatCode="_(&quot;$&quot;* #,##0.00000000000_);_(&quot;$&quot;* \(#,##0.00000000000\);_(&quot;$&quot;* &quot;-&quot;??_);_(@_)"/>
    <numFmt numFmtId="197" formatCode="_(&quot;$&quot;* #,##0.000000000000_);_(&quot;$&quot;* \(#,##0.000000000000\);_(&quot;$&quot;* &quot;-&quot;??_);_(@_)"/>
    <numFmt numFmtId="198" formatCode="_-&quot;£&quot;* #,##0_-;\-&quot;£&quot;* #,##0_-;_-&quot;£&quot;* &quot;-&quot;_-;_-@_-"/>
    <numFmt numFmtId="199" formatCode="#,##0.0_)_x;\(#,##0.0\)_x"/>
    <numFmt numFmtId="200" formatCode="_(* #,##0.0_);_(* \(#,##0.0\);_(* &quot;-&quot;?_);_(@_)"/>
    <numFmt numFmtId="201" formatCode="#,##0.0_)_x;\(#,##0.0\)_x;0.0_)_x;@_)_x"/>
    <numFmt numFmtId="202" formatCode="_(&quot;$&quot;* #,##0.00000000000000_);_(&quot;$&quot;* \(#,##0.00000000000000\);_(&quot;$&quot;* &quot;-&quot;??_);_(@_)"/>
    <numFmt numFmtId="203" formatCode="0.0_)\%;\(0.0\)\%"/>
    <numFmt numFmtId="204" formatCode="_(&quot;$&quot;* #,##0.000000000000000_);_(&quot;$&quot;* \(#,##0.000000000000000\);_(&quot;$&quot;* &quot;-&quot;??_);_(@_)"/>
    <numFmt numFmtId="205" formatCode="#,##0.0_)_%;\(#,##0.0\)_%"/>
    <numFmt numFmtId="206" formatCode="_(* #,##0.000_);_(* \(#,##0.000\);_(* &quot;-&quot;??_);_(@_)"/>
    <numFmt numFmtId="207" formatCode="#,##0.0_);\(#,##0.0\);0_._0_)"/>
    <numFmt numFmtId="208" formatCode="\¥\ #,##0_);[Red]\(\¥\ #,##0\)"/>
    <numFmt numFmtId="209" formatCode="0.000000"/>
    <numFmt numFmtId="210" formatCode="[&gt;1]&quot;10Q: &quot;0&quot; qtrs&quot;;&quot;10Q: &quot;0&quot; qtr&quot;"/>
    <numFmt numFmtId="211" formatCode="0.0%;[Red]\(0.0%\)"/>
    <numFmt numFmtId="212" formatCode="#,##0.0\ \ \ _);\(#,##0.0\)\ \ "/>
    <numFmt numFmtId="213" formatCode="#,##0.00;[Red]\(#,##0.00\)"/>
    <numFmt numFmtId="214" formatCode="_-* #,##0.00\ _F_-;\-* #,##0.00\ _F_-;_-* &quot;-&quot;??\ _F_-;_-@_-"/>
    <numFmt numFmtId="215" formatCode="m\-d\-yy"/>
    <numFmt numFmtId="216" formatCode="&quot;£&quot;#,##0.00_);[Red]\(&quot;£&quot;#,##0.00\)"/>
    <numFmt numFmtId="217" formatCode="0.0_)"/>
    <numFmt numFmtId="218" formatCode="m/yy"/>
    <numFmt numFmtId="219" formatCode="#,###.0#"/>
    <numFmt numFmtId="220" formatCode="#,###.#"/>
    <numFmt numFmtId="221" formatCode="&quot;$&quot;#,##0.00"/>
    <numFmt numFmtId="222" formatCode="0000\ \-\ 0000"/>
    <numFmt numFmtId="223" formatCode="[Red][&gt;0.0000001]\+#,##0.?#;[Red][&lt;-0.0000001]\-#,##0.?#;[Green]&quot;=  &quot;"/>
    <numFmt numFmtId="224" formatCode="#.#######\x"/>
    <numFmt numFmtId="225" formatCode="0.00000E+00"/>
    <numFmt numFmtId="226" formatCode="_(* #,##0.0_);_(* \(#,##0.0\);_(* &quot;-&quot;_);_(@_)"/>
    <numFmt numFmtId="227" formatCode="_-* #,##0.00\ _D_M_-;\-* #,##0.00\ _D_M_-;_-* &quot;-&quot;??\ _D_M_-;_-@_-"/>
    <numFmt numFmtId="228" formatCode="#,##0_%_);\(#,##0\)_%;#,##0_%_);@_%_)"/>
    <numFmt numFmtId="229" formatCode="#,##0.00_%_);\(#,##0.00\)_%;**;@_%_)"/>
    <numFmt numFmtId="230" formatCode="0.000\x"/>
    <numFmt numFmtId="231" formatCode="&quot;$&quot;#,##0.00_);[Red]\(&quot;$&quot;#,##0.00\);&quot;--  &quot;;_(@_)"/>
    <numFmt numFmtId="232" formatCode="_(&quot;$&quot;* #,##0.0_);_(&quot;$&quot;* \(#,##0.0\);_(&quot;$&quot;* &quot;-&quot;_);_(@_)"/>
    <numFmt numFmtId="233" formatCode="&quot;$&quot;#,##0.00_%_);\(&quot;$&quot;#,##0.00\)_%;**;@_%_)"/>
    <numFmt numFmtId="234" formatCode="&quot;$&quot;#,##0.00_%_);\(&quot;$&quot;#,##0.00\)_%;&quot;$&quot;###0.00_%_);@_%_)"/>
    <numFmt numFmtId="235" formatCode="_(\§\ #,##0_)\ ;[Red]\(\§\ #,##0\)\ ;&quot; - &quot;;_(@\ _)"/>
    <numFmt numFmtId="236" formatCode="_(\§\ #,##0.00_);[Red]\(\§\ #,##0.00\);&quot; - &quot;_0_0;_(@_)"/>
    <numFmt numFmtId="237" formatCode="###0.00_)"/>
    <numFmt numFmtId="238" formatCode="m/d/yy_%_)"/>
    <numFmt numFmtId="239" formatCode="mmm\-dd\-yyyy"/>
    <numFmt numFmtId="240" formatCode="mmm\-d\-yyyy"/>
    <numFmt numFmtId="241" formatCode="mmm\-yyyy"/>
    <numFmt numFmtId="242" formatCode="m/d/yy_%_);;**"/>
    <numFmt numFmtId="243" formatCode="_([$€-2]* #,##0.00_);_([$€-2]* \(#,##0.00\);_([$€-2]* &quot;-&quot;??_)"/>
    <numFmt numFmtId="244" formatCode="&quot;$&quot;#,##0.000_);[Red]\(&quot;$&quot;#,##0.000\)"/>
    <numFmt numFmtId="245" formatCode="0.0000000000000"/>
    <numFmt numFmtId="246" formatCode="0_)"/>
    <numFmt numFmtId="247" formatCode="[$-409]d\-mmm\-yy;@"/>
    <numFmt numFmtId="248" formatCode="#,##0.00_);[Red]\(#,##0.00\);\-\-\ \ \ "/>
    <numFmt numFmtId="249" formatCode="General_)"/>
    <numFmt numFmtId="250" formatCode="&quot;&quot;"/>
    <numFmt numFmtId="251" formatCode="#,##0.0\ ;\(#,##0.0\ \)"/>
    <numFmt numFmtId="252" formatCode="0.0%;0.0%;\-\ "/>
    <numFmt numFmtId="253" formatCode="0.0%\ ;\(0.0%\)"/>
    <numFmt numFmtId="254" formatCode="_ * #,##0.00_)\ _$_ ;_ * \(#,##0.00\)\ _$_ ;_ * &quot;-&quot;??_)\ _$_ ;_ @_ "/>
    <numFmt numFmtId="255" formatCode="#,##0.00000\ ;\(#,##0.00000\ \)"/>
    <numFmt numFmtId="256" formatCode="0.000000000000"/>
    <numFmt numFmtId="257" formatCode="_ * #,##0.00_)\ &quot;$&quot;_ ;_ * \(#,##0.00\)\ &quot;$&quot;_ ;_ * &quot;-&quot;??_)\ &quot;$&quot;_ ;_ @_ "/>
    <numFmt numFmtId="258" formatCode="#,##0.0000\ ;\(#,##0.0000\ \)"/>
    <numFmt numFmtId="259" formatCode="0.000%\ ;\(0.000%\)"/>
    <numFmt numFmtId="260" formatCode="#,##0.0\x_)_);\(#,##0.0\x\)_);#,##0.0\x_)_);@_%_)"/>
    <numFmt numFmtId="261" formatCode="_(* #,##0.00000_);_(* \(#,##0.00000\);_(* &quot;-&quot;?_);_(@_)"/>
    <numFmt numFmtId="262" formatCode="#,##0.0_);[Red]\(#,##0.0\);&quot;--  &quot;"/>
    <numFmt numFmtId="263" formatCode="0.00_)"/>
    <numFmt numFmtId="264" formatCode="#,##0.000_);[Red]\(#,##0.000\)"/>
    <numFmt numFmtId="265" formatCode="0_);\(0\)"/>
    <numFmt numFmtId="266" formatCode="[$-1009]d\-mmm\-yy;@"/>
    <numFmt numFmtId="267" formatCode="#,##0.00&quot;x&quot;_);[Red]\(#,##0.00&quot;x&quot;\)"/>
    <numFmt numFmtId="268" formatCode="#,##0_);\(#,##0\);&quot;-  &quot;"/>
    <numFmt numFmtId="269" formatCode="#,##0.0_);\(#,##0.0\);&quot;-  &quot;"/>
    <numFmt numFmtId="270" formatCode="#,##0.0_);\(#,##0.0\);\-_)"/>
    <numFmt numFmtId="271" formatCode="0.00000000"/>
    <numFmt numFmtId="272" formatCode="#,##0.0%_);[Red]\(#,##0.0%\)"/>
    <numFmt numFmtId="273" formatCode="#,##0.00%_);[Red]\(#,##0.00%\)"/>
    <numFmt numFmtId="274" formatCode="0.0%_);\(0.0%\);&quot;-  &quot;"/>
    <numFmt numFmtId="275" formatCode="#,##0.0\%_);\(#,##0.0\%\);#,##0.0\%_);@_%_)"/>
    <numFmt numFmtId="276" formatCode="mm/dd/yy"/>
    <numFmt numFmtId="277" formatCode="0.00\ ;\-0.00\ ;&quot;- &quot;"/>
    <numFmt numFmtId="278" formatCode="#,##0\ ;[Red]\(#,##0\);\ \-\ "/>
    <numFmt numFmtId="279" formatCode="#,##0.00_);\(#,##0.00\);#,##0.00_);@_)"/>
    <numFmt numFmtId="280" formatCode="[White]General"/>
    <numFmt numFmtId="281" formatCode="#,###.##"/>
    <numFmt numFmtId="282" formatCode="&quot;$&quot;#,##0.000000_);[Red]\(&quot;$&quot;#,##0.000000\)"/>
    <numFmt numFmtId="283" formatCode="&quot;Table &quot;0"/>
    <numFmt numFmtId="284" formatCode="_(General_)"/>
    <numFmt numFmtId="285" formatCode="0.00\ "/>
    <numFmt numFmtId="286" formatCode="_-&quot;L.&quot;\ * #,##0.00_-;\-&quot;L.&quot;\ * #,##0.00_-;_-&quot;L.&quot;\ * &quot;-&quot;??_-;_-@_-"/>
    <numFmt numFmtId="287" formatCode="0_%_);\(0\)_%;0_%_);@_%_)"/>
    <numFmt numFmtId="288" formatCode="0,000\x"/>
    <numFmt numFmtId="289" formatCode="yyyy&quot;A&quot;"/>
    <numFmt numFmtId="290" formatCode="_-* #,##0\ _D_M_-;\-* #,##0\ _D_M_-;_-* &quot;-&quot;\ _D_M_-;_-@_-"/>
    <numFmt numFmtId="291" formatCode="&quot;@ &quot;0.00"/>
    <numFmt numFmtId="292" formatCode="&quot;Yes&quot;_%_);&quot;Error&quot;_%_);&quot;No&quot;_%_);&quot;--&quot;_%_)"/>
    <numFmt numFmtId="293" formatCode="#,##0.0;\-#,##0.0"/>
  </numFmts>
  <fonts count="2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name val="Arial"/>
      <family val="2"/>
    </font>
    <font>
      <sz val="10"/>
      <name val="Arial"/>
      <family val="2"/>
    </font>
    <font>
      <sz val="10"/>
      <color rgb="FFFF0000"/>
      <name val="Arial"/>
      <family val="2"/>
    </font>
    <font>
      <sz val="10"/>
      <name val="Arial"/>
      <family val="2"/>
    </font>
    <font>
      <i/>
      <sz val="8"/>
      <name val="Arial"/>
      <family val="2"/>
    </font>
    <font>
      <b/>
      <u/>
      <sz val="8"/>
      <name val="Arial"/>
      <family val="2"/>
    </font>
    <font>
      <b/>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name val="Times New Roman"/>
      <family val="1"/>
    </font>
    <font>
      <b/>
      <sz val="18"/>
      <color rgb="FF000000"/>
      <name val="Arial"/>
      <family val="2"/>
    </font>
    <font>
      <b/>
      <i/>
      <u/>
      <sz val="12"/>
      <color rgb="FF000000"/>
      <name val="Arial"/>
      <family val="2"/>
    </font>
    <font>
      <sz val="11"/>
      <name val="Arial"/>
      <family val="2"/>
    </font>
    <font>
      <b/>
      <sz val="10"/>
      <name val="Times New Roman"/>
      <family val="1"/>
    </font>
    <font>
      <i/>
      <sz val="9"/>
      <name val="Arial"/>
      <family val="2"/>
    </font>
    <font>
      <sz val="10"/>
      <color theme="9" tint="-0.249977111117893"/>
      <name val="Arial"/>
      <family val="2"/>
    </font>
    <font>
      <sz val="10"/>
      <color theme="0" tint="-0.499984740745262"/>
      <name val="Arial"/>
      <family val="2"/>
    </font>
    <font>
      <sz val="11"/>
      <color theme="0" tint="-0.499984740745262"/>
      <name val="Arial"/>
      <family val="2"/>
    </font>
    <font>
      <b/>
      <sz val="9"/>
      <color indexed="81"/>
      <name val="Tahoma"/>
      <family val="2"/>
    </font>
    <font>
      <sz val="9"/>
      <color indexed="81"/>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10"/>
      <color theme="10"/>
      <name val="Times New Roman"/>
      <family val="1"/>
    </font>
    <font>
      <u/>
      <sz val="10"/>
      <color theme="10"/>
      <name val="Arial"/>
      <family val="2"/>
    </font>
    <font>
      <u/>
      <sz val="10"/>
      <color indexed="12"/>
      <name val="Arial"/>
      <family val="2"/>
    </font>
    <font>
      <sz val="10"/>
      <color rgb="FF3F3F76"/>
      <name val="Arial"/>
      <family val="2"/>
    </font>
    <font>
      <sz val="11"/>
      <color indexed="62"/>
      <name val="Calibri"/>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color indexed="8"/>
      <name val="Arial"/>
      <family val="2"/>
    </font>
    <font>
      <b/>
      <sz val="10"/>
      <color rgb="FF3F3F3F"/>
      <name val="Arial"/>
      <family val="2"/>
    </font>
    <font>
      <b/>
      <sz val="11"/>
      <color indexed="63"/>
      <name val="Calibri"/>
      <family val="2"/>
    </font>
    <font>
      <b/>
      <sz val="18"/>
      <color indexed="56"/>
      <name val="Cambria"/>
      <family val="2"/>
    </font>
    <font>
      <b/>
      <sz val="10"/>
      <color theme="1"/>
      <name val="Arial"/>
      <family val="2"/>
    </font>
    <font>
      <b/>
      <sz val="11"/>
      <color indexed="8"/>
      <name val="Calibri"/>
      <family val="2"/>
    </font>
    <font>
      <sz val="11"/>
      <color indexed="10"/>
      <name val="Calibri"/>
      <family val="2"/>
    </font>
    <font>
      <sz val="12"/>
      <name val="Arial"/>
      <family val="2"/>
    </font>
    <font>
      <b/>
      <sz val="14"/>
      <name val="Arial"/>
      <family val="2"/>
    </font>
    <font>
      <b/>
      <u/>
      <sz val="10"/>
      <name val="Arial"/>
      <family val="2"/>
    </font>
    <font>
      <b/>
      <i/>
      <sz val="10"/>
      <name val="Arial"/>
      <family val="2"/>
    </font>
    <font>
      <b/>
      <sz val="10"/>
      <color rgb="FFFF0000"/>
      <name val="Arial"/>
      <family val="2"/>
    </font>
    <font>
      <sz val="8"/>
      <color indexed="81"/>
      <name val="Tahoma"/>
      <family val="2"/>
    </font>
    <font>
      <b/>
      <sz val="8"/>
      <color indexed="81"/>
      <name val="Tahoma"/>
      <family val="2"/>
    </font>
    <font>
      <sz val="11"/>
      <color rgb="FF000000"/>
      <name val="Calibri"/>
      <family val="2"/>
      <scheme val="minor"/>
    </font>
    <font>
      <u/>
      <sz val="11"/>
      <color theme="10"/>
      <name val="Calibri"/>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sz val="11"/>
      <color theme="1"/>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11"/>
      <color theme="10"/>
      <name val="Calibri"/>
      <family val="2"/>
      <scheme val="minor"/>
    </font>
    <font>
      <u/>
      <sz val="11"/>
      <color indexed="1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b/>
      <u/>
      <sz val="11"/>
      <name val="Arial"/>
      <family val="2"/>
    </font>
    <font>
      <sz val="10"/>
      <name val="Calibri"/>
      <family val="2"/>
    </font>
    <font>
      <sz val="12"/>
      <color theme="1"/>
      <name val="Calibri"/>
      <family val="2"/>
      <scheme val="minor"/>
    </font>
    <font>
      <sz val="10"/>
      <color theme="0" tint="-0.14999847407452621"/>
      <name val="Arial"/>
      <family val="2"/>
    </font>
    <font>
      <b/>
      <sz val="10"/>
      <color theme="0" tint="-0.14999847407452621"/>
      <name val="Arial"/>
      <family val="2"/>
    </font>
  </fonts>
  <fills count="94">
    <fill>
      <patternFill patternType="none"/>
    </fill>
    <fill>
      <patternFill patternType="gray125"/>
    </fill>
    <fill>
      <patternFill patternType="solid">
        <fgColor indexed="11"/>
        <bgColor indexed="64"/>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8" tint="0.79998168889431442"/>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3" tint="0.79998168889431442"/>
        <bgColor indexed="64"/>
      </patternFill>
    </fill>
    <fill>
      <patternFill patternType="solid">
        <fgColor theme="8" tint="0.59999389629810485"/>
        <bgColor indexed="64"/>
      </patternFill>
    </fill>
    <fill>
      <patternFill patternType="solid">
        <fgColor rgb="FF92D050"/>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auto="1"/>
      </left>
      <right/>
      <top style="thin">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thin">
        <color auto="1"/>
      </top>
      <bottom/>
      <diagonal/>
    </border>
    <border>
      <left/>
      <right style="thin">
        <color auto="1"/>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style="hair">
        <color auto="1"/>
      </left>
      <right style="hair">
        <color auto="1"/>
      </right>
      <top/>
      <bottom/>
      <diagonal/>
    </border>
    <border>
      <left style="hair">
        <color auto="1"/>
      </left>
      <right/>
      <top/>
      <bottom/>
      <diagonal/>
    </border>
    <border>
      <left style="hair">
        <color auto="1"/>
      </left>
      <right/>
      <top style="hair">
        <color auto="1"/>
      </top>
      <bottom style="thin">
        <color indexed="64"/>
      </bottom>
      <diagonal/>
    </border>
    <border>
      <left/>
      <right/>
      <top/>
      <bottom style="thin">
        <color auto="1"/>
      </bottom>
      <diagonal/>
    </border>
    <border>
      <left/>
      <right style="thin">
        <color auto="1"/>
      </right>
      <top/>
      <bottom style="thin">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auto="1"/>
      </left>
      <right/>
      <top/>
      <bottom style="thin">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thin">
        <color auto="1"/>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style="double">
        <color indexed="64"/>
      </left>
      <right/>
      <top style="thin">
        <color indexed="64"/>
      </top>
      <bottom/>
      <diagonal/>
    </border>
    <border>
      <left style="double">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s>
  <cellStyleXfs count="11943">
    <xf numFmtId="0" fontId="0" fillId="0" borderId="0"/>
    <xf numFmtId="166" fontId="7" fillId="0" borderId="0" applyFont="0" applyFill="0" applyBorder="0" applyAlignment="0" applyProtection="0"/>
    <xf numFmtId="9" fontId="7" fillId="0" borderId="0" applyFont="0" applyFill="0" applyBorder="0" applyAlignment="0" applyProtection="0"/>
    <xf numFmtId="0" fontId="16" fillId="6" borderId="1" applyNumberFormat="0" applyProtection="0">
      <alignment horizontal="left" vertical="center"/>
    </xf>
    <xf numFmtId="0" fontId="7" fillId="0" borderId="0"/>
    <xf numFmtId="166" fontId="7" fillId="0" borderId="0" applyFont="0" applyFill="0" applyBorder="0" applyAlignment="0" applyProtection="0"/>
    <xf numFmtId="166" fontId="7" fillId="0" borderId="0" applyFont="0" applyFill="0" applyBorder="0" applyAlignment="0" applyProtection="0"/>
    <xf numFmtId="3" fontId="7" fillId="0" borderId="0" applyFont="0" applyFill="0" applyBorder="0" applyAlignment="0" applyProtection="0"/>
    <xf numFmtId="164"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166" fontId="7" fillId="0" borderId="0" applyFont="0" applyFill="0" applyBorder="0" applyAlignment="0" applyProtection="0"/>
    <xf numFmtId="0" fontId="36" fillId="0" borderId="0"/>
    <xf numFmtId="43"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43" fontId="6" fillId="0" borderId="0" applyFont="0" applyFill="0" applyBorder="0" applyAlignment="0" applyProtection="0"/>
    <xf numFmtId="174" fontId="7" fillId="0" borderId="0"/>
    <xf numFmtId="179" fontId="7" fillId="0" borderId="0"/>
    <xf numFmtId="174" fontId="7" fillId="0" borderId="0"/>
    <xf numFmtId="174" fontId="7" fillId="0" borderId="0"/>
    <xf numFmtId="174" fontId="7" fillId="0" borderId="0"/>
    <xf numFmtId="174" fontId="7" fillId="0" borderId="0"/>
    <xf numFmtId="180" fontId="7" fillId="0" borderId="0"/>
    <xf numFmtId="181" fontId="7" fillId="0" borderId="0"/>
    <xf numFmtId="180" fontId="7" fillId="0" borderId="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9" fillId="41" borderId="0" applyNumberFormat="0" applyBorder="0" applyAlignment="0" applyProtection="0"/>
    <xf numFmtId="0" fontId="48"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9" fillId="42" borderId="0" applyNumberFormat="0" applyBorder="0" applyAlignment="0" applyProtection="0"/>
    <xf numFmtId="0" fontId="48"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9" fillId="43" borderId="0" applyNumberFormat="0" applyBorder="0" applyAlignment="0" applyProtection="0"/>
    <xf numFmtId="0" fontId="48"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9" fillId="44" borderId="0" applyNumberFormat="0" applyBorder="0" applyAlignment="0" applyProtection="0"/>
    <xf numFmtId="0" fontId="48"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9" fillId="45" borderId="0" applyNumberFormat="0" applyBorder="0" applyAlignment="0" applyProtection="0"/>
    <xf numFmtId="0" fontId="48"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46" borderId="0" applyNumberFormat="0" applyBorder="0" applyAlignment="0" applyProtection="0"/>
    <xf numFmtId="0" fontId="48"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9" fillId="47" borderId="0" applyNumberFormat="0" applyBorder="0" applyAlignment="0" applyProtection="0"/>
    <xf numFmtId="0" fontId="48"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9" fillId="48" borderId="0" applyNumberFormat="0" applyBorder="0" applyAlignment="0" applyProtection="0"/>
    <xf numFmtId="0" fontId="48"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49" borderId="0" applyNumberFormat="0" applyBorder="0" applyAlignment="0" applyProtection="0"/>
    <xf numFmtId="0" fontId="48"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9" fillId="44" borderId="0" applyNumberFormat="0" applyBorder="0" applyAlignment="0" applyProtection="0"/>
    <xf numFmtId="0" fontId="48"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9" fillId="47" borderId="0" applyNumberFormat="0" applyBorder="0" applyAlignment="0" applyProtection="0"/>
    <xf numFmtId="0" fontId="48"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9" fillId="50" borderId="0" applyNumberFormat="0" applyBorder="0" applyAlignment="0" applyProtection="0"/>
    <xf numFmtId="0" fontId="48"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51" borderId="0" applyNumberFormat="0" applyBorder="0" applyAlignment="0" applyProtection="0"/>
    <xf numFmtId="0" fontId="50" fillId="17" borderId="0" applyNumberFormat="0" applyBorder="0" applyAlignment="0" applyProtection="0"/>
    <xf numFmtId="0" fontId="35"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1" fillId="48" borderId="0" applyNumberFormat="0" applyBorder="0" applyAlignment="0" applyProtection="0"/>
    <xf numFmtId="0" fontId="50" fillId="21" borderId="0" applyNumberFormat="0" applyBorder="0" applyAlignment="0" applyProtection="0"/>
    <xf numFmtId="0" fontId="35"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1" fillId="49" borderId="0" applyNumberFormat="0" applyBorder="0" applyAlignment="0" applyProtection="0"/>
    <xf numFmtId="0" fontId="50" fillId="25" borderId="0" applyNumberFormat="0" applyBorder="0" applyAlignment="0" applyProtection="0"/>
    <xf numFmtId="0" fontId="35"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1" fillId="52" borderId="0" applyNumberFormat="0" applyBorder="0" applyAlignment="0" applyProtection="0"/>
    <xf numFmtId="0" fontId="50" fillId="29" borderId="0" applyNumberFormat="0" applyBorder="0" applyAlignment="0" applyProtection="0"/>
    <xf numFmtId="0" fontId="35"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1" fillId="53" borderId="0" applyNumberFormat="0" applyBorder="0" applyAlignment="0" applyProtection="0"/>
    <xf numFmtId="0" fontId="50" fillId="33" borderId="0" applyNumberFormat="0" applyBorder="0" applyAlignment="0" applyProtection="0"/>
    <xf numFmtId="0" fontId="35"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1" fillId="54" borderId="0" applyNumberFormat="0" applyBorder="0" applyAlignment="0" applyProtection="0"/>
    <xf numFmtId="0" fontId="50" fillId="37" borderId="0" applyNumberFormat="0" applyBorder="0" applyAlignment="0" applyProtection="0"/>
    <xf numFmtId="0" fontId="35"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55" borderId="0" applyNumberFormat="0" applyBorder="0" applyAlignment="0" applyProtection="0"/>
    <xf numFmtId="0" fontId="50" fillId="14" borderId="0" applyNumberFormat="0" applyBorder="0" applyAlignment="0" applyProtection="0"/>
    <xf numFmtId="0" fontId="35"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56" borderId="0" applyNumberFormat="0" applyBorder="0" applyAlignment="0" applyProtection="0"/>
    <xf numFmtId="0" fontId="50" fillId="18" borderId="0" applyNumberFormat="0" applyBorder="0" applyAlignment="0" applyProtection="0"/>
    <xf numFmtId="0" fontId="35"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57" borderId="0" applyNumberFormat="0" applyBorder="0" applyAlignment="0" applyProtection="0"/>
    <xf numFmtId="0" fontId="50" fillId="22" borderId="0" applyNumberFormat="0" applyBorder="0" applyAlignment="0" applyProtection="0"/>
    <xf numFmtId="0" fontId="35"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52" borderId="0" applyNumberFormat="0" applyBorder="0" applyAlignment="0" applyProtection="0"/>
    <xf numFmtId="0" fontId="50" fillId="26" borderId="0" applyNumberFormat="0" applyBorder="0" applyAlignment="0" applyProtection="0"/>
    <xf numFmtId="0" fontId="35"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53" borderId="0" applyNumberFormat="0" applyBorder="0" applyAlignment="0" applyProtection="0"/>
    <xf numFmtId="0" fontId="50" fillId="30" borderId="0" applyNumberFormat="0" applyBorder="0" applyAlignment="0" applyProtection="0"/>
    <xf numFmtId="0" fontId="35"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58" borderId="0" applyNumberFormat="0" applyBorder="0" applyAlignment="0" applyProtection="0"/>
    <xf numFmtId="0" fontId="50" fillId="34" borderId="0" applyNumberFormat="0" applyBorder="0" applyAlignment="0" applyProtection="0"/>
    <xf numFmtId="0" fontId="35"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3" fillId="42" borderId="0" applyNumberFormat="0" applyBorder="0" applyAlignment="0" applyProtection="0"/>
    <xf numFmtId="0" fontId="52" fillId="8" borderId="0" applyNumberFormat="0" applyBorder="0" applyAlignment="0" applyProtection="0"/>
    <xf numFmtId="0" fontId="25"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4" fillId="11" borderId="25" applyNumberFormat="0" applyAlignment="0" applyProtection="0"/>
    <xf numFmtId="0" fontId="54" fillId="11" borderId="25" applyNumberFormat="0" applyAlignment="0" applyProtection="0"/>
    <xf numFmtId="0" fontId="54" fillId="11" borderId="25" applyNumberFormat="0" applyAlignment="0" applyProtection="0"/>
    <xf numFmtId="0" fontId="54" fillId="11" borderId="25" applyNumberFormat="0" applyAlignment="0" applyProtection="0"/>
    <xf numFmtId="0" fontId="54" fillId="11" borderId="25" applyNumberFormat="0" applyAlignment="0" applyProtection="0"/>
    <xf numFmtId="0" fontId="54" fillId="11" borderId="25" applyNumberFormat="0" applyAlignment="0" applyProtection="0"/>
    <xf numFmtId="0" fontId="55" fillId="59" borderId="32" applyNumberFormat="0" applyAlignment="0" applyProtection="0"/>
    <xf numFmtId="0" fontId="54" fillId="11" borderId="25" applyNumberFormat="0" applyAlignment="0" applyProtection="0"/>
    <xf numFmtId="0" fontId="29" fillId="11" borderId="25" applyNumberFormat="0" applyAlignment="0" applyProtection="0"/>
    <xf numFmtId="0" fontId="54" fillId="11" borderId="25" applyNumberFormat="0" applyAlignment="0" applyProtection="0"/>
    <xf numFmtId="0" fontId="54" fillId="11" borderId="25" applyNumberFormat="0" applyAlignment="0" applyProtection="0"/>
    <xf numFmtId="0" fontId="54" fillId="11" borderId="25" applyNumberFormat="0" applyAlignment="0" applyProtection="0"/>
    <xf numFmtId="0" fontId="54" fillId="11" borderId="25" applyNumberFormat="0" applyAlignment="0" applyProtection="0"/>
    <xf numFmtId="0" fontId="54" fillId="11" borderId="25" applyNumberFormat="0" applyAlignment="0" applyProtection="0"/>
    <xf numFmtId="0" fontId="54" fillId="11" borderId="25" applyNumberFormat="0" applyAlignment="0" applyProtection="0"/>
    <xf numFmtId="0" fontId="54" fillId="11" borderId="25" applyNumberFormat="0" applyAlignment="0" applyProtection="0"/>
    <xf numFmtId="0" fontId="56" fillId="12" borderId="28" applyNumberFormat="0" applyAlignment="0" applyProtection="0"/>
    <xf numFmtId="0" fontId="56" fillId="12" borderId="28" applyNumberFormat="0" applyAlignment="0" applyProtection="0"/>
    <xf numFmtId="0" fontId="56" fillId="12" borderId="28" applyNumberFormat="0" applyAlignment="0" applyProtection="0"/>
    <xf numFmtId="0" fontId="56" fillId="12" borderId="28" applyNumberFormat="0" applyAlignment="0" applyProtection="0"/>
    <xf numFmtId="0" fontId="56" fillId="12" borderId="28" applyNumberFormat="0" applyAlignment="0" applyProtection="0"/>
    <xf numFmtId="0" fontId="56" fillId="12" borderId="28" applyNumberFormat="0" applyAlignment="0" applyProtection="0"/>
    <xf numFmtId="0" fontId="57" fillId="60" borderId="33" applyNumberFormat="0" applyAlignment="0" applyProtection="0"/>
    <xf numFmtId="0" fontId="56" fillId="12" borderId="28" applyNumberFormat="0" applyAlignment="0" applyProtection="0"/>
    <xf numFmtId="0" fontId="31" fillId="12" borderId="28" applyNumberFormat="0" applyAlignment="0" applyProtection="0"/>
    <xf numFmtId="0" fontId="56" fillId="12" borderId="28" applyNumberFormat="0" applyAlignment="0" applyProtection="0"/>
    <xf numFmtId="0" fontId="56" fillId="12" borderId="28" applyNumberFormat="0" applyAlignment="0" applyProtection="0"/>
    <xf numFmtId="0" fontId="56" fillId="12" borderId="28" applyNumberFormat="0" applyAlignment="0" applyProtection="0"/>
    <xf numFmtId="0" fontId="56" fillId="12" borderId="28" applyNumberFormat="0" applyAlignment="0" applyProtection="0"/>
    <xf numFmtId="0" fontId="56" fillId="12" borderId="28" applyNumberFormat="0" applyAlignment="0" applyProtection="0"/>
    <xf numFmtId="0" fontId="56" fillId="12" borderId="28" applyNumberFormat="0" applyAlignment="0" applyProtection="0"/>
    <xf numFmtId="0" fontId="56" fillId="12" borderId="28" applyNumberFormat="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166"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165" fontId="7" fillId="0" borderId="0" applyFont="0" applyFill="0" applyBorder="0" applyAlignment="0" applyProtection="0"/>
    <xf numFmtId="4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1" fillId="43" borderId="0" applyNumberFormat="0" applyBorder="0" applyAlignment="0" applyProtection="0"/>
    <xf numFmtId="0" fontId="60" fillId="7" borderId="0" applyNumberFormat="0" applyBorder="0" applyAlignment="0" applyProtection="0"/>
    <xf numFmtId="0" fontId="24"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38" fontId="13" fillId="61" borderId="0" applyNumberFormat="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3" fillId="0" borderId="34" applyNumberFormat="0" applyFill="0" applyAlignment="0" applyProtection="0"/>
    <xf numFmtId="0" fontId="62" fillId="0" borderId="22" applyNumberFormat="0" applyFill="0" applyAlignment="0" applyProtection="0"/>
    <xf numFmtId="0" fontId="21"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5" fillId="0" borderId="35" applyNumberFormat="0" applyFill="0" applyAlignment="0" applyProtection="0"/>
    <xf numFmtId="0" fontId="64" fillId="0" borderId="23" applyNumberFormat="0" applyFill="0" applyAlignment="0" applyProtection="0"/>
    <xf numFmtId="0" fontId="22"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7" fillId="0" borderId="36" applyNumberFormat="0" applyFill="0" applyAlignment="0" applyProtection="0"/>
    <xf numFmtId="0" fontId="66" fillId="0" borderId="24" applyNumberFormat="0" applyFill="0" applyAlignment="0" applyProtection="0"/>
    <xf numFmtId="0" fontId="23"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10" fontId="13" fillId="62" borderId="1" applyNumberFormat="0" applyBorder="0" applyAlignment="0" applyProtection="0"/>
    <xf numFmtId="0" fontId="71" fillId="10" borderId="25" applyNumberFormat="0" applyAlignment="0" applyProtection="0"/>
    <xf numFmtId="0" fontId="71" fillId="10" borderId="25" applyNumberFormat="0" applyAlignment="0" applyProtection="0"/>
    <xf numFmtId="0" fontId="71" fillId="10" borderId="25" applyNumberFormat="0" applyAlignment="0" applyProtection="0"/>
    <xf numFmtId="0" fontId="71" fillId="10" borderId="25" applyNumberFormat="0" applyAlignment="0" applyProtection="0"/>
    <xf numFmtId="0" fontId="71" fillId="10" borderId="25" applyNumberFormat="0" applyAlignment="0" applyProtection="0"/>
    <xf numFmtId="0" fontId="71" fillId="10" borderId="25" applyNumberFormat="0" applyAlignment="0" applyProtection="0"/>
    <xf numFmtId="0" fontId="72" fillId="46" borderId="32" applyNumberFormat="0" applyAlignment="0" applyProtection="0"/>
    <xf numFmtId="0" fontId="72" fillId="46" borderId="32" applyNumberFormat="0" applyAlignment="0" applyProtection="0"/>
    <xf numFmtId="0" fontId="72" fillId="46" borderId="32" applyNumberFormat="0" applyAlignment="0" applyProtection="0"/>
    <xf numFmtId="0" fontId="72" fillId="46" borderId="32" applyNumberFormat="0" applyAlignment="0" applyProtection="0"/>
    <xf numFmtId="0" fontId="71" fillId="10" borderId="25" applyNumberFormat="0" applyAlignment="0" applyProtection="0"/>
    <xf numFmtId="0" fontId="27" fillId="10" borderId="25" applyNumberFormat="0" applyAlignment="0" applyProtection="0"/>
    <xf numFmtId="0" fontId="72" fillId="46" borderId="32" applyNumberFormat="0" applyAlignment="0" applyProtection="0"/>
    <xf numFmtId="0" fontId="72" fillId="46" borderId="32" applyNumberFormat="0" applyAlignment="0" applyProtection="0"/>
    <xf numFmtId="0" fontId="72" fillId="46" borderId="32" applyNumberFormat="0" applyAlignment="0" applyProtection="0"/>
    <xf numFmtId="0" fontId="72" fillId="46" borderId="32" applyNumberFormat="0" applyAlignment="0" applyProtection="0"/>
    <xf numFmtId="0" fontId="72" fillId="46" borderId="32" applyNumberFormat="0" applyAlignment="0" applyProtection="0"/>
    <xf numFmtId="0" fontId="72" fillId="46" borderId="32" applyNumberFormat="0" applyAlignment="0" applyProtection="0"/>
    <xf numFmtId="0" fontId="72" fillId="46" borderId="32" applyNumberFormat="0" applyAlignment="0" applyProtection="0"/>
    <xf numFmtId="0" fontId="71" fillId="10" borderId="25" applyNumberFormat="0" applyAlignment="0" applyProtection="0"/>
    <xf numFmtId="0" fontId="71" fillId="10" borderId="25" applyNumberFormat="0" applyAlignment="0" applyProtection="0"/>
    <xf numFmtId="0" fontId="71" fillId="10" borderId="25" applyNumberFormat="0" applyAlignment="0" applyProtection="0"/>
    <xf numFmtId="0" fontId="71" fillId="10" borderId="25" applyNumberFormat="0" applyAlignment="0" applyProtection="0"/>
    <xf numFmtId="0" fontId="71" fillId="10" borderId="25" applyNumberFormat="0" applyAlignment="0" applyProtection="0"/>
    <xf numFmtId="0" fontId="71" fillId="10" borderId="25" applyNumberFormat="0" applyAlignment="0" applyProtection="0"/>
    <xf numFmtId="0" fontId="71" fillId="10" borderId="25" applyNumberFormat="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4" fillId="0" borderId="37" applyNumberFormat="0" applyFill="0" applyAlignment="0" applyProtection="0"/>
    <xf numFmtId="0" fontId="73" fillId="0" borderId="27" applyNumberFormat="0" applyFill="0" applyAlignment="0" applyProtection="0"/>
    <xf numFmtId="0" fontId="30"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182" fontId="7" fillId="0" borderId="0"/>
    <xf numFmtId="173" fontId="7" fillId="0" borderId="0"/>
    <xf numFmtId="182" fontId="7" fillId="0" borderId="0"/>
    <xf numFmtId="182" fontId="7" fillId="0" borderId="0"/>
    <xf numFmtId="182" fontId="7" fillId="0" borderId="0"/>
    <xf numFmtId="182" fontId="7" fillId="0" borderId="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6" fillId="63" borderId="0" applyNumberFormat="0" applyBorder="0" applyAlignment="0" applyProtection="0"/>
    <xf numFmtId="0" fontId="75" fillId="9" borderId="0" applyNumberFormat="0" applyBorder="0" applyAlignment="0" applyProtection="0"/>
    <xf numFmtId="0" fontId="26"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183" fontId="7"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7" fillId="0" borderId="0"/>
    <xf numFmtId="0" fontId="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37" fillId="0" borderId="0"/>
    <xf numFmtId="0" fontId="7" fillId="0" borderId="0"/>
    <xf numFmtId="0" fontId="6" fillId="0" borderId="0"/>
    <xf numFmtId="0" fontId="6" fillId="0" borderId="0"/>
    <xf numFmtId="0" fontId="7" fillId="0" borderId="0"/>
    <xf numFmtId="0" fontId="6" fillId="0" borderId="0"/>
    <xf numFmtId="0" fontId="7" fillId="0" borderId="0"/>
    <xf numFmtId="0" fontId="37" fillId="0" borderId="0"/>
    <xf numFmtId="0" fontId="7" fillId="0" borderId="0"/>
    <xf numFmtId="0" fontId="7" fillId="0" borderId="0"/>
    <xf numFmtId="0" fontId="7" fillId="0" borderId="0"/>
    <xf numFmtId="0" fontId="37" fillId="0" borderId="0"/>
    <xf numFmtId="0" fontId="37" fillId="0" borderId="0"/>
    <xf numFmtId="0" fontId="6" fillId="0" borderId="0"/>
    <xf numFmtId="0" fontId="6" fillId="0" borderId="0"/>
    <xf numFmtId="0" fontId="6"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0" fontId="6" fillId="0" borderId="0"/>
    <xf numFmtId="0" fontId="6"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6" fillId="0" borderId="0"/>
    <xf numFmtId="0" fontId="6" fillId="0" borderId="0"/>
    <xf numFmtId="0" fontId="48" fillId="0" borderId="0"/>
    <xf numFmtId="0" fontId="48" fillId="0" borderId="0"/>
    <xf numFmtId="0" fontId="48" fillId="0" borderId="0"/>
    <xf numFmtId="0" fontId="77" fillId="13" borderId="29" applyNumberFormat="0" applyFont="0" applyAlignment="0" applyProtection="0"/>
    <xf numFmtId="0" fontId="77" fillId="13" borderId="29" applyNumberFormat="0" applyFont="0" applyAlignment="0" applyProtection="0"/>
    <xf numFmtId="0" fontId="77" fillId="13" borderId="29" applyNumberFormat="0" applyFont="0" applyAlignment="0" applyProtection="0"/>
    <xf numFmtId="0" fontId="77" fillId="13" borderId="29" applyNumberFormat="0" applyFont="0" applyAlignment="0" applyProtection="0"/>
    <xf numFmtId="0" fontId="77" fillId="13" borderId="29" applyNumberFormat="0" applyFont="0" applyAlignment="0" applyProtection="0"/>
    <xf numFmtId="0" fontId="77" fillId="13" borderId="29" applyNumberFormat="0" applyFont="0" applyAlignment="0" applyProtection="0"/>
    <xf numFmtId="0" fontId="7" fillId="64" borderId="38" applyNumberFormat="0" applyFont="0" applyAlignment="0" applyProtection="0"/>
    <xf numFmtId="0" fontId="77" fillId="13" borderId="29" applyNumberFormat="0" applyFont="0" applyAlignment="0" applyProtection="0"/>
    <xf numFmtId="0" fontId="6" fillId="13" borderId="29" applyNumberFormat="0" applyFont="0" applyAlignment="0" applyProtection="0"/>
    <xf numFmtId="0" fontId="6" fillId="13" borderId="29" applyNumberFormat="0" applyFont="0" applyAlignment="0" applyProtection="0"/>
    <xf numFmtId="0" fontId="77" fillId="13" borderId="29" applyNumberFormat="0" applyFont="0" applyAlignment="0" applyProtection="0"/>
    <xf numFmtId="0" fontId="77" fillId="13" borderId="29" applyNumberFormat="0" applyFont="0" applyAlignment="0" applyProtection="0"/>
    <xf numFmtId="0" fontId="77" fillId="13" borderId="29" applyNumberFormat="0" applyFont="0" applyAlignment="0" applyProtection="0"/>
    <xf numFmtId="0" fontId="77" fillId="13" borderId="29" applyNumberFormat="0" applyFont="0" applyAlignment="0" applyProtection="0"/>
    <xf numFmtId="0" fontId="77" fillId="13" borderId="29" applyNumberFormat="0" applyFont="0" applyAlignment="0" applyProtection="0"/>
    <xf numFmtId="0" fontId="77" fillId="13" borderId="29" applyNumberFormat="0" applyFont="0" applyAlignment="0" applyProtection="0"/>
    <xf numFmtId="0" fontId="77" fillId="13" borderId="29" applyNumberFormat="0" applyFont="0" applyAlignment="0" applyProtection="0"/>
    <xf numFmtId="0" fontId="78" fillId="11" borderId="26" applyNumberFormat="0" applyAlignment="0" applyProtection="0"/>
    <xf numFmtId="0" fontId="78" fillId="11" borderId="26" applyNumberFormat="0" applyAlignment="0" applyProtection="0"/>
    <xf numFmtId="0" fontId="78" fillId="11" borderId="26" applyNumberFormat="0" applyAlignment="0" applyProtection="0"/>
    <xf numFmtId="0" fontId="78" fillId="11" borderId="26" applyNumberFormat="0" applyAlignment="0" applyProtection="0"/>
    <xf numFmtId="0" fontId="78" fillId="11" borderId="26" applyNumberFormat="0" applyAlignment="0" applyProtection="0"/>
    <xf numFmtId="0" fontId="78" fillId="11" borderId="26" applyNumberFormat="0" applyAlignment="0" applyProtection="0"/>
    <xf numFmtId="0" fontId="79" fillId="59" borderId="39" applyNumberFormat="0" applyAlignment="0" applyProtection="0"/>
    <xf numFmtId="0" fontId="78" fillId="11" borderId="26" applyNumberFormat="0" applyAlignment="0" applyProtection="0"/>
    <xf numFmtId="0" fontId="28" fillId="11" borderId="26" applyNumberFormat="0" applyAlignment="0" applyProtection="0"/>
    <xf numFmtId="0" fontId="78" fillId="11" borderId="26" applyNumberFormat="0" applyAlignment="0" applyProtection="0"/>
    <xf numFmtId="0" fontId="78" fillId="11" borderId="26" applyNumberFormat="0" applyAlignment="0" applyProtection="0"/>
    <xf numFmtId="0" fontId="78" fillId="11" borderId="26" applyNumberFormat="0" applyAlignment="0" applyProtection="0"/>
    <xf numFmtId="0" fontId="78" fillId="11" borderId="26" applyNumberFormat="0" applyAlignment="0" applyProtection="0"/>
    <xf numFmtId="0" fontId="78" fillId="11" borderId="26" applyNumberFormat="0" applyAlignment="0" applyProtection="0"/>
    <xf numFmtId="0" fontId="78" fillId="11" borderId="26" applyNumberFormat="0" applyAlignment="0" applyProtection="0"/>
    <xf numFmtId="0" fontId="78" fillId="11" borderId="26" applyNumberFormat="0" applyAlignment="0" applyProtection="0"/>
    <xf numFmtId="10" fontId="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0" fontId="7" fillId="6" borderId="40" applyNumberFormat="0" applyProtection="0">
      <alignment horizontal="left" vertical="center"/>
    </xf>
    <xf numFmtId="0" fontId="2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30" applyNumberFormat="0" applyFill="0" applyAlignment="0" applyProtection="0"/>
    <xf numFmtId="0" fontId="81" fillId="0" borderId="30" applyNumberFormat="0" applyFill="0" applyAlignment="0" applyProtection="0"/>
    <xf numFmtId="0" fontId="81" fillId="0" borderId="30" applyNumberFormat="0" applyFill="0" applyAlignment="0" applyProtection="0"/>
    <xf numFmtId="0" fontId="81" fillId="0" borderId="30" applyNumberFormat="0" applyFill="0" applyAlignment="0" applyProtection="0"/>
    <xf numFmtId="0" fontId="81" fillId="0" borderId="30" applyNumberFormat="0" applyFill="0" applyAlignment="0" applyProtection="0"/>
    <xf numFmtId="0" fontId="81" fillId="0" borderId="30" applyNumberFormat="0" applyFill="0" applyAlignment="0" applyProtection="0"/>
    <xf numFmtId="0" fontId="82" fillId="0" borderId="41" applyNumberFormat="0" applyFill="0" applyAlignment="0" applyProtection="0"/>
    <xf numFmtId="0" fontId="81" fillId="0" borderId="30" applyNumberFormat="0" applyFill="0" applyAlignment="0" applyProtection="0"/>
    <xf numFmtId="0" fontId="34" fillId="0" borderId="30" applyNumberFormat="0" applyFill="0" applyAlignment="0" applyProtection="0"/>
    <xf numFmtId="0" fontId="81" fillId="0" borderId="30" applyNumberFormat="0" applyFill="0" applyAlignment="0" applyProtection="0"/>
    <xf numFmtId="0" fontId="81" fillId="0" borderId="30" applyNumberFormat="0" applyFill="0" applyAlignment="0" applyProtection="0"/>
    <xf numFmtId="0" fontId="81" fillId="0" borderId="30" applyNumberFormat="0" applyFill="0" applyAlignment="0" applyProtection="0"/>
    <xf numFmtId="0" fontId="81" fillId="0" borderId="30" applyNumberFormat="0" applyFill="0" applyAlignment="0" applyProtection="0"/>
    <xf numFmtId="0" fontId="81" fillId="0" borderId="30" applyNumberFormat="0" applyFill="0" applyAlignment="0" applyProtection="0"/>
    <xf numFmtId="0" fontId="81" fillId="0" borderId="30" applyNumberFormat="0" applyFill="0" applyAlignment="0" applyProtection="0"/>
    <xf numFmtId="0" fontId="81" fillId="0" borderId="30"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 fillId="0" borderId="0"/>
    <xf numFmtId="0" fontId="49" fillId="13" borderId="29" applyNumberFormat="0" applyFont="0" applyAlignment="0" applyProtection="0"/>
    <xf numFmtId="166" fontId="37" fillId="0" borderId="0" applyFont="0" applyFill="0" applyBorder="0" applyAlignment="0" applyProtection="0"/>
    <xf numFmtId="166" fontId="49" fillId="0" borderId="0" applyFont="0" applyFill="0" applyBorder="0" applyAlignment="0" applyProtection="0"/>
    <xf numFmtId="166" fontId="37" fillId="0" borderId="0" applyFont="0" applyFill="0" applyBorder="0" applyAlignment="0" applyProtection="0"/>
    <xf numFmtId="165" fontId="49" fillId="0" borderId="0" applyFont="0" applyFill="0" applyBorder="0" applyAlignment="0" applyProtection="0"/>
    <xf numFmtId="0" fontId="7" fillId="0" borderId="0"/>
    <xf numFmtId="0" fontId="5" fillId="0" borderId="0"/>
    <xf numFmtId="0" fontId="37" fillId="0" borderId="0"/>
    <xf numFmtId="0" fontId="7" fillId="0" borderId="0"/>
    <xf numFmtId="0" fontId="5" fillId="0" borderId="0"/>
    <xf numFmtId="0" fontId="5" fillId="0" borderId="0"/>
    <xf numFmtId="0" fontId="7" fillId="0" borderId="0"/>
    <xf numFmtId="43" fontId="7"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6" fontId="4" fillId="0" borderId="0" applyFont="0" applyFill="0" applyBorder="0" applyAlignment="0" applyProtection="0"/>
    <xf numFmtId="0" fontId="7" fillId="0" borderId="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93" fillId="0" borderId="0">
      <alignment horizontal="right"/>
    </xf>
    <xf numFmtId="5" fontId="94" fillId="0" borderId="0" applyFont="0" applyFill="0" applyBorder="0" applyAlignment="0" applyProtection="0"/>
    <xf numFmtId="8" fontId="94" fillId="0" borderId="0" applyFont="0" applyFill="0" applyBorder="0" applyAlignment="0" applyProtection="0"/>
    <xf numFmtId="9" fontId="94" fillId="0" borderId="0" applyFont="0" applyFill="0" applyBorder="0" applyAlignment="0" applyProtection="0"/>
    <xf numFmtId="10" fontId="94" fillId="0" borderId="0" applyFont="0" applyFill="0" applyBorder="0" applyAlignment="0" applyProtection="0"/>
    <xf numFmtId="0" fontId="7" fillId="66" borderId="70" applyNumberFormat="0">
      <alignment horizontal="centerContinuous" vertical="center" wrapText="1"/>
    </xf>
    <xf numFmtId="0" fontId="7" fillId="67" borderId="70" applyNumberFormat="0">
      <alignment horizontal="left" vertical="center"/>
    </xf>
    <xf numFmtId="43" fontId="95" fillId="0" borderId="0" applyFont="0" applyFill="0" applyBorder="0" applyAlignment="0" applyProtection="0"/>
    <xf numFmtId="0" fontId="7" fillId="0" borderId="0"/>
    <xf numFmtId="0" fontId="7" fillId="0" borderId="0" applyFont="0" applyFill="0" applyBorder="0" applyAlignment="0" applyProtection="0"/>
    <xf numFmtId="190" fontId="7" fillId="0" borderId="0" applyFont="0" applyFill="0" applyBorder="0" applyAlignment="0" applyProtection="0"/>
    <xf numFmtId="0" fontId="96" fillId="0" borderId="0"/>
    <xf numFmtId="0" fontId="97" fillId="0" borderId="0" applyFont="0" applyFill="0" applyBorder="0" applyAlignment="0" applyProtection="0"/>
    <xf numFmtId="191" fontId="7" fillId="0" borderId="0" applyFont="0" applyFill="0" applyBorder="0" applyAlignment="0" applyProtection="0"/>
    <xf numFmtId="174" fontId="7" fillId="0" borderId="0" applyFont="0" applyFill="0" applyBorder="0" applyAlignment="0" applyProtection="0"/>
    <xf numFmtId="192" fontId="36" fillId="0" borderId="0" applyFont="0" applyFill="0" applyBorder="0" applyAlignment="0" applyProtection="0"/>
    <xf numFmtId="193" fontId="36" fillId="0" borderId="0" applyFont="0" applyFill="0" applyBorder="0" applyAlignment="0" applyProtection="0"/>
    <xf numFmtId="39" fontId="7" fillId="0" borderId="0" applyFont="0" applyFill="0" applyBorder="0" applyAlignment="0" applyProtection="0"/>
    <xf numFmtId="0" fontId="96" fillId="0" borderId="0"/>
    <xf numFmtId="0" fontId="7" fillId="0" borderId="0">
      <alignment vertical="top"/>
    </xf>
    <xf numFmtId="9" fontId="97" fillId="0" borderId="0">
      <alignment horizontal="right"/>
    </xf>
    <xf numFmtId="0" fontId="98" fillId="0" borderId="0" applyNumberFormat="0" applyFill="0">
      <alignment horizontal="left" vertical="center" wrapText="1"/>
    </xf>
    <xf numFmtId="194" fontId="7" fillId="0" borderId="0" applyFont="0" applyFill="0" applyBorder="0" applyAlignment="0" applyProtection="0"/>
    <xf numFmtId="195" fontId="36" fillId="0" borderId="0" applyFont="0" applyFill="0" applyBorder="0" applyAlignment="0" applyProtection="0"/>
    <xf numFmtId="196" fontId="36" fillId="0" borderId="0" applyFont="0" applyFill="0" applyBorder="0" applyAlignment="0" applyProtection="0"/>
    <xf numFmtId="197" fontId="36" fillId="0" borderId="0" applyFont="0" applyFill="0" applyBorder="0" applyAlignment="0" applyProtection="0"/>
    <xf numFmtId="198" fontId="36"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1" fontId="7" fillId="0" borderId="0" applyFont="0" applyFill="0" applyBorder="0" applyProtection="0">
      <alignment horizontal="right"/>
    </xf>
    <xf numFmtId="202" fontId="36" fillId="0" borderId="0" applyFont="0" applyFill="0" applyBorder="0" applyAlignment="0" applyProtection="0"/>
    <xf numFmtId="41" fontId="36" fillId="0" borderId="0" applyFont="0" applyFill="0" applyBorder="0" applyAlignment="0" applyProtection="0"/>
    <xf numFmtId="203" fontId="7" fillId="0" borderId="0" applyFont="0" applyFill="0" applyBorder="0" applyAlignment="0" applyProtection="0"/>
    <xf numFmtId="170" fontId="7" fillId="0" borderId="0" applyFont="0" applyFill="0" applyBorder="0" applyAlignment="0" applyProtection="0"/>
    <xf numFmtId="204" fontId="36"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0" fontId="7" fillId="0" borderId="0"/>
    <xf numFmtId="0" fontId="7" fillId="0" borderId="0"/>
    <xf numFmtId="0" fontId="99" fillId="0" borderId="0" applyFont="0" applyFill="0" applyBorder="0" applyAlignment="0" applyProtection="0"/>
    <xf numFmtId="208" fontId="99" fillId="0" borderId="0" applyFont="0" applyFill="0" applyBorder="0" applyAlignment="0" applyProtection="0"/>
    <xf numFmtId="0" fontId="36" fillId="0" borderId="0" applyNumberFormat="0" applyFill="0" applyBorder="0" applyAlignment="0" applyProtection="0"/>
    <xf numFmtId="209" fontId="98" fillId="0" borderId="0" applyNumberFormat="0" applyFill="0">
      <alignment horizontal="left" vertical="center" wrapText="1"/>
    </xf>
    <xf numFmtId="0" fontId="98" fillId="6" borderId="0" applyFont="0" applyFill="0" applyProtection="0"/>
    <xf numFmtId="190" fontId="7" fillId="0" borderId="0"/>
    <xf numFmtId="210" fontId="19" fillId="0" borderId="0" applyFill="0" applyBorder="0" applyAlignment="0" applyProtection="0">
      <alignment horizontal="right"/>
    </xf>
    <xf numFmtId="0" fontId="49" fillId="41" borderId="0" applyNumberFormat="0" applyBorder="0" applyAlignment="0" applyProtection="0"/>
    <xf numFmtId="0" fontId="2" fillId="15" borderId="0" applyNumberFormat="0" applyBorder="0" applyAlignment="0" applyProtection="0"/>
    <xf numFmtId="0" fontId="10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00" fillId="15" borderId="0" applyNumberFormat="0" applyBorder="0" applyAlignment="0" applyProtection="0"/>
    <xf numFmtId="0" fontId="2"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1"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9" fillId="42" borderId="0" applyNumberFormat="0" applyBorder="0" applyAlignment="0" applyProtection="0"/>
    <xf numFmtId="0" fontId="2" fillId="19" borderId="0" applyNumberFormat="0" applyBorder="0" applyAlignment="0" applyProtection="0"/>
    <xf numFmtId="0" fontId="10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00" fillId="19" borderId="0" applyNumberFormat="0" applyBorder="0" applyAlignment="0" applyProtection="0"/>
    <xf numFmtId="0" fontId="2"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1"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9" fillId="43" borderId="0" applyNumberFormat="0" applyBorder="0" applyAlignment="0" applyProtection="0"/>
    <xf numFmtId="0" fontId="2" fillId="23" borderId="0" applyNumberFormat="0" applyBorder="0" applyAlignment="0" applyProtection="0"/>
    <xf numFmtId="0" fontId="10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00" fillId="23" borderId="0" applyNumberFormat="0" applyBorder="0" applyAlignment="0" applyProtection="0"/>
    <xf numFmtId="0" fontId="2"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1"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9" fillId="44" borderId="0" applyNumberFormat="0" applyBorder="0" applyAlignment="0" applyProtection="0"/>
    <xf numFmtId="0" fontId="2" fillId="27" borderId="0" applyNumberFormat="0" applyBorder="0" applyAlignment="0" applyProtection="0"/>
    <xf numFmtId="0" fontId="10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00" fillId="27" borderId="0" applyNumberFormat="0" applyBorder="0" applyAlignment="0" applyProtection="0"/>
    <xf numFmtId="0" fontId="2"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1"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9" fillId="45" borderId="0" applyNumberFormat="0" applyBorder="0" applyAlignment="0" applyProtection="0"/>
    <xf numFmtId="0" fontId="2" fillId="31" borderId="0" applyNumberFormat="0" applyBorder="0" applyAlignment="0" applyProtection="0"/>
    <xf numFmtId="0" fontId="10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00" fillId="31" borderId="0" applyNumberFormat="0" applyBorder="0" applyAlignment="0" applyProtection="0"/>
    <xf numFmtId="0" fontId="2"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1"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9" fillId="46" borderId="0" applyNumberFormat="0" applyBorder="0" applyAlignment="0" applyProtection="0"/>
    <xf numFmtId="0" fontId="2" fillId="35" borderId="0" applyNumberFormat="0" applyBorder="0" applyAlignment="0" applyProtection="0"/>
    <xf numFmtId="0" fontId="10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00" fillId="35" borderId="0" applyNumberFormat="0" applyBorder="0" applyAlignment="0" applyProtection="0"/>
    <xf numFmtId="0" fontId="2"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1"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9" fillId="47" borderId="0" applyNumberFormat="0" applyBorder="0" applyAlignment="0" applyProtection="0"/>
    <xf numFmtId="0" fontId="2" fillId="16" borderId="0" applyNumberFormat="0" applyBorder="0" applyAlignment="0" applyProtection="0"/>
    <xf numFmtId="0" fontId="10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00" fillId="16" borderId="0" applyNumberFormat="0" applyBorder="0" applyAlignment="0" applyProtection="0"/>
    <xf numFmtId="0" fontId="2"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9" fillId="48" borderId="0" applyNumberFormat="0" applyBorder="0" applyAlignment="0" applyProtection="0"/>
    <xf numFmtId="0" fontId="2" fillId="20" borderId="0" applyNumberFormat="0" applyBorder="0" applyAlignment="0" applyProtection="0"/>
    <xf numFmtId="0" fontId="10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00" fillId="20" borderId="0" applyNumberFormat="0" applyBorder="0" applyAlignment="0" applyProtection="0"/>
    <xf numFmtId="0" fontId="2"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1"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9" fillId="49" borderId="0" applyNumberFormat="0" applyBorder="0" applyAlignment="0" applyProtection="0"/>
    <xf numFmtId="0" fontId="2" fillId="24" borderId="0" applyNumberFormat="0" applyBorder="0" applyAlignment="0" applyProtection="0"/>
    <xf numFmtId="0" fontId="10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00" fillId="24" borderId="0" applyNumberFormat="0" applyBorder="0" applyAlignment="0" applyProtection="0"/>
    <xf numFmtId="0" fontId="2"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1"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9" fillId="44" borderId="0" applyNumberFormat="0" applyBorder="0" applyAlignment="0" applyProtection="0"/>
    <xf numFmtId="0" fontId="2" fillId="28" borderId="0" applyNumberFormat="0" applyBorder="0" applyAlignment="0" applyProtection="0"/>
    <xf numFmtId="0" fontId="10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00" fillId="28" borderId="0" applyNumberFormat="0" applyBorder="0" applyAlignment="0" applyProtection="0"/>
    <xf numFmtId="0" fontId="2"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1"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9" fillId="47" borderId="0" applyNumberFormat="0" applyBorder="0" applyAlignment="0" applyProtection="0"/>
    <xf numFmtId="0" fontId="2" fillId="32" borderId="0" applyNumberFormat="0" applyBorder="0" applyAlignment="0" applyProtection="0"/>
    <xf numFmtId="0" fontId="10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00" fillId="32" borderId="0" applyNumberFormat="0" applyBorder="0" applyAlignment="0" applyProtection="0"/>
    <xf numFmtId="0" fontId="2"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1"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9" fillId="50" borderId="0" applyNumberFormat="0" applyBorder="0" applyAlignment="0" applyProtection="0"/>
    <xf numFmtId="0" fontId="2" fillId="36" borderId="0" applyNumberFormat="0" applyBorder="0" applyAlignment="0" applyProtection="0"/>
    <xf numFmtId="0" fontId="10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00" fillId="36" borderId="0" applyNumberFormat="0" applyBorder="0" applyAlignment="0" applyProtection="0"/>
    <xf numFmtId="0" fontId="2"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1"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51" fillId="51"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35" fillId="17" borderId="0" applyNumberFormat="0" applyBorder="0" applyAlignment="0" applyProtection="0"/>
    <xf numFmtId="0" fontId="51" fillId="48"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35" fillId="21" borderId="0" applyNumberFormat="0" applyBorder="0" applyAlignment="0" applyProtection="0"/>
    <xf numFmtId="0" fontId="51" fillId="49"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35" fillId="25" borderId="0" applyNumberFormat="0" applyBorder="0" applyAlignment="0" applyProtection="0"/>
    <xf numFmtId="0" fontId="51" fillId="52"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35" fillId="29" borderId="0" applyNumberFormat="0" applyBorder="0" applyAlignment="0" applyProtection="0"/>
    <xf numFmtId="0" fontId="51" fillId="5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35" fillId="33" borderId="0" applyNumberFormat="0" applyBorder="0" applyAlignment="0" applyProtection="0"/>
    <xf numFmtId="0" fontId="51" fillId="54"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35" fillId="37" borderId="0" applyNumberFormat="0" applyBorder="0" applyAlignment="0" applyProtection="0"/>
    <xf numFmtId="211" fontId="7" fillId="0" borderId="11">
      <alignment horizontal="right"/>
    </xf>
    <xf numFmtId="0" fontId="51" fillId="55"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102" fillId="14" borderId="0" applyNumberFormat="0" applyBorder="0" applyAlignment="0" applyProtection="0"/>
    <xf numFmtId="0" fontId="35" fillId="14" borderId="0" applyNumberFormat="0" applyBorder="0" applyAlignment="0" applyProtection="0"/>
    <xf numFmtId="0" fontId="51" fillId="56"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35" fillId="18" borderId="0" applyNumberFormat="0" applyBorder="0" applyAlignment="0" applyProtection="0"/>
    <xf numFmtId="0" fontId="51" fillId="57"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35" fillId="22" borderId="0" applyNumberFormat="0" applyBorder="0" applyAlignment="0" applyProtection="0"/>
    <xf numFmtId="0" fontId="51" fillId="52"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35" fillId="26" borderId="0" applyNumberFormat="0" applyBorder="0" applyAlignment="0" applyProtection="0"/>
    <xf numFmtId="0" fontId="51" fillId="53"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35" fillId="30" borderId="0" applyNumberFormat="0" applyBorder="0" applyAlignment="0" applyProtection="0"/>
    <xf numFmtId="0" fontId="51" fillId="5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35" fillId="34" borderId="0" applyNumberFormat="0" applyBorder="0" applyAlignment="0" applyProtection="0"/>
    <xf numFmtId="42" fontId="103" fillId="0" borderId="0" applyFont="0"/>
    <xf numFmtId="42" fontId="103" fillId="0" borderId="71" applyFont="0"/>
    <xf numFmtId="41" fontId="103" fillId="0" borderId="0" applyFont="0"/>
    <xf numFmtId="212" fontId="104" fillId="0" borderId="11">
      <alignment horizontal="right"/>
    </xf>
    <xf numFmtId="212" fontId="104" fillId="0" borderId="11" applyFill="0">
      <alignment horizontal="right"/>
    </xf>
    <xf numFmtId="213" fontId="7" fillId="0" borderId="11">
      <alignment horizontal="right"/>
    </xf>
    <xf numFmtId="3" fontId="7" fillId="0" borderId="11" applyFill="0">
      <alignment horizontal="right"/>
    </xf>
    <xf numFmtId="214" fontId="104" fillId="0" borderId="11" applyFill="0">
      <alignment horizontal="right"/>
    </xf>
    <xf numFmtId="3" fontId="105" fillId="0" borderId="11" applyFill="0">
      <alignment horizontal="right"/>
    </xf>
    <xf numFmtId="215" fontId="10" fillId="68" borderId="72">
      <alignment horizontal="center" vertical="center"/>
    </xf>
    <xf numFmtId="0" fontId="7" fillId="0" borderId="0"/>
    <xf numFmtId="190" fontId="106" fillId="0" borderId="0"/>
    <xf numFmtId="0" fontId="7" fillId="0" borderId="0"/>
    <xf numFmtId="216" fontId="7" fillId="0" borderId="11">
      <alignment horizontal="right"/>
      <protection locked="0"/>
    </xf>
    <xf numFmtId="6" fontId="104" fillId="0" borderId="11" applyNumberFormat="0" applyFont="0" applyBorder="0" applyProtection="0">
      <alignment horizontal="right"/>
    </xf>
    <xf numFmtId="217" fontId="107" fillId="69" borderId="73"/>
    <xf numFmtId="0" fontId="7" fillId="0" borderId="0" applyNumberFormat="0" applyFill="0" applyBorder="0" applyAlignment="0" applyProtection="0"/>
    <xf numFmtId="0" fontId="84" fillId="0" borderId="0" applyNumberFormat="0" applyFill="0" applyBorder="0" applyAlignment="0" applyProtection="0"/>
    <xf numFmtId="0" fontId="108" fillId="0" borderId="0"/>
    <xf numFmtId="0" fontId="53" fillId="42"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25" fillId="8" borderId="0" applyNumberFormat="0" applyBorder="0" applyAlignment="0" applyProtection="0"/>
    <xf numFmtId="1" fontId="110" fillId="70" borderId="4" applyNumberFormat="0" applyBorder="0" applyAlignment="0">
      <alignment horizontal="center" vertical="top" wrapText="1"/>
      <protection hidden="1"/>
    </xf>
    <xf numFmtId="0" fontId="111" fillId="62" borderId="0"/>
    <xf numFmtId="0" fontId="112" fillId="0" borderId="0" applyAlignment="0"/>
    <xf numFmtId="0" fontId="113" fillId="0" borderId="8" applyNumberFormat="0" applyFill="0" applyAlignment="0" applyProtection="0"/>
    <xf numFmtId="0" fontId="105" fillId="0" borderId="2" applyNumberFormat="0" applyFont="0" applyFill="0" applyAlignment="0" applyProtection="0"/>
    <xf numFmtId="0" fontId="114" fillId="0" borderId="74" applyNumberFormat="0" applyFont="0" applyFill="0" applyAlignment="0" applyProtection="0">
      <alignment horizontal="centerContinuous"/>
    </xf>
    <xf numFmtId="0" fontId="94" fillId="0" borderId="8" applyNumberFormat="0" applyFont="0" applyFill="0" applyAlignment="0" applyProtection="0"/>
    <xf numFmtId="0" fontId="94" fillId="0" borderId="4" applyNumberFormat="0" applyFont="0" applyFill="0" applyAlignment="0" applyProtection="0"/>
    <xf numFmtId="0" fontId="94" fillId="0" borderId="5" applyNumberFormat="0" applyFont="0" applyFill="0" applyAlignment="0" applyProtection="0"/>
    <xf numFmtId="0" fontId="94" fillId="0" borderId="56" applyNumberFormat="0" applyFont="0" applyFill="0" applyAlignment="0" applyProtection="0"/>
    <xf numFmtId="218" fontId="7" fillId="0" borderId="0" applyFont="0" applyFill="0" applyBorder="0" applyAlignment="0" applyProtection="0"/>
    <xf numFmtId="0" fontId="36" fillId="0" borderId="0">
      <alignment horizontal="right"/>
    </xf>
    <xf numFmtId="0" fontId="99" fillId="0" borderId="0" applyFont="0" applyFill="0" applyBorder="0" applyAlignment="0" applyProtection="0"/>
    <xf numFmtId="219" fontId="36" fillId="0" borderId="0" applyFill="0" applyBorder="0" applyAlignment="0"/>
    <xf numFmtId="220" fontId="36" fillId="0" borderId="0" applyFill="0" applyBorder="0" applyAlignment="0"/>
    <xf numFmtId="221" fontId="36" fillId="0" borderId="0" applyFill="0" applyBorder="0" applyAlignment="0"/>
    <xf numFmtId="222" fontId="36" fillId="0" borderId="0" applyFill="0" applyBorder="0" applyAlignment="0"/>
    <xf numFmtId="221" fontId="7" fillId="0" borderId="0" applyFill="0" applyBorder="0" applyAlignment="0"/>
    <xf numFmtId="219" fontId="36" fillId="0" borderId="0" applyFill="0" applyBorder="0" applyAlignment="0"/>
    <xf numFmtId="222" fontId="7" fillId="0" borderId="0" applyFill="0" applyBorder="0" applyAlignment="0"/>
    <xf numFmtId="220" fontId="36" fillId="0" borderId="0" applyFill="0" applyBorder="0" applyAlignment="0"/>
    <xf numFmtId="0" fontId="55" fillId="59" borderId="70" applyNumberFormat="0" applyAlignment="0" applyProtection="0"/>
    <xf numFmtId="0" fontId="55" fillId="59" borderId="70" applyNumberFormat="0" applyAlignment="0" applyProtection="0"/>
    <xf numFmtId="0" fontId="115" fillId="11" borderId="25" applyNumberFormat="0" applyAlignment="0" applyProtection="0"/>
    <xf numFmtId="0" fontId="115" fillId="11" borderId="25" applyNumberFormat="0" applyAlignment="0" applyProtection="0"/>
    <xf numFmtId="0" fontId="115" fillId="11" borderId="25" applyNumberFormat="0" applyAlignment="0" applyProtection="0"/>
    <xf numFmtId="0" fontId="115" fillId="11" borderId="25" applyNumberFormat="0" applyAlignment="0" applyProtection="0"/>
    <xf numFmtId="0" fontId="115" fillId="11" borderId="25" applyNumberFormat="0" applyAlignment="0" applyProtection="0"/>
    <xf numFmtId="0" fontId="115" fillId="11" borderId="25" applyNumberFormat="0" applyAlignment="0" applyProtection="0"/>
    <xf numFmtId="0" fontId="115" fillId="11" borderId="25" applyNumberFormat="0" applyAlignment="0" applyProtection="0"/>
    <xf numFmtId="0" fontId="29" fillId="11" borderId="25" applyNumberFormat="0" applyAlignment="0" applyProtection="0"/>
    <xf numFmtId="190" fontId="105" fillId="71" borderId="0" applyNumberFormat="0" applyFont="0" applyBorder="0" applyAlignment="0">
      <alignment horizontal="left"/>
    </xf>
    <xf numFmtId="223" fontId="7" fillId="0" borderId="0" applyFont="0" applyFill="0" applyBorder="0" applyProtection="0">
      <alignment horizontal="center" vertical="center"/>
    </xf>
    <xf numFmtId="0" fontId="57" fillId="60" borderId="33" applyNumberFormat="0" applyAlignment="0" applyProtection="0"/>
    <xf numFmtId="0" fontId="116" fillId="12" borderId="28" applyNumberFormat="0" applyAlignment="0" applyProtection="0"/>
    <xf numFmtId="0" fontId="116" fillId="12" borderId="28" applyNumberFormat="0" applyAlignment="0" applyProtection="0"/>
    <xf numFmtId="0" fontId="116" fillId="12" borderId="28" applyNumberFormat="0" applyAlignment="0" applyProtection="0"/>
    <xf numFmtId="0" fontId="116" fillId="12" borderId="28" applyNumberFormat="0" applyAlignment="0" applyProtection="0"/>
    <xf numFmtId="0" fontId="116" fillId="12" borderId="28" applyNumberFormat="0" applyAlignment="0" applyProtection="0"/>
    <xf numFmtId="0" fontId="116" fillId="12" borderId="28" applyNumberFormat="0" applyAlignment="0" applyProtection="0"/>
    <xf numFmtId="0" fontId="116" fillId="12" borderId="28" applyNumberFormat="0" applyAlignment="0" applyProtection="0"/>
    <xf numFmtId="0" fontId="31" fillId="12" borderId="28" applyNumberFormat="0" applyAlignment="0" applyProtection="0"/>
    <xf numFmtId="224" fontId="7" fillId="0" borderId="0" applyNumberFormat="0" applyFont="0" applyFill="0" applyAlignment="0" applyProtection="0"/>
    <xf numFmtId="0" fontId="113" fillId="0" borderId="8" applyNumberFormat="0" applyFill="0" applyProtection="0">
      <alignment horizontal="left" vertical="center"/>
    </xf>
    <xf numFmtId="0" fontId="117" fillId="0" borderId="0">
      <alignment horizontal="center" wrapText="1"/>
      <protection hidden="1"/>
    </xf>
    <xf numFmtId="0" fontId="118" fillId="0" borderId="0">
      <alignment horizontal="right"/>
    </xf>
    <xf numFmtId="168" fontId="19" fillId="0" borderId="0" applyBorder="0">
      <alignment horizontal="right"/>
    </xf>
    <xf numFmtId="168" fontId="19" fillId="0" borderId="2" applyAlignment="0">
      <alignment horizontal="right"/>
    </xf>
    <xf numFmtId="225" fontId="36" fillId="0" borderId="0"/>
    <xf numFmtId="225" fontId="36" fillId="0" borderId="0"/>
    <xf numFmtId="225" fontId="36" fillId="0" borderId="0"/>
    <xf numFmtId="225" fontId="36" fillId="0" borderId="0"/>
    <xf numFmtId="225" fontId="36" fillId="0" borderId="0"/>
    <xf numFmtId="225" fontId="36" fillId="0" borderId="0"/>
    <xf numFmtId="225" fontId="36" fillId="0" borderId="0"/>
    <xf numFmtId="225" fontId="36" fillId="0" borderId="0"/>
    <xf numFmtId="41" fontId="119" fillId="0" borderId="0" applyFont="0" applyBorder="0">
      <alignment horizontal="right"/>
    </xf>
    <xf numFmtId="219" fontId="36" fillId="0" borderId="0" applyFont="0" applyFill="0" applyBorder="0" applyAlignment="0" applyProtection="0"/>
    <xf numFmtId="226" fontId="7" fillId="0" borderId="0" applyFont="0"/>
    <xf numFmtId="0" fontId="120" fillId="0" borderId="0" applyFont="0" applyFill="0" applyBorder="0" applyProtection="0">
      <alignment horizontal="right"/>
    </xf>
    <xf numFmtId="0" fontId="120" fillId="0" borderId="0" applyFont="0" applyFill="0" applyBorder="0" applyProtection="0">
      <alignment horizontal="right"/>
    </xf>
    <xf numFmtId="170" fontId="7" fillId="0" borderId="0" applyFont="0" applyFill="0" applyBorder="0" applyAlignment="0" applyProtection="0">
      <alignment horizontal="right"/>
    </xf>
    <xf numFmtId="227" fontId="7" fillId="0" borderId="0" applyFont="0" applyFill="0" applyBorder="0" applyAlignment="0" applyProtection="0"/>
    <xf numFmtId="228" fontId="121" fillId="0" borderId="0" applyFont="0" applyFill="0" applyBorder="0" applyAlignment="0" applyProtection="0">
      <alignment horizontal="right"/>
    </xf>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173" fontId="7" fillId="0" borderId="0" applyFont="0" applyFill="0" applyBorder="0" applyAlignment="0" applyProtection="0">
      <alignment horizontal="right"/>
    </xf>
    <xf numFmtId="173" fontId="7" fillId="0" borderId="0" applyFont="0" applyFill="0" applyBorder="0" applyAlignment="0" applyProtection="0">
      <alignment horizontal="right"/>
    </xf>
    <xf numFmtId="173" fontId="7" fillId="0" borderId="0" applyFont="0" applyFill="0" applyBorder="0" applyAlignment="0" applyProtection="0">
      <alignment horizontal="right"/>
    </xf>
    <xf numFmtId="173" fontId="7" fillId="0" borderId="0" applyFont="0" applyFill="0" applyBorder="0" applyAlignment="0" applyProtection="0">
      <alignment horizontal="right"/>
    </xf>
    <xf numFmtId="43" fontId="7" fillId="0" borderId="0" applyFont="0" applyFill="0" applyBorder="0" applyAlignment="0" applyProtection="0"/>
    <xf numFmtId="43" fontId="122" fillId="0" borderId="0" applyFont="0" applyFill="0" applyBorder="0" applyAlignment="0" applyProtection="0"/>
    <xf numFmtId="43" fontId="123" fillId="0" borderId="0" applyFont="0" applyFill="0" applyBorder="0" applyAlignment="0" applyProtection="0"/>
    <xf numFmtId="173" fontId="7" fillId="0" borderId="0" applyFont="0" applyFill="0" applyBorder="0" applyAlignment="0" applyProtection="0">
      <alignment horizontal="right"/>
    </xf>
    <xf numFmtId="173" fontId="7" fillId="0" borderId="0" applyFont="0" applyFill="0" applyBorder="0" applyAlignment="0" applyProtection="0">
      <alignment horizontal="right"/>
    </xf>
    <xf numFmtId="173" fontId="7" fillId="0" borderId="0" applyFont="0" applyFill="0" applyBorder="0" applyAlignment="0" applyProtection="0">
      <alignment horizontal="right"/>
    </xf>
    <xf numFmtId="173" fontId="7" fillId="0" borderId="0" applyFont="0" applyFill="0" applyBorder="0" applyAlignment="0" applyProtection="0">
      <alignment horizontal="right"/>
    </xf>
    <xf numFmtId="43" fontId="117" fillId="0" borderId="0" applyFont="0" applyFill="0" applyBorder="0" applyAlignment="0" applyProtection="0"/>
    <xf numFmtId="43" fontId="122"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9" fontId="121"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0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27" fillId="0" borderId="0" applyFont="0" applyFill="0" applyBorder="0" applyAlignment="0" applyProtection="0"/>
    <xf numFmtId="190" fontId="128" fillId="0" borderId="0"/>
    <xf numFmtId="0" fontId="129" fillId="0" borderId="0"/>
    <xf numFmtId="0" fontId="130" fillId="72" borderId="0">
      <alignment horizontal="center" vertical="center" wrapText="1"/>
    </xf>
    <xf numFmtId="230" fontId="7" fillId="0" borderId="0" applyFill="0" applyBorder="0">
      <alignment horizontal="right"/>
      <protection locked="0"/>
    </xf>
    <xf numFmtId="231" fontId="13" fillId="0" borderId="75" applyFont="0" applyFill="0" applyBorder="0" applyAlignment="0" applyProtection="0"/>
    <xf numFmtId="220" fontId="36" fillId="0" borderId="0" applyFont="0" applyFill="0" applyBorder="0" applyAlignment="0" applyProtection="0"/>
    <xf numFmtId="232" fontId="131" fillId="0" borderId="0">
      <alignment horizontal="right"/>
    </xf>
    <xf numFmtId="8" fontId="132" fillId="0" borderId="76">
      <protection locked="0"/>
    </xf>
    <xf numFmtId="0" fontId="120" fillId="0" borderId="0" applyFont="0" applyFill="0" applyBorder="0" applyProtection="0">
      <alignment horizontal="right"/>
    </xf>
    <xf numFmtId="199" fontId="7" fillId="0" borderId="0" applyFont="0" applyFill="0" applyBorder="0" applyAlignment="0" applyProtection="0">
      <alignment horizontal="right"/>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9" fillId="0" borderId="0" applyFont="0" applyFill="0" applyBorder="0" applyAlignment="0" applyProtection="0"/>
    <xf numFmtId="44" fontId="10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7" fillId="0" borderId="0" applyFont="0" applyFill="0" applyBorder="0" applyAlignment="0" applyProtection="0"/>
    <xf numFmtId="44" fontId="124" fillId="0" borderId="0" applyFont="0" applyFill="0" applyBorder="0" applyAlignment="0" applyProtection="0"/>
    <xf numFmtId="44" fontId="84" fillId="0" borderId="0" applyFont="0" applyFill="0" applyBorder="0" applyAlignment="0" applyProtection="0"/>
    <xf numFmtId="44" fontId="125"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8" fontId="7" fillId="0" borderId="0" applyFont="0" applyFill="0" applyBorder="0" applyAlignment="0" applyProtection="0">
      <alignment horizontal="right"/>
    </xf>
    <xf numFmtId="188" fontId="7" fillId="0" borderId="0" applyFont="0" applyFill="0" applyBorder="0" applyAlignment="0" applyProtection="0">
      <alignment horizontal="right"/>
    </xf>
    <xf numFmtId="188" fontId="7" fillId="0" borderId="0" applyFont="0" applyFill="0" applyBorder="0" applyAlignment="0" applyProtection="0">
      <alignment horizontal="right"/>
    </xf>
    <xf numFmtId="188" fontId="7" fillId="0" borderId="0" applyFont="0" applyFill="0" applyBorder="0" applyAlignment="0" applyProtection="0">
      <alignment horizontal="right"/>
    </xf>
    <xf numFmtId="44" fontId="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188" fontId="7" fillId="0" borderId="0" applyFont="0" applyFill="0" applyBorder="0" applyAlignment="0" applyProtection="0">
      <alignment horizontal="right"/>
    </xf>
    <xf numFmtId="188" fontId="7" fillId="0" borderId="0" applyFont="0" applyFill="0" applyBorder="0" applyAlignment="0" applyProtection="0">
      <alignment horizontal="right"/>
    </xf>
    <xf numFmtId="188" fontId="7" fillId="0" borderId="0" applyFont="0" applyFill="0" applyBorder="0" applyAlignment="0" applyProtection="0">
      <alignment horizontal="right"/>
    </xf>
    <xf numFmtId="188" fontId="7" fillId="0" borderId="0" applyFont="0" applyFill="0" applyBorder="0" applyAlignment="0" applyProtection="0">
      <alignment horizontal="right"/>
    </xf>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233" fontId="133"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6" fillId="0" borderId="0" applyFont="0" applyFill="0" applyBorder="0" applyAlignment="0" applyProtection="0"/>
    <xf numFmtId="44" fontId="1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4"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34" fontId="36" fillId="0" borderId="0" applyFont="0" applyFill="0" applyBorder="0" applyProtection="0">
      <alignment horizontal="right"/>
    </xf>
    <xf numFmtId="235" fontId="104" fillId="0" borderId="0" applyFont="0" applyFill="0" applyBorder="0" applyAlignment="0" applyProtection="0">
      <alignment vertical="center"/>
    </xf>
    <xf numFmtId="236" fontId="104" fillId="0" borderId="0" applyFont="0" applyFill="0" applyBorder="0" applyAlignment="0" applyProtection="0">
      <alignment vertical="center"/>
    </xf>
    <xf numFmtId="0" fontId="117" fillId="0" borderId="0" applyFont="0" applyFill="0" applyBorder="0" applyAlignment="0">
      <protection locked="0"/>
    </xf>
    <xf numFmtId="0" fontId="99" fillId="0" borderId="0" applyFont="0" applyFill="0" applyBorder="0" applyAlignment="0" applyProtection="0"/>
    <xf numFmtId="237" fontId="134" fillId="0" borderId="77" applyNumberFormat="0" applyFill="0">
      <alignment horizontal="right"/>
    </xf>
    <xf numFmtId="237" fontId="134" fillId="0" borderId="77" applyNumberFormat="0" applyFill="0">
      <alignment horizontal="right"/>
    </xf>
    <xf numFmtId="1" fontId="135" fillId="0" borderId="0"/>
    <xf numFmtId="238" fontId="105" fillId="0" borderId="0" applyFont="0" applyFill="0" applyBorder="0" applyProtection="0">
      <alignment horizontal="right"/>
    </xf>
    <xf numFmtId="239" fontId="13" fillId="0" borderId="0" applyFont="0" applyFill="0" applyBorder="0" applyAlignment="0" applyProtection="0"/>
    <xf numFmtId="239" fontId="13" fillId="0" borderId="0" applyFont="0" applyFill="0" applyBorder="0" applyAlignment="0" applyProtection="0"/>
    <xf numFmtId="240" fontId="93" fillId="62" borderId="12" applyFont="0" applyFill="0" applyBorder="0" applyAlignment="0" applyProtection="0"/>
    <xf numFmtId="241" fontId="19" fillId="0" borderId="8" applyFont="0" applyFill="0" applyBorder="0" applyAlignment="0" applyProtection="0"/>
    <xf numFmtId="191" fontId="7" fillId="0" borderId="0" applyFont="0" applyFill="0" applyBorder="0" applyAlignment="0" applyProtection="0"/>
    <xf numFmtId="242" fontId="121" fillId="0" borderId="0" applyFont="0" applyFill="0" applyBorder="0" applyAlignment="0" applyProtection="0"/>
    <xf numFmtId="0" fontId="121" fillId="0" borderId="0" applyFont="0" applyFill="0" applyBorder="0" applyAlignment="0" applyProtection="0"/>
    <xf numFmtId="14" fontId="77" fillId="0" borderId="0" applyFill="0" applyBorder="0" applyAlignment="0"/>
    <xf numFmtId="0" fontId="7" fillId="0" borderId="0">
      <alignment horizontal="left" vertical="top"/>
    </xf>
    <xf numFmtId="42" fontId="136" fillId="0" borderId="0"/>
    <xf numFmtId="0" fontId="13" fillId="0" borderId="0"/>
    <xf numFmtId="41" fontId="7" fillId="0" borderId="0" applyFont="0" applyFill="0" applyBorder="0" applyAlignment="0" applyProtection="0"/>
    <xf numFmtId="43" fontId="7" fillId="0" borderId="0" applyFont="0" applyFill="0" applyBorder="0" applyAlignment="0" applyProtection="0"/>
    <xf numFmtId="0" fontId="137" fillId="0" borderId="0">
      <protection locked="0"/>
    </xf>
    <xf numFmtId="0" fontId="7" fillId="0" borderId="0"/>
    <xf numFmtId="42" fontId="36" fillId="0" borderId="0"/>
    <xf numFmtId="168" fontId="7" fillId="0" borderId="78" applyNumberFormat="0" applyFont="0" applyFill="0" applyAlignment="0" applyProtection="0"/>
    <xf numFmtId="168" fontId="7" fillId="0" borderId="78" applyNumberFormat="0" applyFont="0" applyFill="0" applyAlignment="0" applyProtection="0"/>
    <xf numFmtId="168" fontId="7" fillId="0" borderId="78" applyNumberFormat="0" applyFont="0" applyFill="0" applyAlignment="0" applyProtection="0"/>
    <xf numFmtId="42" fontId="138" fillId="0" borderId="0" applyFill="0" applyBorder="0" applyAlignment="0" applyProtection="0"/>
    <xf numFmtId="1" fontId="105" fillId="0" borderId="0"/>
    <xf numFmtId="189" fontId="139" fillId="0" borderId="0">
      <protection locked="0"/>
    </xf>
    <xf numFmtId="189" fontId="139" fillId="0" borderId="0">
      <protection locked="0"/>
    </xf>
    <xf numFmtId="219" fontId="36" fillId="0" borderId="0" applyFill="0" applyBorder="0" applyAlignment="0"/>
    <xf numFmtId="220" fontId="36" fillId="0" borderId="0" applyFill="0" applyBorder="0" applyAlignment="0"/>
    <xf numFmtId="219" fontId="36" fillId="0" borderId="0" applyFill="0" applyBorder="0" applyAlignment="0"/>
    <xf numFmtId="222" fontId="7" fillId="0" borderId="0" applyFill="0" applyBorder="0" applyAlignment="0"/>
    <xf numFmtId="220" fontId="36" fillId="0" borderId="0" applyFill="0" applyBorder="0" applyAlignment="0"/>
    <xf numFmtId="243" fontId="97" fillId="0" borderId="0" applyFont="0" applyFill="0" applyBorder="0" applyAlignment="0" applyProtection="0"/>
    <xf numFmtId="0" fontId="59"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33" fillId="0" borderId="0" applyNumberFormat="0" applyFill="0" applyBorder="0" applyAlignment="0" applyProtection="0"/>
    <xf numFmtId="244" fontId="117" fillId="73" borderId="4">
      <alignment horizontal="left"/>
    </xf>
    <xf numFmtId="1" fontId="141" fillId="74" borderId="49" applyNumberFormat="0" applyBorder="0" applyAlignment="0">
      <alignment horizontal="centerContinuous" vertical="center"/>
      <protection locked="0"/>
    </xf>
    <xf numFmtId="245" fontId="7" fillId="0" borderId="0">
      <protection locked="0"/>
    </xf>
    <xf numFmtId="224" fontId="7" fillId="0" borderId="0">
      <protection locked="0"/>
    </xf>
    <xf numFmtId="2" fontId="127" fillId="0" borderId="0" applyFont="0" applyFill="0" applyBorder="0" applyAlignment="0" applyProtection="0"/>
    <xf numFmtId="0" fontId="142" fillId="0" borderId="0" applyFill="0" applyBorder="0" applyProtection="0">
      <alignment horizontal="left"/>
    </xf>
    <xf numFmtId="0" fontId="61" fillId="43"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0" fontId="24" fillId="7" borderId="0" applyNumberFormat="0" applyBorder="0" applyAlignment="0" applyProtection="0"/>
    <xf numFmtId="0" fontId="144" fillId="0" borderId="0" applyNumberFormat="0">
      <alignment horizontal="right"/>
    </xf>
    <xf numFmtId="0" fontId="7" fillId="0" borderId="0"/>
    <xf numFmtId="0" fontId="7" fillId="0" borderId="0"/>
    <xf numFmtId="0" fontId="7" fillId="0" borderId="0"/>
    <xf numFmtId="0" fontId="7" fillId="0" borderId="0"/>
    <xf numFmtId="167" fontId="7" fillId="75" borderId="40" applyNumberFormat="0" applyFont="0" applyBorder="0" applyAlignment="0" applyProtection="0"/>
    <xf numFmtId="194" fontId="7" fillId="0" borderId="0" applyFont="0" applyFill="0" applyBorder="0" applyAlignment="0" applyProtection="0">
      <alignment horizontal="right"/>
    </xf>
    <xf numFmtId="190" fontId="145" fillId="75" borderId="0" applyNumberFormat="0" applyFont="0" applyAlignment="0"/>
    <xf numFmtId="0" fontId="146" fillId="0" borderId="0" applyProtection="0">
      <alignment horizontal="right"/>
    </xf>
    <xf numFmtId="0" fontId="11" fillId="0" borderId="19" applyNumberFormat="0" applyAlignment="0" applyProtection="0">
      <alignment horizontal="left" vertical="center"/>
    </xf>
    <xf numFmtId="0" fontId="11" fillId="0" borderId="45">
      <alignment horizontal="left" vertical="center"/>
    </xf>
    <xf numFmtId="49" fontId="147" fillId="0" borderId="0">
      <alignment horizontal="centerContinuous"/>
    </xf>
    <xf numFmtId="0" fontId="63" fillId="0" borderId="34"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1" fillId="0" borderId="22" applyNumberFormat="0" applyFill="0" applyAlignment="0" applyProtection="0"/>
    <xf numFmtId="0" fontId="148" fillId="0" borderId="0" applyNumberFormat="0" applyFill="0" applyBorder="0" applyAlignment="0" applyProtection="0"/>
    <xf numFmtId="0" fontId="65" fillId="0" borderId="35" applyNumberFormat="0" applyFill="0" applyAlignment="0" applyProtection="0"/>
    <xf numFmtId="0" fontId="149" fillId="0" borderId="0" applyProtection="0">
      <alignment horizontal="left"/>
    </xf>
    <xf numFmtId="0" fontId="149" fillId="0" borderId="0" applyProtection="0">
      <alignment horizontal="left"/>
    </xf>
    <xf numFmtId="0" fontId="149" fillId="0" borderId="0" applyProtection="0">
      <alignment horizontal="left"/>
    </xf>
    <xf numFmtId="0" fontId="149" fillId="0" borderId="0" applyProtection="0">
      <alignment horizontal="left"/>
    </xf>
    <xf numFmtId="0" fontId="22" fillId="0" borderId="23" applyNumberFormat="0" applyFill="0" applyAlignment="0" applyProtection="0"/>
    <xf numFmtId="0" fontId="149" fillId="0" borderId="0" applyProtection="0">
      <alignment horizontal="left"/>
    </xf>
    <xf numFmtId="0" fontId="67" fillId="0" borderId="36" applyNumberFormat="0" applyFill="0" applyAlignment="0" applyProtection="0"/>
    <xf numFmtId="0" fontId="150" fillId="0" borderId="0" applyProtection="0">
      <alignment horizontal="left"/>
    </xf>
    <xf numFmtId="0" fontId="150" fillId="0" borderId="0" applyProtection="0">
      <alignment horizontal="left"/>
    </xf>
    <xf numFmtId="0" fontId="150" fillId="0" borderId="0" applyProtection="0">
      <alignment horizontal="left"/>
    </xf>
    <xf numFmtId="0" fontId="150" fillId="0" borderId="0" applyProtection="0">
      <alignment horizontal="left"/>
    </xf>
    <xf numFmtId="0" fontId="151" fillId="0" borderId="24" applyNumberFormat="0" applyFill="0" applyAlignment="0" applyProtection="0"/>
    <xf numFmtId="0" fontId="23" fillId="0" borderId="24" applyNumberFormat="0" applyFill="0" applyAlignment="0" applyProtection="0"/>
    <xf numFmtId="0" fontId="150" fillId="0" borderId="0" applyProtection="0">
      <alignment horizontal="left"/>
    </xf>
    <xf numFmtId="0" fontId="67" fillId="0" borderId="0" applyNumberFormat="0" applyFill="0" applyBorder="0" applyAlignment="0" applyProtection="0"/>
    <xf numFmtId="0" fontId="152" fillId="0" borderId="0"/>
    <xf numFmtId="0" fontId="108" fillId="0" borderId="0"/>
    <xf numFmtId="246" fontId="103" fillId="0" borderId="0">
      <alignment horizontal="centerContinuous"/>
    </xf>
    <xf numFmtId="0" fontId="153" fillId="0" borderId="79" applyNumberFormat="0" applyFill="0" applyBorder="0" applyAlignment="0" applyProtection="0">
      <alignment horizontal="left"/>
    </xf>
    <xf numFmtId="246" fontId="103" fillId="0" borderId="80">
      <alignment horizontal="center"/>
    </xf>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154" fillId="0" borderId="69">
      <alignment horizontal="left" vertical="center"/>
    </xf>
    <xf numFmtId="0" fontId="154" fillId="76" borderId="0">
      <alignment horizontal="centerContinuous" wrapText="1"/>
    </xf>
    <xf numFmtId="0" fontId="15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xf numFmtId="0" fontId="70" fillId="0" borderId="0" applyNumberFormat="0" applyFill="0" applyBorder="0" applyAlignment="0" applyProtection="0">
      <alignment vertical="top"/>
      <protection locked="0"/>
    </xf>
    <xf numFmtId="0" fontId="158" fillId="0" borderId="0" applyNumberFormat="0" applyFill="0" applyBorder="0" applyAlignment="0" applyProtection="0"/>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247" fontId="70"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lignment horizontal="right"/>
    </xf>
    <xf numFmtId="10" fontId="13" fillId="62" borderId="40" applyNumberFormat="0" applyBorder="0" applyAlignment="0" applyProtection="0"/>
    <xf numFmtId="0" fontId="72" fillId="46" borderId="70" applyNumberFormat="0" applyAlignment="0" applyProtection="0"/>
    <xf numFmtId="0" fontId="72" fillId="46" borderId="70" applyNumberFormat="0" applyAlignment="0" applyProtection="0"/>
    <xf numFmtId="0" fontId="159" fillId="10" borderId="25" applyNumberFormat="0" applyAlignment="0" applyProtection="0"/>
    <xf numFmtId="0" fontId="159" fillId="10" borderId="25" applyNumberFormat="0" applyAlignment="0" applyProtection="0"/>
    <xf numFmtId="0" fontId="159" fillId="10" borderId="25" applyNumberFormat="0" applyAlignment="0" applyProtection="0"/>
    <xf numFmtId="0" fontId="159" fillId="10" borderId="25" applyNumberFormat="0" applyAlignment="0" applyProtection="0"/>
    <xf numFmtId="0" fontId="159" fillId="10" borderId="25" applyNumberFormat="0" applyAlignment="0" applyProtection="0"/>
    <xf numFmtId="0" fontId="159" fillId="10" borderId="25" applyNumberFormat="0" applyAlignment="0" applyProtection="0"/>
    <xf numFmtId="0" fontId="159" fillId="10" borderId="25" applyNumberFormat="0" applyAlignment="0" applyProtection="0"/>
    <xf numFmtId="0" fontId="27" fillId="10" borderId="25" applyNumberFormat="0" applyAlignment="0" applyProtection="0"/>
    <xf numFmtId="248" fontId="117" fillId="0" borderId="0" applyNumberFormat="0" applyFill="0" applyBorder="0" applyAlignment="0" applyProtection="0"/>
    <xf numFmtId="0" fontId="7" fillId="0" borderId="0" applyNumberFormat="0" applyFill="0" applyBorder="0" applyAlignment="0">
      <protection locked="0"/>
    </xf>
    <xf numFmtId="0" fontId="160" fillId="62" borderId="0" applyNumberFormat="0" applyFont="0" applyBorder="0" applyAlignment="0">
      <alignment horizontal="right"/>
      <protection locked="0"/>
    </xf>
    <xf numFmtId="0" fontId="161" fillId="63" borderId="0" applyNumberFormat="0" applyFont="0" applyBorder="0" applyAlignment="0">
      <alignment horizontal="right" vertical="top"/>
      <protection locked="0"/>
    </xf>
    <xf numFmtId="249" fontId="7" fillId="62" borderId="68" applyNumberFormat="0" applyFont="0" applyBorder="0" applyAlignment="0">
      <alignment horizontal="right" vertical="center"/>
      <protection locked="0"/>
    </xf>
    <xf numFmtId="0" fontId="161" fillId="63" borderId="0" applyNumberFormat="0" applyFont="0" applyBorder="0" applyAlignment="0">
      <alignment horizontal="right" vertical="top"/>
      <protection locked="0"/>
    </xf>
    <xf numFmtId="0" fontId="117" fillId="0" borderId="0" applyFill="0" applyBorder="0">
      <alignment horizontal="right"/>
      <protection locked="0"/>
    </xf>
    <xf numFmtId="250" fontId="162" fillId="0" borderId="55" applyFont="0" applyFill="0" applyBorder="0" applyAlignment="0" applyProtection="0"/>
    <xf numFmtId="251" fontId="7" fillId="0" borderId="0" applyFill="0" applyBorder="0">
      <alignment horizontal="right"/>
      <protection locked="0"/>
    </xf>
    <xf numFmtId="0" fontId="163" fillId="0" borderId="0" applyFill="0" applyBorder="0"/>
    <xf numFmtId="0" fontId="164" fillId="77" borderId="81">
      <alignment horizontal="left" vertical="center" wrapText="1"/>
    </xf>
    <xf numFmtId="0" fontId="99" fillId="0" borderId="0" applyNumberFormat="0" applyFill="0" applyBorder="0" applyProtection="0">
      <alignment horizontal="left" vertical="center"/>
    </xf>
    <xf numFmtId="0" fontId="1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6" fillId="78" borderId="0" applyNumberFormat="0" applyFont="0" applyBorder="0" applyProtection="0"/>
    <xf numFmtId="2" fontId="166" fillId="0" borderId="8"/>
    <xf numFmtId="219" fontId="36" fillId="0" borderId="0" applyFill="0" applyBorder="0" applyAlignment="0"/>
    <xf numFmtId="220" fontId="36" fillId="0" borderId="0" applyFill="0" applyBorder="0" applyAlignment="0"/>
    <xf numFmtId="219" fontId="36" fillId="0" borderId="0" applyFill="0" applyBorder="0" applyAlignment="0"/>
    <xf numFmtId="222" fontId="7" fillId="0" borderId="0" applyFill="0" applyBorder="0" applyAlignment="0"/>
    <xf numFmtId="220" fontId="36" fillId="0" borderId="0" applyFill="0" applyBorder="0" applyAlignment="0"/>
    <xf numFmtId="0" fontId="74" fillId="0" borderId="3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167" fillId="0" borderId="27" applyNumberFormat="0" applyFill="0" applyAlignment="0" applyProtection="0"/>
    <xf numFmtId="0" fontId="30" fillId="0" borderId="27" applyNumberFormat="0" applyFill="0" applyAlignment="0" applyProtection="0"/>
    <xf numFmtId="14" fontId="19" fillId="0" borderId="8" applyFont="0" applyFill="0" applyBorder="0" applyAlignment="0" applyProtection="0"/>
    <xf numFmtId="3" fontId="7" fillId="0" borderId="0"/>
    <xf numFmtId="1" fontId="168" fillId="0" borderId="0"/>
    <xf numFmtId="252" fontId="169" fillId="79" borderId="0" applyBorder="0" applyAlignment="0">
      <alignment horizontal="right"/>
    </xf>
    <xf numFmtId="41"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3" fontId="7" fillId="0" borderId="0" applyFont="0" applyFill="0" applyBorder="0" applyAlignment="0" applyProtection="0"/>
    <xf numFmtId="254" fontId="2" fillId="0" borderId="0" applyFont="0" applyFill="0" applyBorder="0" applyAlignment="0" applyProtection="0"/>
    <xf numFmtId="255" fontId="7" fillId="0" borderId="0" applyFont="0" applyFill="0" applyBorder="0" applyAlignment="0" applyProtection="0"/>
    <xf numFmtId="14" fontId="94" fillId="0" borderId="0" applyFont="0" applyFill="0" applyBorder="0" applyAlignment="0" applyProtection="0"/>
    <xf numFmtId="3" fontId="99" fillId="0" borderId="0"/>
    <xf numFmtId="3" fontId="99" fillId="0" borderId="0"/>
    <xf numFmtId="0" fontId="7" fillId="0" borderId="0" applyFont="0" applyFill="0" applyBorder="0" applyAlignment="0" applyProtection="0"/>
    <xf numFmtId="0" fontId="7" fillId="0" borderId="0" applyFont="0" applyFill="0" applyBorder="0" applyAlignment="0" applyProtection="0"/>
    <xf numFmtId="256" fontId="7" fillId="0" borderId="0" applyFont="0" applyFill="0" applyBorder="0" applyAlignment="0" applyProtection="0"/>
    <xf numFmtId="257" fontId="2" fillId="0" borderId="0" applyFont="0" applyFill="0" applyBorder="0" applyAlignment="0" applyProtection="0"/>
    <xf numFmtId="258" fontId="7" fillId="0" borderId="0" applyFont="0" applyFill="0" applyBorder="0" applyAlignment="0" applyProtection="0"/>
    <xf numFmtId="259" fontId="7" fillId="0" borderId="0">
      <protection locked="0"/>
    </xf>
    <xf numFmtId="241" fontId="13" fillId="62" borderId="0">
      <alignment horizontal="center"/>
    </xf>
    <xf numFmtId="260" fontId="121" fillId="0" borderId="0" applyFont="0" applyFill="0" applyBorder="0" applyProtection="0">
      <alignment horizontal="right"/>
    </xf>
    <xf numFmtId="261" fontId="7" fillId="0" borderId="0" applyFont="0" applyFill="0" applyBorder="0" applyAlignment="0" applyProtection="0"/>
    <xf numFmtId="174" fontId="7" fillId="0" borderId="0" applyFont="0" applyFill="0" applyBorder="0" applyAlignment="0" applyProtection="0"/>
    <xf numFmtId="0" fontId="120" fillId="0" borderId="0" applyFont="0" applyFill="0" applyBorder="0" applyProtection="0">
      <alignment horizontal="right"/>
    </xf>
    <xf numFmtId="0" fontId="120" fillId="0" borderId="0" applyFont="0" applyFill="0" applyBorder="0" applyProtection="0">
      <alignment horizontal="right"/>
    </xf>
    <xf numFmtId="0" fontId="120" fillId="0" borderId="0" applyFont="0" applyFill="0" applyBorder="0" applyProtection="0">
      <alignment horizontal="right"/>
    </xf>
    <xf numFmtId="0" fontId="7" fillId="0" borderId="0" applyFont="0" applyFill="0" applyBorder="0" applyProtection="0">
      <alignment horizontal="right"/>
    </xf>
    <xf numFmtId="168" fontId="7" fillId="0" borderId="0" applyFont="0" applyFill="0" applyBorder="0" applyProtection="0">
      <alignment horizontal="right"/>
    </xf>
    <xf numFmtId="0" fontId="7" fillId="0" borderId="65" applyBorder="0" applyAlignment="0" applyProtection="0">
      <alignment horizontal="center"/>
    </xf>
    <xf numFmtId="0" fontId="76" fillId="63" borderId="0" applyNumberFormat="0" applyBorder="0" applyAlignment="0" applyProtection="0"/>
    <xf numFmtId="0" fontId="170" fillId="9" borderId="0" applyNumberFormat="0" applyBorder="0" applyAlignment="0" applyProtection="0"/>
    <xf numFmtId="0" fontId="170" fillId="9" borderId="0" applyNumberFormat="0" applyBorder="0" applyAlignment="0" applyProtection="0"/>
    <xf numFmtId="0" fontId="170" fillId="9" borderId="0" applyNumberFormat="0" applyBorder="0" applyAlignment="0" applyProtection="0"/>
    <xf numFmtId="0" fontId="170" fillId="9" borderId="0" applyNumberFormat="0" applyBorder="0" applyAlignment="0" applyProtection="0"/>
    <xf numFmtId="0" fontId="170" fillId="9" borderId="0" applyNumberFormat="0" applyBorder="0" applyAlignment="0" applyProtection="0"/>
    <xf numFmtId="0" fontId="170" fillId="9" borderId="0" applyNumberFormat="0" applyBorder="0" applyAlignment="0" applyProtection="0"/>
    <xf numFmtId="0" fontId="170" fillId="9" borderId="0" applyNumberFormat="0" applyBorder="0" applyAlignment="0" applyProtection="0"/>
    <xf numFmtId="0" fontId="26" fillId="9" borderId="0" applyNumberFormat="0" applyBorder="0" applyAlignment="0" applyProtection="0"/>
    <xf numFmtId="0" fontId="112" fillId="0" borderId="0"/>
    <xf numFmtId="249" fontId="104" fillId="0" borderId="0" applyNumberFormat="0" applyFont="0" applyFill="0" applyBorder="0" applyAlignment="0" applyProtection="0">
      <alignment vertical="center"/>
    </xf>
    <xf numFmtId="37" fontId="171" fillId="0" borderId="0"/>
    <xf numFmtId="0" fontId="172" fillId="0" borderId="0"/>
    <xf numFmtId="0" fontId="131" fillId="80" borderId="0" applyNumberFormat="0" applyBorder="0" applyAlignment="0">
      <alignment horizontal="right"/>
      <protection hidden="1"/>
    </xf>
    <xf numFmtId="249" fontId="173" fillId="0" borderId="0" applyNumberFormat="0" applyFill="0" applyBorder="0" applyAlignment="0" applyProtection="0">
      <alignment vertical="center"/>
    </xf>
    <xf numFmtId="1" fontId="99" fillId="0" borderId="0"/>
    <xf numFmtId="262" fontId="13" fillId="0" borderId="0" applyFont="0" applyFill="0" applyBorder="0" applyAlignment="0" applyProtection="0">
      <alignment horizontal="right"/>
    </xf>
    <xf numFmtId="263" fontId="174" fillId="0" borderId="0"/>
    <xf numFmtId="37" fontId="93" fillId="81" borderId="0" applyFont="0" applyFill="0" applyBorder="0" applyAlignment="0" applyProtection="0"/>
    <xf numFmtId="189" fontId="7" fillId="0" borderId="0" applyFont="0" applyFill="0" applyBorder="0" applyAlignment="0"/>
    <xf numFmtId="264" fontId="13" fillId="0" borderId="0" applyFont="0" applyFill="0" applyBorder="0" applyAlignment="0"/>
    <xf numFmtId="265" fontId="13" fillId="0" borderId="0" applyFont="0" applyFill="0" applyBorder="0" applyAlignment="0"/>
    <xf numFmtId="264" fontId="13" fillId="0" borderId="0" applyFont="0" applyFill="0" applyBorder="0" applyAlignment="0"/>
    <xf numFmtId="0" fontId="49" fillId="0" borderId="0"/>
    <xf numFmtId="0" fontId="7" fillId="0" borderId="0"/>
    <xf numFmtId="0" fontId="7" fillId="0" borderId="0"/>
    <xf numFmtId="0" fontId="7" fillId="0" borderId="0"/>
    <xf numFmtId="0" fontId="7" fillId="0" borderId="0"/>
    <xf numFmtId="0" fontId="117" fillId="0" borderId="0"/>
    <xf numFmtId="0" fontId="2" fillId="0" borderId="0"/>
    <xf numFmtId="0" fontId="126" fillId="0" borderId="0"/>
    <xf numFmtId="0" fontId="2" fillId="0" borderId="0"/>
    <xf numFmtId="0" fontId="7" fillId="0" borderId="0"/>
    <xf numFmtId="0" fontId="2" fillId="0" borderId="0"/>
    <xf numFmtId="0" fontId="2" fillId="0" borderId="0"/>
    <xf numFmtId="0" fontId="2" fillId="0" borderId="0"/>
    <xf numFmtId="0" fontId="117" fillId="0" borderId="0"/>
    <xf numFmtId="0" fontId="7" fillId="0" borderId="0"/>
    <xf numFmtId="0" fontId="117" fillId="0" borderId="0"/>
    <xf numFmtId="0" fontId="2" fillId="0" borderId="0"/>
    <xf numFmtId="0" fontId="2" fillId="0" borderId="0"/>
    <xf numFmtId="0" fontId="2" fillId="0" borderId="0"/>
    <xf numFmtId="0" fontId="2" fillId="0" borderId="0"/>
    <xf numFmtId="0" fontId="117" fillId="0" borderId="0"/>
    <xf numFmtId="0" fontId="77" fillId="0" borderId="0">
      <alignment vertical="top"/>
    </xf>
    <xf numFmtId="0" fontId="77" fillId="0" borderId="0">
      <alignment vertical="top"/>
    </xf>
    <xf numFmtId="0" fontId="117" fillId="0" borderId="0"/>
    <xf numFmtId="0" fontId="7" fillId="0" borderId="0"/>
    <xf numFmtId="0" fontId="7" fillId="0" borderId="0"/>
    <xf numFmtId="0" fontId="117" fillId="0" borderId="0"/>
    <xf numFmtId="0" fontId="7" fillId="0" borderId="0"/>
    <xf numFmtId="0" fontId="7" fillId="0" borderId="0"/>
    <xf numFmtId="0" fontId="7" fillId="0" borderId="0"/>
    <xf numFmtId="0" fontId="7" fillId="0" borderId="0"/>
    <xf numFmtId="0" fontId="117" fillId="0" borderId="0"/>
    <xf numFmtId="0" fontId="7" fillId="0" borderId="0"/>
    <xf numFmtId="0" fontId="7" fillId="0" borderId="0"/>
    <xf numFmtId="0" fontId="117" fillId="0" borderId="0"/>
    <xf numFmtId="0" fontId="2" fillId="0" borderId="0"/>
    <xf numFmtId="0" fontId="117" fillId="0" borderId="0"/>
    <xf numFmtId="0" fontId="117" fillId="0" borderId="0"/>
    <xf numFmtId="266" fontId="7" fillId="0" borderId="0"/>
    <xf numFmtId="262" fontId="13" fillId="0" borderId="0" applyFont="0" applyFill="0" applyBorder="0" applyAlignment="0" applyProtection="0">
      <alignment horizontal="right"/>
    </xf>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77" fillId="0" borderId="0"/>
    <xf numFmtId="0" fontId="117" fillId="0" borderId="0"/>
    <xf numFmtId="0" fontId="48" fillId="0" borderId="0"/>
    <xf numFmtId="0" fontId="7" fillId="0" borderId="0"/>
    <xf numFmtId="0" fontId="7" fillId="0" borderId="0"/>
    <xf numFmtId="0" fontId="48" fillId="0" borderId="0"/>
    <xf numFmtId="0" fontId="117" fillId="0" borderId="0"/>
    <xf numFmtId="0" fontId="7" fillId="0" borderId="0"/>
    <xf numFmtId="0" fontId="7" fillId="0" borderId="0"/>
    <xf numFmtId="0" fontId="117" fillId="0" borderId="0"/>
    <xf numFmtId="0" fontId="117" fillId="0" borderId="0"/>
    <xf numFmtId="247" fontId="7" fillId="0" borderId="0"/>
    <xf numFmtId="0" fontId="48"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0" fontId="2" fillId="0" borderId="0"/>
    <xf numFmtId="0" fontId="2" fillId="0" borderId="0"/>
    <xf numFmtId="0" fontId="2"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84" fillId="0" borderId="0"/>
    <xf numFmtId="247" fontId="7" fillId="0" borderId="0"/>
    <xf numFmtId="0" fontId="7" fillId="0" borderId="0"/>
    <xf numFmtId="0" fontId="11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7" fillId="0" borderId="0"/>
    <xf numFmtId="0" fontId="7" fillId="0" borderId="0"/>
    <xf numFmtId="247" fontId="7" fillId="0" borderId="0"/>
    <xf numFmtId="0" fontId="7" fillId="0" borderId="0"/>
    <xf numFmtId="0" fontId="1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44" fillId="0" borderId="0"/>
    <xf numFmtId="247" fontId="7" fillId="0" borderId="0"/>
    <xf numFmtId="0" fontId="11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0" fontId="117" fillId="0" borderId="0"/>
    <xf numFmtId="0" fontId="117" fillId="0" borderId="0"/>
    <xf numFmtId="0" fontId="117" fillId="0" borderId="0"/>
    <xf numFmtId="0" fontId="11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2" fillId="0" borderId="0"/>
    <xf numFmtId="262" fontId="13" fillId="0" borderId="0" applyFont="0" applyFill="0" applyBorder="0" applyAlignment="0" applyProtection="0">
      <alignment horizontal="right"/>
    </xf>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5" fontId="94" fillId="0" borderId="0" applyFont="0" applyFill="0" applyBorder="0" applyAlignment="0" applyProtection="0"/>
    <xf numFmtId="0" fontId="144" fillId="0" borderId="0"/>
    <xf numFmtId="0" fontId="7" fillId="0" borderId="0"/>
    <xf numFmtId="0" fontId="124" fillId="0" borderId="0"/>
    <xf numFmtId="0" fontId="124" fillId="0" borderId="0"/>
    <xf numFmtId="0" fontId="117" fillId="0" borderId="0"/>
    <xf numFmtId="0" fontId="11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7" fillId="0" borderId="0"/>
    <xf numFmtId="0" fontId="117" fillId="0" borderId="0"/>
    <xf numFmtId="0" fontId="2" fillId="0" borderId="0"/>
    <xf numFmtId="0" fontId="2" fillId="0" borderId="0"/>
    <xf numFmtId="0" fontId="2" fillId="0" borderId="0"/>
    <xf numFmtId="0" fontId="117" fillId="0" borderId="0"/>
    <xf numFmtId="0" fontId="117" fillId="0" borderId="0"/>
    <xf numFmtId="0" fontId="117" fillId="0" borderId="0"/>
    <xf numFmtId="0" fontId="117" fillId="0" borderId="0"/>
    <xf numFmtId="0" fontId="117" fillId="0" borderId="0"/>
    <xf numFmtId="0" fontId="84" fillId="0" borderId="0"/>
    <xf numFmtId="0" fontId="117" fillId="0" borderId="0"/>
    <xf numFmtId="0" fontId="124" fillId="0" borderId="0"/>
    <xf numFmtId="0" fontId="124" fillId="0" borderId="0"/>
    <xf numFmtId="0" fontId="117" fillId="0" borderId="0"/>
    <xf numFmtId="0" fontId="1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0" fontId="7" fillId="0" borderId="0"/>
    <xf numFmtId="0" fontId="117" fillId="0" borderId="0"/>
    <xf numFmtId="0" fontId="7" fillId="0" borderId="0"/>
    <xf numFmtId="0" fontId="124" fillId="0" borderId="0"/>
    <xf numFmtId="0" fontId="7" fillId="0" borderId="0"/>
    <xf numFmtId="0" fontId="7" fillId="0" borderId="0"/>
    <xf numFmtId="0" fontId="124" fillId="0" borderId="0"/>
    <xf numFmtId="0" fontId="7" fillId="0" borderId="0"/>
    <xf numFmtId="0" fontId="7" fillId="0" borderId="0"/>
    <xf numFmtId="0" fontId="7" fillId="0" borderId="0"/>
    <xf numFmtId="0" fontId="7" fillId="0" borderId="0"/>
    <xf numFmtId="0" fontId="7" fillId="0" borderId="0"/>
    <xf numFmtId="0" fontId="124" fillId="0" borderId="0"/>
    <xf numFmtId="0" fontId="144" fillId="0" borderId="0"/>
    <xf numFmtId="0" fontId="117" fillId="0" borderId="0"/>
    <xf numFmtId="0" fontId="124" fillId="0" borderId="0"/>
    <xf numFmtId="0" fontId="7" fillId="0" borderId="0"/>
    <xf numFmtId="0" fontId="7" fillId="0" borderId="0"/>
    <xf numFmtId="0" fontId="84" fillId="0" borderId="0"/>
    <xf numFmtId="0" fontId="117" fillId="0" borderId="0"/>
    <xf numFmtId="0" fontId="117" fillId="0" borderId="0"/>
    <xf numFmtId="0" fontId="117" fillId="0" borderId="0"/>
    <xf numFmtId="0" fontId="11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0" fontId="117" fillId="0" borderId="0"/>
    <xf numFmtId="247" fontId="7" fillId="0" borderId="0"/>
    <xf numFmtId="0" fontId="11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0" fontId="117" fillId="0" borderId="0"/>
    <xf numFmtId="0" fontId="117" fillId="0" borderId="0"/>
    <xf numFmtId="262" fontId="13" fillId="0" borderId="0" applyFont="0" applyFill="0" applyBorder="0" applyAlignment="0" applyProtection="0">
      <alignment horizontal="right"/>
    </xf>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91" fillId="0" borderId="0"/>
    <xf numFmtId="0" fontId="117" fillId="0" borderId="0"/>
    <xf numFmtId="247" fontId="7" fillId="0" borderId="0"/>
    <xf numFmtId="0" fontId="84"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25" fillId="0" borderId="0"/>
    <xf numFmtId="0" fontId="7" fillId="0" borderId="0"/>
    <xf numFmtId="0" fontId="7" fillId="0" borderId="0"/>
    <xf numFmtId="0" fontId="7" fillId="0" borderId="0"/>
    <xf numFmtId="0" fontId="7" fillId="0" borderId="0"/>
    <xf numFmtId="247" fontId="7" fillId="0" borderId="0"/>
    <xf numFmtId="0" fontId="124" fillId="0" borderId="0"/>
    <xf numFmtId="0" fontId="2" fillId="0" borderId="0"/>
    <xf numFmtId="0" fontId="124" fillId="0" borderId="0"/>
    <xf numFmtId="0" fontId="117" fillId="0" borderId="0"/>
    <xf numFmtId="247" fontId="7" fillId="0" borderId="0"/>
    <xf numFmtId="0"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47" fontId="7" fillId="0" borderId="0"/>
    <xf numFmtId="0"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47" fontId="7" fillId="0" borderId="0"/>
    <xf numFmtId="0"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47" fontId="7" fillId="0" borderId="0"/>
    <xf numFmtId="0"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47" fontId="7" fillId="0" borderId="0"/>
    <xf numFmtId="0" fontId="117" fillId="0" borderId="0"/>
    <xf numFmtId="0" fontId="2" fillId="0" borderId="0"/>
    <xf numFmtId="0" fontId="2" fillId="0" borderId="0"/>
    <xf numFmtId="0" fontId="2" fillId="0" borderId="0"/>
    <xf numFmtId="247" fontId="7" fillId="0" borderId="0"/>
    <xf numFmtId="0" fontId="117" fillId="0" borderId="0"/>
    <xf numFmtId="247" fontId="7" fillId="0" borderId="0"/>
    <xf numFmtId="0" fontId="117" fillId="0" borderId="0"/>
    <xf numFmtId="0" fontId="2" fillId="0" borderId="0"/>
    <xf numFmtId="0" fontId="2" fillId="0" borderId="0"/>
    <xf numFmtId="0" fontId="2" fillId="0" borderId="0"/>
    <xf numFmtId="247" fontId="7" fillId="0" borderId="0"/>
    <xf numFmtId="0" fontId="117" fillId="0" borderId="0"/>
    <xf numFmtId="0" fontId="2" fillId="0" borderId="0"/>
    <xf numFmtId="247" fontId="7" fillId="0" borderId="0"/>
    <xf numFmtId="0" fontId="117" fillId="0" borderId="0"/>
    <xf numFmtId="247" fontId="7" fillId="0" borderId="0"/>
    <xf numFmtId="0" fontId="7" fillId="0" borderId="0"/>
    <xf numFmtId="0" fontId="7" fillId="0" borderId="0"/>
    <xf numFmtId="0" fontId="7" fillId="0" borderId="0"/>
    <xf numFmtId="0" fontId="7" fillId="0" borderId="0"/>
    <xf numFmtId="0" fontId="7" fillId="0" borderId="0"/>
    <xf numFmtId="247" fontId="7" fillId="0" borderId="0"/>
    <xf numFmtId="0" fontId="7" fillId="0" borderId="0"/>
    <xf numFmtId="0" fontId="117" fillId="0" borderId="0"/>
    <xf numFmtId="0" fontId="7" fillId="0" borderId="0"/>
    <xf numFmtId="247" fontId="7" fillId="0" borderId="0"/>
    <xf numFmtId="0" fontId="7" fillId="0" borderId="0"/>
    <xf numFmtId="247" fontId="7" fillId="0" borderId="0"/>
    <xf numFmtId="0" fontId="7" fillId="0" borderId="0"/>
    <xf numFmtId="247" fontId="7" fillId="0" borderId="0"/>
    <xf numFmtId="0" fontId="2"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7" fillId="0" borderId="0"/>
    <xf numFmtId="247" fontId="7" fillId="0" borderId="0"/>
    <xf numFmtId="0"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36"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262" fontId="13" fillId="0" borderId="0" applyFont="0" applyFill="0" applyBorder="0" applyAlignment="0" applyProtection="0">
      <alignment horizontal="right"/>
    </xf>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0" fontId="48" fillId="0" borderId="0"/>
    <xf numFmtId="0" fontId="7" fillId="0" borderId="0">
      <alignment wrapText="1"/>
    </xf>
    <xf numFmtId="0" fontId="7" fillId="0" borderId="0">
      <alignment wrapText="1"/>
    </xf>
    <xf numFmtId="0" fontId="84"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7" fillId="0" borderId="0"/>
    <xf numFmtId="247" fontId="7" fillId="0" borderId="0"/>
    <xf numFmtId="0" fontId="2" fillId="0" borderId="0"/>
    <xf numFmtId="0" fontId="7" fillId="0" borderId="0"/>
    <xf numFmtId="0" fontId="2" fillId="0" borderId="0"/>
    <xf numFmtId="0" fontId="117" fillId="0" borderId="0"/>
    <xf numFmtId="247" fontId="7" fillId="0" borderId="0"/>
    <xf numFmtId="0" fontId="117" fillId="0" borderId="0"/>
    <xf numFmtId="247" fontId="7" fillId="0" borderId="0"/>
    <xf numFmtId="0" fontId="7" fillId="0" borderId="0"/>
    <xf numFmtId="0" fontId="2" fillId="0" borderId="0"/>
    <xf numFmtId="0" fontId="2" fillId="0" borderId="0"/>
    <xf numFmtId="0" fontId="2"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7" fillId="0" borderId="0"/>
    <xf numFmtId="247" fontId="7" fillId="0" borderId="0"/>
    <xf numFmtId="0" fontId="7" fillId="0" borderId="0"/>
    <xf numFmtId="247" fontId="7" fillId="0" borderId="0"/>
    <xf numFmtId="0" fontId="7" fillId="0" borderId="0"/>
    <xf numFmtId="247" fontId="7" fillId="0" borderId="0"/>
    <xf numFmtId="0" fontId="7" fillId="0" borderId="0"/>
    <xf numFmtId="247" fontId="7" fillId="0" borderId="0"/>
    <xf numFmtId="0" fontId="7" fillId="0" borderId="0"/>
    <xf numFmtId="247" fontId="7" fillId="0" borderId="0"/>
    <xf numFmtId="0"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47"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262" fontId="13" fillId="0" borderId="0" applyFont="0" applyFill="0" applyBorder="0" applyAlignment="0" applyProtection="0">
      <alignment horizontal="right"/>
    </xf>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0" fontId="7" fillId="0" borderId="0">
      <alignment wrapText="1"/>
    </xf>
    <xf numFmtId="0" fontId="100" fillId="0" borderId="0"/>
    <xf numFmtId="0" fontId="100" fillId="0" borderId="0"/>
    <xf numFmtId="0" fontId="7" fillId="0" borderId="0">
      <alignment wrapText="1"/>
    </xf>
    <xf numFmtId="0" fontId="7" fillId="0" borderId="0">
      <alignment wrapText="1"/>
    </xf>
    <xf numFmtId="0" fontId="7" fillId="0" borderId="0">
      <alignment wrapText="1"/>
    </xf>
    <xf numFmtId="0" fontId="100" fillId="0" borderId="0"/>
    <xf numFmtId="0" fontId="100"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2" fillId="0" borderId="0"/>
    <xf numFmtId="247" fontId="7" fillId="0" borderId="0"/>
    <xf numFmtId="0" fontId="7" fillId="0" borderId="0">
      <alignment wrapText="1"/>
    </xf>
    <xf numFmtId="0" fontId="117" fillId="0" borderId="0"/>
    <xf numFmtId="0" fontId="7" fillId="0" borderId="0">
      <alignment wrapText="1"/>
    </xf>
    <xf numFmtId="0" fontId="117" fillId="0" borderId="0"/>
    <xf numFmtId="247" fontId="7" fillId="0" borderId="0"/>
    <xf numFmtId="0" fontId="117" fillId="0" borderId="0"/>
    <xf numFmtId="0" fontId="2" fillId="0" borderId="0"/>
    <xf numFmtId="0" fontId="2" fillId="0" borderId="0"/>
    <xf numFmtId="0" fontId="2" fillId="0" borderId="0"/>
    <xf numFmtId="247" fontId="7" fillId="0" borderId="0"/>
    <xf numFmtId="0" fontId="117" fillId="0" borderId="0"/>
    <xf numFmtId="0" fontId="2" fillId="0" borderId="0"/>
    <xf numFmtId="0" fontId="2" fillId="0" borderId="0"/>
    <xf numFmtId="0" fontId="2"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117" fillId="0" borderId="0"/>
    <xf numFmtId="247" fontId="7" fillId="0" borderId="0"/>
    <xf numFmtId="0" fontId="7" fillId="0" borderId="0">
      <alignment wrapText="1"/>
    </xf>
    <xf numFmtId="247" fontId="7" fillId="0" borderId="0"/>
    <xf numFmtId="0" fontId="7" fillId="0" borderId="0">
      <alignment wrapText="1"/>
    </xf>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11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247"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2" fontId="13" fillId="0" borderId="0" applyFont="0" applyFill="0" applyBorder="0" applyAlignment="0" applyProtection="0">
      <alignment horizontal="right"/>
    </xf>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7" fillId="0" borderId="0"/>
    <xf numFmtId="0" fontId="7" fillId="0" borderId="0"/>
    <xf numFmtId="0" fontId="48" fillId="0" borderId="0"/>
    <xf numFmtId="0" fontId="7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7" fillId="0" borderId="0"/>
    <xf numFmtId="0" fontId="7" fillId="0" borderId="0"/>
    <xf numFmtId="0" fontId="7" fillId="0" borderId="0"/>
    <xf numFmtId="0" fontId="7" fillId="0" borderId="0"/>
    <xf numFmtId="0" fontId="7" fillId="0" borderId="0"/>
    <xf numFmtId="0" fontId="77" fillId="0" borderId="0"/>
    <xf numFmtId="0" fontId="77" fillId="0" borderId="0"/>
    <xf numFmtId="247" fontId="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24" fillId="0" borderId="0"/>
    <xf numFmtId="0" fontId="7" fillId="0" borderId="0"/>
    <xf numFmtId="262" fontId="13" fillId="0" borderId="0" applyFont="0" applyFill="0" applyBorder="0" applyAlignment="0" applyProtection="0">
      <alignment horizontal="right"/>
    </xf>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2" fillId="0" borderId="0"/>
    <xf numFmtId="0" fontId="117" fillId="0" borderId="0"/>
    <xf numFmtId="0"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7" fillId="0" borderId="0"/>
    <xf numFmtId="0" fontId="2" fillId="0" borderId="0"/>
    <xf numFmtId="0" fontId="2" fillId="0" borderId="0"/>
    <xf numFmtId="0" fontId="2" fillId="0" borderId="0"/>
    <xf numFmtId="0" fontId="117" fillId="0" borderId="0"/>
    <xf numFmtId="0" fontId="2" fillId="0" borderId="0"/>
    <xf numFmtId="0" fontId="117" fillId="0" borderId="0"/>
    <xf numFmtId="0" fontId="117" fillId="0" borderId="0"/>
    <xf numFmtId="0" fontId="117" fillId="0" borderId="0"/>
    <xf numFmtId="0" fontId="117" fillId="0" borderId="0"/>
    <xf numFmtId="0" fontId="117" fillId="0" borderId="0"/>
    <xf numFmtId="0" fontId="7" fillId="0" borderId="0"/>
    <xf numFmtId="0" fontId="117" fillId="0" borderId="0"/>
    <xf numFmtId="0"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7" fillId="0" borderId="0"/>
    <xf numFmtId="0" fontId="2" fillId="0" borderId="0"/>
    <xf numFmtId="0" fontId="2" fillId="0" borderId="0"/>
    <xf numFmtId="0" fontId="2" fillId="0" borderId="0"/>
    <xf numFmtId="0" fontId="117" fillId="0" borderId="0"/>
    <xf numFmtId="0" fontId="117" fillId="0" borderId="0"/>
    <xf numFmtId="0" fontId="117" fillId="0" borderId="0"/>
    <xf numFmtId="0" fontId="117" fillId="0" borderId="0"/>
    <xf numFmtId="0" fontId="117" fillId="0" borderId="0"/>
    <xf numFmtId="0" fontId="7" fillId="0" borderId="0"/>
    <xf numFmtId="0" fontId="2" fillId="0" borderId="0"/>
    <xf numFmtId="0" fontId="7" fillId="0" borderId="0"/>
    <xf numFmtId="0" fontId="2" fillId="0" borderId="0"/>
    <xf numFmtId="0" fontId="2" fillId="0" borderId="0"/>
    <xf numFmtId="0" fontId="2" fillId="0" borderId="0"/>
    <xf numFmtId="0" fontId="117" fillId="0" borderId="0"/>
    <xf numFmtId="0" fontId="42" fillId="0" borderId="0"/>
    <xf numFmtId="0" fontId="7" fillId="0" borderId="0"/>
    <xf numFmtId="0" fontId="175" fillId="0" borderId="0"/>
    <xf numFmtId="267" fontId="13" fillId="0" borderId="0" applyFont="0" applyFill="0" applyBorder="0" applyAlignment="0" applyProtection="0"/>
    <xf numFmtId="0" fontId="49" fillId="64" borderId="82" applyNumberFormat="0" applyFont="0" applyAlignment="0" applyProtection="0"/>
    <xf numFmtId="0" fontId="101" fillId="13" borderId="29" applyNumberFormat="0" applyFont="0" applyAlignment="0" applyProtection="0"/>
    <xf numFmtId="0" fontId="2" fillId="13" borderId="29" applyNumberFormat="0" applyFont="0" applyAlignment="0" applyProtection="0"/>
    <xf numFmtId="0" fontId="49" fillId="64" borderId="82" applyNumberFormat="0" applyFont="0" applyAlignment="0" applyProtection="0"/>
    <xf numFmtId="0" fontId="176" fillId="13" borderId="29" applyNumberFormat="0" applyFont="0" applyAlignment="0" applyProtection="0"/>
    <xf numFmtId="0" fontId="100" fillId="13" borderId="29" applyNumberFormat="0" applyFont="0" applyAlignment="0" applyProtection="0"/>
    <xf numFmtId="0" fontId="2" fillId="13" borderId="29" applyNumberFormat="0" applyFont="0" applyAlignment="0" applyProtection="0"/>
    <xf numFmtId="0" fontId="100" fillId="13" borderId="29" applyNumberFormat="0" applyFont="0" applyAlignment="0" applyProtection="0"/>
    <xf numFmtId="0" fontId="2" fillId="13" borderId="29" applyNumberFormat="0" applyFont="0" applyAlignment="0" applyProtection="0"/>
    <xf numFmtId="0" fontId="176" fillId="13" borderId="29" applyNumberFormat="0" applyFont="0" applyAlignment="0" applyProtection="0"/>
    <xf numFmtId="0" fontId="2" fillId="13" borderId="29" applyNumberFormat="0" applyFont="0" applyAlignment="0" applyProtection="0"/>
    <xf numFmtId="0" fontId="176" fillId="13" borderId="29" applyNumberFormat="0" applyFont="0" applyAlignment="0" applyProtection="0"/>
    <xf numFmtId="0" fontId="176" fillId="13" borderId="29" applyNumberFormat="0" applyFont="0" applyAlignment="0" applyProtection="0"/>
    <xf numFmtId="0" fontId="176" fillId="13" borderId="29" applyNumberFormat="0" applyFont="0" applyAlignment="0" applyProtection="0"/>
    <xf numFmtId="0" fontId="176" fillId="13" borderId="29" applyNumberFormat="0" applyFont="0" applyAlignment="0" applyProtection="0"/>
    <xf numFmtId="0" fontId="176" fillId="13" borderId="29" applyNumberFormat="0" applyFont="0" applyAlignment="0" applyProtection="0"/>
    <xf numFmtId="0" fontId="176" fillId="13" borderId="29" applyNumberFormat="0" applyFont="0" applyAlignment="0" applyProtection="0"/>
    <xf numFmtId="0" fontId="101"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101" fillId="13" borderId="29" applyNumberFormat="0" applyFont="0" applyAlignment="0" applyProtection="0"/>
    <xf numFmtId="0" fontId="2" fillId="13" borderId="29" applyNumberFormat="0" applyFont="0" applyAlignment="0" applyProtection="0"/>
    <xf numFmtId="0" fontId="101" fillId="13" borderId="29" applyNumberFormat="0" applyFont="0" applyAlignment="0" applyProtection="0"/>
    <xf numFmtId="0" fontId="2" fillId="13" borderId="29" applyNumberFormat="0" applyFont="0" applyAlignment="0" applyProtection="0"/>
    <xf numFmtId="0" fontId="101" fillId="13" borderId="29" applyNumberFormat="0" applyFont="0" applyAlignment="0" applyProtection="0"/>
    <xf numFmtId="0" fontId="2" fillId="13" borderId="29" applyNumberFormat="0" applyFont="0" applyAlignment="0" applyProtection="0"/>
    <xf numFmtId="0" fontId="101"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0" fontId="2" fillId="13" borderId="29" applyNumberFormat="0" applyFont="0" applyAlignment="0" applyProtection="0"/>
    <xf numFmtId="268" fontId="177" fillId="0" borderId="0" applyBorder="0" applyProtection="0">
      <alignment horizontal="right"/>
    </xf>
    <xf numFmtId="268" fontId="178" fillId="82" borderId="0" applyBorder="0" applyProtection="0">
      <alignment horizontal="right"/>
    </xf>
    <xf numFmtId="268" fontId="179" fillId="0" borderId="45" applyBorder="0"/>
    <xf numFmtId="268" fontId="180" fillId="0" borderId="0" applyBorder="0" applyProtection="0">
      <alignment horizontal="right"/>
    </xf>
    <xf numFmtId="269" fontId="180" fillId="0" borderId="0" applyBorder="0" applyProtection="0">
      <alignment horizontal="right"/>
    </xf>
    <xf numFmtId="269" fontId="181" fillId="82" borderId="0" applyProtection="0">
      <alignment horizontal="right"/>
    </xf>
    <xf numFmtId="37" fontId="98" fillId="0" borderId="0" applyFill="0" applyBorder="0" applyProtection="0">
      <alignment horizontal="right"/>
    </xf>
    <xf numFmtId="200" fontId="93" fillId="0" borderId="0" applyFont="0" applyFill="0" applyBorder="0" applyProtection="0">
      <alignment horizontal="right"/>
    </xf>
    <xf numFmtId="270" fontId="177" fillId="0" borderId="0" applyFill="0" applyBorder="0" applyProtection="0"/>
    <xf numFmtId="0" fontId="111" fillId="62" borderId="0">
      <alignment horizontal="right"/>
    </xf>
    <xf numFmtId="0" fontId="7" fillId="0" borderId="0">
      <alignment horizontal="right"/>
    </xf>
    <xf numFmtId="0" fontId="79" fillId="59" borderId="83" applyNumberFormat="0" applyAlignment="0" applyProtection="0"/>
    <xf numFmtId="0" fontId="79" fillId="59" borderId="83" applyNumberFormat="0" applyAlignment="0" applyProtection="0"/>
    <xf numFmtId="0" fontId="182" fillId="11" borderId="26" applyNumberFormat="0" applyAlignment="0" applyProtection="0"/>
    <xf numFmtId="0" fontId="182" fillId="11" borderId="26" applyNumberFormat="0" applyAlignment="0" applyProtection="0"/>
    <xf numFmtId="0" fontId="182" fillId="11" borderId="26" applyNumberFormat="0" applyAlignment="0" applyProtection="0"/>
    <xf numFmtId="0" fontId="182" fillId="11" borderId="26" applyNumberFormat="0" applyAlignment="0" applyProtection="0"/>
    <xf numFmtId="0" fontId="182" fillId="11" borderId="26" applyNumberFormat="0" applyAlignment="0" applyProtection="0"/>
    <xf numFmtId="0" fontId="182" fillId="11" borderId="26" applyNumberFormat="0" applyAlignment="0" applyProtection="0"/>
    <xf numFmtId="0" fontId="182" fillId="11" borderId="26" applyNumberFormat="0" applyAlignment="0" applyProtection="0"/>
    <xf numFmtId="0" fontId="28" fillId="11" borderId="26" applyNumberFormat="0" applyAlignment="0" applyProtection="0"/>
    <xf numFmtId="0" fontId="183" fillId="0" borderId="0" applyProtection="0">
      <alignment horizontal="left"/>
    </xf>
    <xf numFmtId="0" fontId="183" fillId="0" borderId="0" applyFill="0" applyBorder="0" applyProtection="0">
      <alignment horizontal="left"/>
    </xf>
    <xf numFmtId="0" fontId="184" fillId="0" borderId="0" applyFill="0" applyBorder="0" applyProtection="0">
      <alignment horizontal="left"/>
    </xf>
    <xf numFmtId="1" fontId="185" fillId="0" borderId="0" applyProtection="0">
      <alignment horizontal="right" vertical="center"/>
    </xf>
    <xf numFmtId="249" fontId="186" fillId="0" borderId="8">
      <alignment vertical="center"/>
    </xf>
    <xf numFmtId="2" fontId="105" fillId="0" borderId="0"/>
    <xf numFmtId="167" fontId="187" fillId="0" borderId="0" applyFill="0" applyBorder="0" applyAlignment="0" applyProtection="0"/>
    <xf numFmtId="221" fontId="7" fillId="0" borderId="0" applyFont="0" applyFill="0" applyBorder="0" applyAlignment="0" applyProtection="0"/>
    <xf numFmtId="271" fontId="36" fillId="0" borderId="0" applyFont="0" applyFill="0" applyBorder="0" applyAlignment="0" applyProtection="0"/>
    <xf numFmtId="272" fontId="17" fillId="62" borderId="40" applyFill="0" applyBorder="0" applyAlignment="0" applyProtection="0">
      <alignment horizontal="right"/>
      <protection locked="0"/>
    </xf>
    <xf numFmtId="273" fontId="17" fillId="61" borderId="0" applyFill="0" applyBorder="0" applyAlignment="0" applyProtection="0">
      <protection hidden="1"/>
    </xf>
    <xf numFmtId="10" fontId="7" fillId="0" borderId="0" applyFont="0" applyFill="0" applyBorder="0" applyAlignment="0" applyProtection="0"/>
    <xf numFmtId="10" fontId="7" fillId="0" borderId="0" applyFont="0" applyFill="0" applyBorder="0" applyAlignment="0" applyProtection="0"/>
    <xf numFmtId="274" fontId="177" fillId="0" borderId="0" applyBorder="0" applyProtection="0">
      <alignment horizontal="right"/>
    </xf>
    <xf numFmtId="274" fontId="178" fillId="82" borderId="0" applyProtection="0">
      <alignment horizontal="right"/>
    </xf>
    <xf numFmtId="274" fontId="180" fillId="0" borderId="0" applyFont="0" applyBorder="0" applyProtection="0">
      <alignment horizontal="right"/>
    </xf>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7"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75" fontId="105" fillId="0" borderId="0" applyFont="0" applyFill="0" applyBorder="0" applyProtection="0">
      <alignment horizontal="right"/>
    </xf>
    <xf numFmtId="9" fontId="7" fillId="0" borderId="0"/>
    <xf numFmtId="276" fontId="7" fillId="0" borderId="0" applyFill="0" applyBorder="0">
      <alignment horizontal="right"/>
      <protection locked="0"/>
    </xf>
    <xf numFmtId="1" fontId="99" fillId="0" borderId="0"/>
    <xf numFmtId="259" fontId="7" fillId="0" borderId="0">
      <protection locked="0"/>
    </xf>
    <xf numFmtId="167" fontId="7" fillId="0" borderId="0" applyFont="0" applyFill="0" applyBorder="0" applyAlignment="0" applyProtection="0"/>
    <xf numFmtId="219" fontId="36" fillId="0" borderId="0" applyFill="0" applyBorder="0" applyAlignment="0"/>
    <xf numFmtId="220" fontId="36" fillId="0" borderId="0" applyFill="0" applyBorder="0" applyAlignment="0"/>
    <xf numFmtId="219" fontId="36" fillId="0" borderId="0" applyFill="0" applyBorder="0" applyAlignment="0"/>
    <xf numFmtId="222" fontId="7" fillId="0" borderId="0" applyFill="0" applyBorder="0" applyAlignment="0"/>
    <xf numFmtId="220" fontId="36" fillId="0" borderId="0" applyFill="0" applyBorder="0" applyAlignment="0"/>
    <xf numFmtId="10" fontId="105" fillId="0" borderId="0"/>
    <xf numFmtId="10" fontId="105" fillId="77" borderId="0"/>
    <xf numFmtId="9" fontId="105" fillId="0" borderId="0" applyFont="0" applyFill="0" applyBorder="0" applyAlignment="0" applyProtection="0"/>
    <xf numFmtId="168" fontId="77" fillId="0" borderId="0"/>
    <xf numFmtId="277" fontId="188" fillId="61" borderId="0" applyBorder="0" applyAlignment="0">
      <protection hidden="1"/>
    </xf>
    <xf numFmtId="1" fontId="188" fillId="61" borderId="0">
      <alignment horizontal="center"/>
    </xf>
    <xf numFmtId="0" fontId="117" fillId="0" borderId="0" applyNumberFormat="0" applyFont="0" applyFill="0" applyBorder="0" applyAlignment="0" applyProtection="0">
      <alignment horizontal="left"/>
    </xf>
    <xf numFmtId="15" fontId="117" fillId="0" borderId="0" applyFont="0" applyFill="0" applyBorder="0" applyAlignment="0" applyProtection="0"/>
    <xf numFmtId="4" fontId="117" fillId="0" borderId="0" applyFont="0" applyFill="0" applyBorder="0" applyAlignment="0" applyProtection="0"/>
    <xf numFmtId="0" fontId="164" fillId="0" borderId="2">
      <alignment horizontal="center"/>
    </xf>
    <xf numFmtId="3" fontId="117" fillId="0" borderId="0" applyFont="0" applyFill="0" applyBorder="0" applyAlignment="0" applyProtection="0"/>
    <xf numFmtId="0" fontId="117" fillId="83" borderId="0" applyNumberFormat="0" applyFont="0" applyBorder="0" applyAlignment="0" applyProtection="0"/>
    <xf numFmtId="0" fontId="117" fillId="0" borderId="0">
      <alignment horizontal="right"/>
      <protection locked="0"/>
    </xf>
    <xf numFmtId="189" fontId="189" fillId="0" borderId="0" applyNumberFormat="0" applyFill="0" applyBorder="0" applyAlignment="0" applyProtection="0">
      <alignment horizontal="left"/>
    </xf>
    <xf numFmtId="0" fontId="190" fillId="73" borderId="0"/>
    <xf numFmtId="0" fontId="99" fillId="0" borderId="0" applyNumberFormat="0" applyFill="0" applyBorder="0" applyProtection="0">
      <alignment horizontal="right" vertical="center"/>
    </xf>
    <xf numFmtId="0" fontId="191" fillId="0" borderId="84">
      <alignment vertical="center"/>
    </xf>
    <xf numFmtId="171" fontId="7" fillId="0" borderId="0" applyFill="0" applyBorder="0">
      <alignment horizontal="right"/>
      <protection hidden="1"/>
    </xf>
    <xf numFmtId="0" fontId="192" fillId="72" borderId="40">
      <alignment horizontal="center" vertical="center" wrapText="1"/>
      <protection hidden="1"/>
    </xf>
    <xf numFmtId="0" fontId="117" fillId="84" borderId="85"/>
    <xf numFmtId="0" fontId="36" fillId="85" borderId="0" applyNumberFormat="0" applyFont="0" applyBorder="0" applyAlignment="0" applyProtection="0"/>
    <xf numFmtId="42" fontId="193" fillId="0" borderId="0" applyFill="0" applyBorder="0" applyAlignment="0" applyProtection="0"/>
    <xf numFmtId="41" fontId="194" fillId="0" borderId="0"/>
    <xf numFmtId="0" fontId="13" fillId="0" borderId="0"/>
    <xf numFmtId="0" fontId="195" fillId="0" borderId="0">
      <alignment horizontal="right"/>
    </xf>
    <xf numFmtId="0" fontId="135" fillId="0" borderId="0">
      <alignment horizontal="left"/>
    </xf>
    <xf numFmtId="167" fontId="196" fillId="0" borderId="80"/>
    <xf numFmtId="278" fontId="104" fillId="79" borderId="0" applyFont="0" applyBorder="0"/>
    <xf numFmtId="209" fontId="98" fillId="0" borderId="0" applyNumberFormat="0" applyFill="0">
      <alignment horizontal="left" vertical="center" wrapText="1"/>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7" fillId="0" borderId="0">
      <alignment vertical="top"/>
    </xf>
    <xf numFmtId="41" fontId="7" fillId="0" borderId="0" applyFont="0" applyFill="0" applyBorder="0" applyAlignment="0" applyProtection="0"/>
    <xf numFmtId="0" fontId="131" fillId="0" borderId="0">
      <alignment vertical="top"/>
    </xf>
    <xf numFmtId="0" fontId="36" fillId="0" borderId="0">
      <alignment vertical="top"/>
    </xf>
    <xf numFmtId="0" fontId="36"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6"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6"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4" fontId="7" fillId="0" borderId="0" applyFont="0" applyFill="0" applyBorder="0" applyAlignment="0" applyProtection="0"/>
    <xf numFmtId="0" fontId="36"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97" fillId="85" borderId="40" applyNumberFormat="0" applyProtection="0">
      <alignment horizontal="center" vertical="center"/>
    </xf>
    <xf numFmtId="0" fontId="36" fillId="0" borderId="0">
      <alignment vertical="top"/>
    </xf>
    <xf numFmtId="0" fontId="10" fillId="85" borderId="40" applyNumberFormat="0" applyProtection="0">
      <alignment horizontal="center" vertical="center"/>
    </xf>
    <xf numFmtId="0" fontId="36" fillId="0" borderId="0">
      <alignment vertical="top"/>
    </xf>
    <xf numFmtId="0" fontId="36" fillId="0" borderId="0">
      <alignment vertical="top"/>
    </xf>
    <xf numFmtId="0" fontId="85" fillId="0" borderId="0" applyNumberFormat="0" applyFill="0" applyBorder="0" applyAlignment="0" applyProtection="0"/>
    <xf numFmtId="0" fontId="36" fillId="0" borderId="0">
      <alignment vertical="top"/>
    </xf>
    <xf numFmtId="0" fontId="10" fillId="66" borderId="40" applyNumberFormat="0" applyProtection="0">
      <alignment horizontal="left" vertical="center" wrapText="1"/>
    </xf>
    <xf numFmtId="0" fontId="36" fillId="0" borderId="0">
      <alignment vertical="top"/>
    </xf>
    <xf numFmtId="0" fontId="36" fillId="0" borderId="0">
      <alignment vertical="top"/>
    </xf>
    <xf numFmtId="0" fontId="11" fillId="0" borderId="0" applyNumberFormat="0" applyFill="0" applyBorder="0" applyAlignment="0" applyProtection="0"/>
    <xf numFmtId="0" fontId="7" fillId="6" borderId="40" applyNumberFormat="0" applyProtection="0">
      <alignment horizontal="left" vertical="center" wrapText="1"/>
    </xf>
    <xf numFmtId="0" fontId="7" fillId="6" borderId="40" applyNumberFormat="0" applyProtection="0">
      <alignment horizontal="left" vertical="center" wrapText="1"/>
    </xf>
    <xf numFmtId="0" fontId="36" fillId="0" borderId="0">
      <alignment vertical="top"/>
    </xf>
    <xf numFmtId="0" fontId="10" fillId="66" borderId="40" applyNumberFormat="0" applyProtection="0">
      <alignment horizontal="left" vertical="center" wrapText="1"/>
    </xf>
    <xf numFmtId="0" fontId="36" fillId="0" borderId="0">
      <alignment vertical="top"/>
    </xf>
    <xf numFmtId="0" fontId="36" fillId="0" borderId="0">
      <alignment vertical="top"/>
    </xf>
    <xf numFmtId="0" fontId="198" fillId="86"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43" fontId="9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193" fontId="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44" fontId="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279" fontId="10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279" fontId="10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77" fillId="0" borderId="0" applyNumberFormat="0" applyBorder="0" applyAlignment="0"/>
    <xf numFmtId="0" fontId="199" fillId="0" borderId="0" applyNumberFormat="0" applyBorder="0" applyAlignment="0"/>
    <xf numFmtId="0" fontId="200" fillId="0" borderId="0" applyNumberFormat="0" applyBorder="0" applyAlignment="0"/>
    <xf numFmtId="0" fontId="113" fillId="0" borderId="0" applyNumberFormat="0" applyFill="0" applyBorder="0" applyProtection="0">
      <alignment horizontal="left" vertical="center"/>
    </xf>
    <xf numFmtId="0" fontId="113" fillId="0" borderId="45" applyNumberFormat="0" applyFill="0" applyProtection="0">
      <alignment horizontal="left" vertical="center"/>
    </xf>
    <xf numFmtId="280" fontId="104" fillId="87" borderId="0" applyNumberFormat="0" applyFont="0" applyBorder="0">
      <alignment horizontal="center" vertical="center"/>
      <protection locked="0"/>
    </xf>
    <xf numFmtId="9" fontId="7" fillId="0" borderId="0"/>
    <xf numFmtId="0" fontId="114" fillId="0" borderId="0" applyFill="0" applyBorder="0" applyProtection="0">
      <alignment horizontal="center" vertical="center"/>
    </xf>
    <xf numFmtId="0" fontId="201" fillId="0" borderId="0" applyBorder="0" applyProtection="0">
      <alignment vertical="center"/>
    </xf>
    <xf numFmtId="168" fontId="7" fillId="0" borderId="8" applyBorder="0" applyProtection="0">
      <alignment horizontal="right" vertical="center"/>
    </xf>
    <xf numFmtId="0" fontId="202" fillId="88" borderId="0" applyBorder="0" applyProtection="0">
      <alignment horizontal="centerContinuous" vertical="center"/>
    </xf>
    <xf numFmtId="0" fontId="202" fillId="86" borderId="8" applyBorder="0" applyProtection="0">
      <alignment horizontal="centerContinuous" vertical="center"/>
    </xf>
    <xf numFmtId="0" fontId="203" fillId="0" borderId="0"/>
    <xf numFmtId="0" fontId="114" fillId="0" borderId="0" applyFill="0" applyBorder="0" applyProtection="0"/>
    <xf numFmtId="0" fontId="175" fillId="0" borderId="0"/>
    <xf numFmtId="0" fontId="204" fillId="0" borderId="0" applyFill="0" applyBorder="0" applyProtection="0">
      <alignment horizontal="left"/>
    </xf>
    <xf numFmtId="0" fontId="205" fillId="0" borderId="0" applyFill="0" applyBorder="0" applyProtection="0">
      <alignment horizontal="left" vertical="top"/>
    </xf>
    <xf numFmtId="0" fontId="41" fillId="0" borderId="0">
      <alignment horizontal="centerContinuous"/>
    </xf>
    <xf numFmtId="249" fontId="7" fillId="6" borderId="86" applyNumberFormat="0" applyAlignment="0">
      <alignment vertical="center"/>
    </xf>
    <xf numFmtId="249" fontId="206" fillId="89" borderId="87" applyNumberFormat="0" applyBorder="0" applyAlignment="0" applyProtection="0">
      <alignment vertical="center"/>
    </xf>
    <xf numFmtId="249" fontId="7" fillId="6" borderId="86" applyNumberFormat="0" applyProtection="0">
      <alignment horizontal="centerContinuous" vertical="center"/>
    </xf>
    <xf numFmtId="249" fontId="207" fillId="90" borderId="0" applyNumberFormat="0" applyBorder="0" applyAlignment="0" applyProtection="0">
      <alignment vertical="center"/>
    </xf>
    <xf numFmtId="249" fontId="7" fillId="89" borderId="0" applyBorder="0" applyAlignment="0" applyProtection="0">
      <alignment vertical="center"/>
    </xf>
    <xf numFmtId="49" fontId="98" fillId="0" borderId="8">
      <alignment vertical="center"/>
    </xf>
    <xf numFmtId="0" fontId="208" fillId="0" borderId="0"/>
    <xf numFmtId="0" fontId="209" fillId="0" borderId="0"/>
    <xf numFmtId="49" fontId="77" fillId="0" borderId="0" applyFill="0" applyBorder="0" applyAlignment="0"/>
    <xf numFmtId="281" fontId="36" fillId="0" borderId="0" applyFill="0" applyBorder="0" applyAlignment="0"/>
    <xf numFmtId="282" fontId="36" fillId="0" borderId="0" applyFill="0" applyBorder="0" applyAlignment="0"/>
    <xf numFmtId="0" fontId="94" fillId="0" borderId="0" applyNumberFormat="0" applyFont="0" applyFill="0" applyBorder="0" applyProtection="0">
      <alignment horizontal="left" vertical="top" wrapText="1"/>
    </xf>
    <xf numFmtId="18" fontId="13" fillId="0" borderId="0" applyFill="0" applyBorder="0" applyAlignment="0" applyProtection="0"/>
    <xf numFmtId="0" fontId="36" fillId="0" borderId="0" applyNumberFormat="0" applyFill="0" applyBorder="0" applyAlignment="0" applyProtection="0"/>
    <xf numFmtId="0" fontId="99" fillId="0" borderId="0" applyNumberFormat="0" applyFill="0" applyBorder="0" applyAlignment="0" applyProtection="0"/>
    <xf numFmtId="40" fontId="210" fillId="0" borderId="0"/>
    <xf numFmtId="0" fontId="211" fillId="0" borderId="0" applyNumberFormat="0" applyBorder="0" applyAlignment="0" applyProtection="0"/>
    <xf numFmtId="0" fontId="211" fillId="0" borderId="0" applyNumberFormat="0" applyBorder="0" applyAlignment="0" applyProtection="0"/>
    <xf numFmtId="283" fontId="212" fillId="86" borderId="0" applyNumberFormat="0" applyProtection="0">
      <alignment horizontal="left" vertical="center"/>
    </xf>
    <xf numFmtId="0" fontId="213" fillId="0" borderId="0" applyNumberFormat="0" applyProtection="0">
      <alignment horizontal="left" vertical="center"/>
    </xf>
    <xf numFmtId="0" fontId="214" fillId="0" borderId="0">
      <alignment horizontal="left"/>
    </xf>
    <xf numFmtId="0" fontId="117" fillId="0" borderId="0" applyBorder="0"/>
    <xf numFmtId="1" fontId="36" fillId="76" borderId="0" applyNumberFormat="0" applyFont="0" applyBorder="0" applyProtection="0">
      <alignment horizontal="left"/>
    </xf>
    <xf numFmtId="284" fontId="7" fillId="0" borderId="0" applyNumberFormat="0" applyFill="0" applyBorder="0" applyProtection="0">
      <alignment vertical="top"/>
    </xf>
    <xf numFmtId="0" fontId="82" fillId="0" borderId="88" applyNumberFormat="0" applyFill="0" applyAlignment="0" applyProtection="0"/>
    <xf numFmtId="0" fontId="34" fillId="0" borderId="30" applyNumberFormat="0" applyFill="0" applyAlignment="0" applyProtection="0"/>
    <xf numFmtId="0" fontId="82" fillId="0" borderId="88" applyNumberFormat="0" applyFill="0" applyAlignment="0" applyProtection="0"/>
    <xf numFmtId="0" fontId="215" fillId="0" borderId="30" applyNumberFormat="0" applyFill="0" applyAlignment="0" applyProtection="0"/>
    <xf numFmtId="0" fontId="215" fillId="0" borderId="30" applyNumberFormat="0" applyFill="0" applyAlignment="0" applyProtection="0"/>
    <xf numFmtId="0" fontId="215" fillId="0" borderId="30" applyNumberFormat="0" applyFill="0" applyAlignment="0" applyProtection="0"/>
    <xf numFmtId="0" fontId="215" fillId="0" borderId="30" applyNumberFormat="0" applyFill="0" applyAlignment="0" applyProtection="0"/>
    <xf numFmtId="0" fontId="215" fillId="0" borderId="30" applyNumberFormat="0" applyFill="0" applyAlignment="0" applyProtection="0"/>
    <xf numFmtId="0" fontId="215" fillId="0" borderId="30" applyNumberFormat="0" applyFill="0" applyAlignment="0" applyProtection="0"/>
    <xf numFmtId="0" fontId="215" fillId="0" borderId="30" applyNumberFormat="0" applyFill="0" applyAlignment="0" applyProtection="0"/>
    <xf numFmtId="0" fontId="216" fillId="0" borderId="30" applyNumberFormat="0" applyFill="0" applyAlignment="0" applyProtection="0"/>
    <xf numFmtId="39" fontId="7" fillId="0" borderId="71">
      <protection locked="0"/>
    </xf>
    <xf numFmtId="6" fontId="41" fillId="0" borderId="71" applyFill="0" applyAlignment="0" applyProtection="0"/>
    <xf numFmtId="168" fontId="19" fillId="0" borderId="48"/>
    <xf numFmtId="0" fontId="217" fillId="0" borderId="0">
      <alignment horizontal="fill"/>
    </xf>
    <xf numFmtId="285" fontId="188" fillId="61" borderId="4" applyBorder="0">
      <alignment horizontal="right" vertical="center"/>
      <protection locked="0"/>
    </xf>
    <xf numFmtId="42" fontId="7" fillId="0" borderId="0" applyFont="0" applyFill="0" applyBorder="0" applyAlignment="0" applyProtection="0"/>
    <xf numFmtId="28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284" fontId="218" fillId="89" borderId="0" applyNumberFormat="0" applyBorder="0" applyProtection="0">
      <alignment horizontal="centerContinuous" vertical="center"/>
    </xf>
    <xf numFmtId="0" fontId="83"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32" fillId="0" borderId="0" applyNumberFormat="0" applyFill="0" applyBorder="0" applyAlignment="0" applyProtection="0"/>
    <xf numFmtId="0" fontId="220" fillId="0" borderId="0"/>
    <xf numFmtId="1" fontId="220" fillId="0" borderId="0"/>
    <xf numFmtId="287" fontId="105" fillId="0" borderId="0" applyFont="0" applyFill="0" applyBorder="0" applyProtection="0">
      <alignment horizontal="right"/>
    </xf>
    <xf numFmtId="288" fontId="7" fillId="0" borderId="0"/>
    <xf numFmtId="289" fontId="177" fillId="0" borderId="0" applyFill="0" applyBorder="0" applyProtection="0"/>
    <xf numFmtId="0" fontId="7" fillId="0" borderId="0">
      <alignment horizontal="center"/>
    </xf>
    <xf numFmtId="290" fontId="98" fillId="0" borderId="8">
      <alignment horizontal="right"/>
    </xf>
    <xf numFmtId="291" fontId="7" fillId="0" borderId="0" applyFont="0" applyFill="0" applyBorder="0" applyAlignment="0" applyProtection="0"/>
    <xf numFmtId="292" fontId="107" fillId="0" borderId="0" applyFont="0" applyFill="0" applyBorder="0" applyProtection="0">
      <alignment horizontal="right"/>
    </xf>
    <xf numFmtId="0" fontId="7" fillId="0" borderId="0"/>
    <xf numFmtId="266" fontId="7" fillId="0" borderId="0"/>
    <xf numFmtId="0" fontId="40" fillId="0" borderId="0"/>
    <xf numFmtId="165" fontId="2" fillId="0" borderId="0" applyFont="0" applyFill="0" applyBorder="0" applyAlignment="0" applyProtection="0"/>
    <xf numFmtId="166" fontId="2" fillId="0" borderId="0" applyFont="0" applyFill="0" applyBorder="0" applyAlignment="0" applyProtection="0"/>
    <xf numFmtId="0" fontId="82" fillId="0" borderId="98" applyNumberFormat="0" applyFill="0" applyAlignment="0" applyProtection="0"/>
    <xf numFmtId="0" fontId="82" fillId="0" borderId="98" applyNumberFormat="0" applyFill="0" applyAlignment="0" applyProtection="0"/>
    <xf numFmtId="249" fontId="206" fillId="89" borderId="97" applyNumberFormat="0" applyBorder="0" applyAlignment="0" applyProtection="0">
      <alignment vertical="center"/>
    </xf>
    <xf numFmtId="0" fontId="79" fillId="59" borderId="96" applyNumberFormat="0" applyAlignment="0" applyProtection="0"/>
    <xf numFmtId="0" fontId="79" fillId="59" borderId="96" applyNumberFormat="0" applyAlignment="0" applyProtection="0"/>
    <xf numFmtId="0" fontId="49" fillId="64" borderId="95" applyNumberFormat="0" applyFont="0" applyAlignment="0" applyProtection="0"/>
    <xf numFmtId="0" fontId="49" fillId="64" borderId="95" applyNumberFormat="0" applyFont="0" applyAlignment="0" applyProtection="0"/>
    <xf numFmtId="0" fontId="7" fillId="0" borderId="0"/>
    <xf numFmtId="0" fontId="94" fillId="0" borderId="89" applyNumberFormat="0" applyFont="0" applyFill="0" applyAlignment="0" applyProtection="0"/>
    <xf numFmtId="0" fontId="2" fillId="0" borderId="0"/>
    <xf numFmtId="0" fontId="7" fillId="0" borderId="0"/>
    <xf numFmtId="0" fontId="7" fillId="0" borderId="0"/>
    <xf numFmtId="238" fontId="105" fillId="0" borderId="0" applyFont="0" applyFill="0" applyBorder="0" applyProtection="0">
      <alignment horizontal="right"/>
    </xf>
    <xf numFmtId="0" fontId="7" fillId="0" borderId="0"/>
    <xf numFmtId="266" fontId="7" fillId="0" borderId="0"/>
    <xf numFmtId="0" fontId="2" fillId="0" borderId="0"/>
    <xf numFmtId="0" fontId="2" fillId="0" borderId="0"/>
    <xf numFmtId="266" fontId="7" fillId="0" borderId="0"/>
    <xf numFmtId="0" fontId="164" fillId="77" borderId="94">
      <alignment horizontal="left" vertical="center" wrapText="1"/>
    </xf>
    <xf numFmtId="0" fontId="72" fillId="46" borderId="91" applyNumberFormat="0" applyAlignment="0" applyProtection="0"/>
    <xf numFmtId="0" fontId="72" fillId="46" borderId="91" applyNumberFormat="0" applyAlignment="0" applyProtection="0"/>
    <xf numFmtId="1" fontId="141" fillId="74" borderId="90" applyNumberFormat="0" applyBorder="0" applyAlignment="0">
      <alignment horizontal="centerContinuous" vertical="center"/>
      <protection locked="0"/>
    </xf>
    <xf numFmtId="0" fontId="7" fillId="0" borderId="0"/>
    <xf numFmtId="238" fontId="105" fillId="0" borderId="0" applyFont="0" applyFill="0" applyBorder="0" applyProtection="0">
      <alignment horizontal="right"/>
    </xf>
    <xf numFmtId="0" fontId="7" fillId="0" borderId="0"/>
    <xf numFmtId="8" fontId="132" fillId="0" borderId="93">
      <protection locked="0"/>
    </xf>
    <xf numFmtId="0" fontId="7" fillId="0" borderId="0"/>
    <xf numFmtId="0" fontId="2" fillId="0" borderId="0"/>
    <xf numFmtId="0" fontId="55" fillId="59" borderId="91" applyNumberFormat="0" applyAlignment="0" applyProtection="0"/>
    <xf numFmtId="0" fontId="55" fillId="59" borderId="91" applyNumberFormat="0" applyAlignment="0" applyProtection="0"/>
    <xf numFmtId="217" fontId="107" fillId="69" borderId="92"/>
    <xf numFmtId="0" fontId="7" fillId="0" borderId="0"/>
    <xf numFmtId="0" fontId="7" fillId="67" borderId="91" applyNumberFormat="0">
      <alignment horizontal="left" vertical="center"/>
    </xf>
    <xf numFmtId="0" fontId="7" fillId="66" borderId="91" applyNumberFormat="0">
      <alignment horizontal="centerContinuous" vertical="center" wrapText="1"/>
    </xf>
    <xf numFmtId="5" fontId="94"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applyNumberFormat="0" applyFill="0" applyBorder="0" applyAlignment="0" applyProtection="0"/>
    <xf numFmtId="0" fontId="7" fillId="0" borderId="0"/>
    <xf numFmtId="0" fontId="7" fillId="6" borderId="121" applyNumberFormat="0" applyProtection="0">
      <alignment horizontal="lef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xf numFmtId="9" fontId="1" fillId="0" borderId="0" applyFont="0" applyFill="0" applyBorder="0" applyAlignment="0" applyProtection="0"/>
    <xf numFmtId="166" fontId="223" fillId="0" borderId="0" applyFont="0" applyFill="0" applyBorder="0" applyAlignment="0" applyProtection="0"/>
    <xf numFmtId="0" fontId="223" fillId="0" borderId="0"/>
    <xf numFmtId="9" fontId="1" fillId="0" borderId="0" applyFont="0" applyFill="0" applyBorder="0" applyAlignment="0" applyProtection="0"/>
    <xf numFmtId="0" fontId="36" fillId="0" borderId="0"/>
    <xf numFmtId="43" fontId="36" fillId="0" borderId="0" applyFont="0" applyFill="0" applyBorder="0" applyAlignment="0" applyProtection="0"/>
    <xf numFmtId="166" fontId="49"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48" fillId="0" borderId="0"/>
    <xf numFmtId="0" fontId="36" fillId="0" borderId="0"/>
    <xf numFmtId="0" fontId="48" fillId="0" borderId="0"/>
    <xf numFmtId="9" fontId="36" fillId="0" borderId="0" applyFont="0" applyFill="0" applyBorder="0" applyAlignment="0" applyProtection="0"/>
    <xf numFmtId="9" fontId="36" fillId="0" borderId="0" applyFont="0" applyFill="0" applyBorder="0" applyAlignment="0" applyProtection="0"/>
    <xf numFmtId="0" fontId="7" fillId="0" borderId="0"/>
    <xf numFmtId="0" fontId="7" fillId="0" borderId="0"/>
    <xf numFmtId="0" fontId="1" fillId="0" borderId="0"/>
    <xf numFmtId="0" fontId="1" fillId="0" borderId="0"/>
    <xf numFmtId="166" fontId="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7" fillId="6" borderId="121" applyNumberFormat="0" applyProtection="0">
      <alignment horizontal="left" vertical="center"/>
    </xf>
    <xf numFmtId="0" fontId="7" fillId="6" borderId="121" applyNumberFormat="0" applyProtection="0">
      <alignment horizontal="lef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36" fillId="0" borderId="0"/>
    <xf numFmtId="166" fontId="36" fillId="0" borderId="0" applyFont="0" applyFill="0" applyBorder="0" applyAlignment="0" applyProtection="0"/>
    <xf numFmtId="9" fontId="36" fillId="0" borderId="0" applyFont="0" applyFill="0" applyBorder="0" applyAlignment="0" applyProtection="0"/>
    <xf numFmtId="0" fontId="3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36" fillId="0" borderId="0"/>
    <xf numFmtId="43" fontId="36" fillId="0" borderId="0" applyFont="0" applyFill="0" applyBorder="0" applyAlignment="0" applyProtection="0"/>
    <xf numFmtId="0" fontId="1" fillId="0" borderId="0"/>
    <xf numFmtId="0" fontId="1" fillId="0" borderId="0"/>
    <xf numFmtId="9" fontId="3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55" fillId="59" borderId="91" applyNumberFormat="0" applyAlignment="0" applyProtection="0"/>
    <xf numFmtId="0" fontId="82" fillId="0" borderId="98" applyNumberFormat="0" applyFill="0" applyAlignment="0" applyProtection="0"/>
    <xf numFmtId="0" fontId="1" fillId="0" borderId="0"/>
    <xf numFmtId="0" fontId="1" fillId="13" borderId="2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0" fontId="13" fillId="62" borderId="121"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79" fillId="59" borderId="96" applyNumberFormat="0" applyAlignment="0" applyProtection="0"/>
    <xf numFmtId="0" fontId="72" fillId="46" borderId="91" applyNumberFormat="0" applyAlignment="0" applyProtection="0"/>
    <xf numFmtId="0" fontId="7" fillId="64" borderId="95" applyNumberFormat="0" applyFont="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3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72" fillId="46" borderId="91" applyNumberFormat="0" applyAlignment="0" applyProtection="0"/>
    <xf numFmtId="0" fontId="72" fillId="46" borderId="91" applyNumberFormat="0" applyAlignment="0" applyProtection="0"/>
    <xf numFmtId="0" fontId="72" fillId="46" borderId="91" applyNumberFormat="0" applyAlignment="0" applyProtection="0"/>
    <xf numFmtId="0" fontId="72" fillId="46" borderId="91" applyNumberFormat="0" applyAlignment="0" applyProtection="0"/>
    <xf numFmtId="0" fontId="36"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44"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36" fillId="0" borderId="0"/>
    <xf numFmtId="43" fontId="36" fillId="0" borderId="0" applyFont="0" applyFill="0" applyBorder="0" applyAlignment="0" applyProtection="0"/>
    <xf numFmtId="0" fontId="1" fillId="0" borderId="0"/>
    <xf numFmtId="0" fontId="1" fillId="0" borderId="0"/>
    <xf numFmtId="9" fontId="36"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8" fillId="0" borderId="0" applyNumberForma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36" fillId="0" borderId="0"/>
    <xf numFmtId="9" fontId="3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36"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3" borderId="2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9" fontId="36"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3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6"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9" fontId="36" fillId="0" borderId="0" applyFont="0" applyFill="0" applyBorder="0" applyAlignment="0" applyProtection="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6"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3" borderId="2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3" borderId="2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0" fontId="1" fillId="0" borderId="0"/>
    <xf numFmtId="0" fontId="7"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3" borderId="2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3" borderId="2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3" borderId="2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3" borderId="29"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xf numFmtId="0" fontId="1" fillId="0" borderId="0"/>
  </cellStyleXfs>
  <cellXfs count="686">
    <xf numFmtId="0" fontId="0" fillId="0" borderId="0" xfId="0"/>
    <xf numFmtId="0" fontId="0" fillId="0" borderId="0" xfId="0" applyAlignment="1">
      <alignment horizontal="center"/>
    </xf>
    <xf numFmtId="0" fontId="0" fillId="0" borderId="0" xfId="0" applyAlignment="1">
      <alignment horizontal="right"/>
    </xf>
    <xf numFmtId="167" fontId="0" fillId="0" borderId="0" xfId="0" applyNumberFormat="1" applyAlignment="1">
      <alignment horizontal="center"/>
    </xf>
    <xf numFmtId="3" fontId="0" fillId="0" borderId="0" xfId="0" applyNumberFormat="1" applyAlignment="1">
      <alignment horizontal="center"/>
    </xf>
    <xf numFmtId="10" fontId="0" fillId="0" borderId="0" xfId="0" applyNumberFormat="1" applyAlignment="1">
      <alignment horizontal="center"/>
    </xf>
    <xf numFmtId="0" fontId="10" fillId="0" borderId="0" xfId="0" applyFont="1"/>
    <xf numFmtId="0" fontId="10" fillId="0" borderId="0" xfId="0" applyFont="1" applyAlignment="1"/>
    <xf numFmtId="0" fontId="0" fillId="0" borderId="0" xfId="0" applyFill="1" applyAlignment="1">
      <alignment horizontal="center"/>
    </xf>
    <xf numFmtId="171" fontId="0" fillId="0" borderId="0" xfId="0" applyNumberFormat="1" applyAlignment="1">
      <alignment horizontal="center"/>
    </xf>
    <xf numFmtId="9" fontId="0" fillId="0" borderId="0" xfId="0" applyNumberFormat="1" applyAlignment="1">
      <alignment horizontal="center"/>
    </xf>
    <xf numFmtId="3" fontId="0" fillId="0" borderId="0" xfId="0" applyNumberFormat="1" applyFill="1" applyAlignment="1">
      <alignment horizontal="center"/>
    </xf>
    <xf numFmtId="172" fontId="0" fillId="0" borderId="0" xfId="0" applyNumberFormat="1" applyAlignment="1">
      <alignment horizontal="center"/>
    </xf>
    <xf numFmtId="3" fontId="0" fillId="0" borderId="0" xfId="0" applyNumberFormat="1" applyAlignment="1">
      <alignment horizontal="center" wrapText="1"/>
    </xf>
    <xf numFmtId="0" fontId="0" fillId="0" borderId="1" xfId="0" applyBorder="1" applyAlignment="1">
      <alignment horizontal="right"/>
    </xf>
    <xf numFmtId="0" fontId="0" fillId="0" borderId="0" xfId="0" applyFill="1"/>
    <xf numFmtId="0" fontId="0" fillId="0" borderId="0" xfId="0" applyFill="1" applyBorder="1" applyAlignment="1"/>
    <xf numFmtId="0" fontId="0" fillId="0" borderId="2" xfId="0" applyFill="1" applyBorder="1" applyAlignment="1"/>
    <xf numFmtId="0" fontId="12" fillId="0" borderId="3" xfId="0" applyFont="1" applyFill="1" applyBorder="1" applyAlignment="1">
      <alignment horizontal="center"/>
    </xf>
    <xf numFmtId="0" fontId="12" fillId="0" borderId="3" xfId="0" applyFont="1" applyFill="1" applyBorder="1" applyAlignment="1">
      <alignment horizontal="centerContinuous"/>
    </xf>
    <xf numFmtId="173" fontId="0" fillId="0" borderId="0" xfId="1" applyNumberFormat="1" applyFont="1" applyAlignment="1">
      <alignment horizontal="center"/>
    </xf>
    <xf numFmtId="3" fontId="0" fillId="0" borderId="0" xfId="0" applyNumberFormat="1"/>
    <xf numFmtId="0" fontId="0" fillId="4" borderId="0" xfId="0" applyFill="1" applyAlignment="1">
      <alignment horizontal="center"/>
    </xf>
    <xf numFmtId="0" fontId="0" fillId="4" borderId="0" xfId="0" applyFill="1"/>
    <xf numFmtId="3" fontId="15" fillId="0" borderId="0" xfId="0" applyNumberFormat="1" applyFont="1" applyAlignment="1">
      <alignment horizontal="left"/>
    </xf>
    <xf numFmtId="0" fontId="7" fillId="0" borderId="0" xfId="0" applyFont="1"/>
    <xf numFmtId="38" fontId="0" fillId="0" borderId="0" xfId="0" applyNumberFormat="1" applyFill="1" applyAlignment="1">
      <alignment horizontal="center"/>
    </xf>
    <xf numFmtId="0" fontId="7" fillId="0" borderId="0" xfId="4"/>
    <xf numFmtId="0" fontId="10" fillId="0" borderId="0" xfId="4" applyFont="1"/>
    <xf numFmtId="0" fontId="17" fillId="0" borderId="0" xfId="4" applyFont="1"/>
    <xf numFmtId="166" fontId="7" fillId="0" borderId="0" xfId="11" applyFont="1"/>
    <xf numFmtId="0" fontId="18" fillId="0" borderId="0" xfId="4" applyFont="1"/>
    <xf numFmtId="166" fontId="13" fillId="0" borderId="0" xfId="11" applyFont="1"/>
    <xf numFmtId="0" fontId="13" fillId="0" borderId="0" xfId="4" applyFont="1"/>
    <xf numFmtId="166" fontId="19" fillId="0" borderId="0" xfId="11" applyFont="1" applyAlignment="1">
      <alignment horizontal="right"/>
    </xf>
    <xf numFmtId="0" fontId="13" fillId="0" borderId="0" xfId="4" applyFont="1" applyAlignment="1">
      <alignment horizontal="right"/>
    </xf>
    <xf numFmtId="0" fontId="7" fillId="0" borderId="0" xfId="12" applyFont="1" applyAlignment="1">
      <alignment horizontal="center"/>
    </xf>
    <xf numFmtId="43" fontId="7" fillId="0" borderId="0" xfId="13" applyFont="1" applyAlignment="1">
      <alignment horizontal="center"/>
    </xf>
    <xf numFmtId="0" fontId="7" fillId="0" borderId="0" xfId="12" applyFont="1" applyAlignment="1"/>
    <xf numFmtId="0" fontId="7" fillId="0" borderId="0" xfId="12" applyFont="1"/>
    <xf numFmtId="0" fontId="36" fillId="0" borderId="0" xfId="12"/>
    <xf numFmtId="0" fontId="38" fillId="0" borderId="0" xfId="12" applyFont="1" applyBorder="1" applyAlignment="1" applyProtection="1">
      <alignment horizontal="left" vertical="center"/>
      <protection locked="0"/>
    </xf>
    <xf numFmtId="43" fontId="7" fillId="0" borderId="0" xfId="13" applyFont="1" applyAlignment="1" applyProtection="1">
      <alignment horizontal="center"/>
      <protection locked="0"/>
    </xf>
    <xf numFmtId="0" fontId="7" fillId="0" borderId="0" xfId="12" applyFont="1" applyAlignment="1" applyProtection="1">
      <alignment horizontal="center"/>
      <protection locked="0"/>
    </xf>
    <xf numFmtId="0" fontId="7" fillId="0" borderId="0" xfId="12" applyFont="1" applyAlignment="1" applyProtection="1">
      <protection locked="0"/>
    </xf>
    <xf numFmtId="0" fontId="7" fillId="0" borderId="0" xfId="12" applyFont="1" applyProtection="1">
      <protection locked="0"/>
    </xf>
    <xf numFmtId="0" fontId="39" fillId="0" borderId="0" xfId="12" applyFont="1" applyBorder="1" applyAlignment="1">
      <alignment horizontal="left" vertical="center"/>
    </xf>
    <xf numFmtId="43" fontId="38" fillId="0" borderId="0" xfId="13" applyFont="1" applyBorder="1" applyAlignment="1" applyProtection="1">
      <alignment horizontal="left" vertical="center"/>
      <protection locked="0"/>
    </xf>
    <xf numFmtId="0" fontId="10" fillId="0" borderId="0" xfId="12" applyFont="1" applyProtection="1">
      <protection locked="0"/>
    </xf>
    <xf numFmtId="0" fontId="10" fillId="0" borderId="0" xfId="12" applyFont="1"/>
    <xf numFmtId="0" fontId="10" fillId="0" borderId="10" xfId="12" applyFont="1" applyBorder="1" applyAlignment="1" applyProtection="1">
      <alignment horizontal="center"/>
      <protection locked="0"/>
    </xf>
    <xf numFmtId="2" fontId="10" fillId="38" borderId="12" xfId="13" applyNumberFormat="1" applyFont="1" applyFill="1" applyBorder="1" applyAlignment="1" applyProtection="1">
      <alignment horizontal="center" wrapText="1"/>
      <protection locked="0"/>
    </xf>
    <xf numFmtId="2" fontId="10" fillId="38" borderId="1" xfId="13" applyNumberFormat="1" applyFont="1" applyFill="1" applyBorder="1" applyAlignment="1" applyProtection="1">
      <alignment horizontal="center" wrapText="1"/>
      <protection locked="0"/>
    </xf>
    <xf numFmtId="0" fontId="10" fillId="0" borderId="1" xfId="12" applyFont="1" applyBorder="1" applyAlignment="1" applyProtection="1">
      <alignment horizontal="center" wrapText="1"/>
      <protection locked="0"/>
    </xf>
    <xf numFmtId="0" fontId="10" fillId="0" borderId="5" xfId="12" applyFont="1" applyBorder="1" applyProtection="1">
      <protection locked="0"/>
    </xf>
    <xf numFmtId="0" fontId="10" fillId="0" borderId="1" xfId="12" applyFont="1" applyFill="1" applyBorder="1" applyAlignment="1" applyProtection="1">
      <alignment horizontal="center" wrapText="1"/>
      <protection locked="0"/>
    </xf>
    <xf numFmtId="0" fontId="10" fillId="0" borderId="0" xfId="12" applyFont="1" applyFill="1" applyProtection="1">
      <protection locked="0"/>
    </xf>
    <xf numFmtId="17" fontId="7" fillId="0" borderId="1" xfId="12" applyNumberFormat="1" applyFont="1" applyBorder="1" applyAlignment="1" applyProtection="1">
      <alignment horizontal="center"/>
      <protection locked="0"/>
    </xf>
    <xf numFmtId="176" fontId="7" fillId="38" borderId="1" xfId="13" applyNumberFormat="1" applyFont="1" applyFill="1" applyBorder="1" applyAlignment="1" applyProtection="1">
      <alignment horizontal="center"/>
      <protection locked="0"/>
    </xf>
    <xf numFmtId="1" fontId="7" fillId="38" borderId="1" xfId="13" applyNumberFormat="1" applyFont="1" applyFill="1" applyBorder="1" applyAlignment="1" applyProtection="1">
      <alignment horizontal="center"/>
      <protection locked="0"/>
    </xf>
    <xf numFmtId="1" fontId="7" fillId="38" borderId="1" xfId="12" applyNumberFormat="1" applyFont="1" applyFill="1" applyBorder="1" applyProtection="1">
      <protection locked="0"/>
    </xf>
    <xf numFmtId="176" fontId="7" fillId="0" borderId="1" xfId="13" applyNumberFormat="1" applyFont="1" applyFill="1" applyBorder="1" applyAlignment="1" applyProtection="1">
      <alignment horizontal="center"/>
      <protection locked="0"/>
    </xf>
    <xf numFmtId="0" fontId="7" fillId="0" borderId="12" xfId="13" applyNumberFormat="1" applyFont="1" applyFill="1" applyBorder="1" applyAlignment="1" applyProtection="1">
      <protection locked="0"/>
    </xf>
    <xf numFmtId="1" fontId="7" fillId="38" borderId="12" xfId="13" applyNumberFormat="1" applyFont="1" applyFill="1" applyBorder="1" applyAlignment="1" applyProtection="1">
      <protection locked="0"/>
    </xf>
    <xf numFmtId="0" fontId="7" fillId="0" borderId="0" xfId="12" applyFont="1" applyFill="1" applyProtection="1">
      <protection locked="0"/>
    </xf>
    <xf numFmtId="176" fontId="7" fillId="38" borderId="12" xfId="13" applyNumberFormat="1" applyFont="1" applyFill="1" applyBorder="1" applyAlignment="1">
      <alignment horizontal="center"/>
    </xf>
    <xf numFmtId="1" fontId="7" fillId="38" borderId="12" xfId="13" applyNumberFormat="1" applyFont="1" applyFill="1" applyBorder="1" applyAlignment="1">
      <alignment horizontal="center"/>
    </xf>
    <xf numFmtId="176" fontId="7" fillId="0" borderId="12" xfId="13" applyNumberFormat="1" applyFont="1" applyFill="1" applyBorder="1" applyAlignment="1" applyProtection="1">
      <alignment horizontal="center"/>
      <protection locked="0"/>
    </xf>
    <xf numFmtId="1" fontId="7" fillId="38" borderId="12" xfId="13" applyNumberFormat="1" applyFont="1" applyFill="1" applyBorder="1" applyAlignment="1" applyProtection="1">
      <alignment horizontal="center"/>
      <protection locked="0"/>
    </xf>
    <xf numFmtId="1" fontId="7" fillId="38" borderId="12" xfId="12" applyNumberFormat="1" applyFont="1" applyFill="1" applyBorder="1" applyProtection="1">
      <protection locked="0"/>
    </xf>
    <xf numFmtId="176" fontId="7" fillId="39" borderId="12" xfId="13" applyNumberFormat="1" applyFont="1" applyFill="1" applyBorder="1" applyAlignment="1">
      <alignment horizontal="center"/>
    </xf>
    <xf numFmtId="1" fontId="7" fillId="39" borderId="12" xfId="13" applyNumberFormat="1" applyFont="1" applyFill="1" applyBorder="1" applyAlignment="1" applyProtection="1">
      <alignment horizontal="center"/>
      <protection locked="0"/>
    </xf>
    <xf numFmtId="1" fontId="7" fillId="40" borderId="1" xfId="13" applyNumberFormat="1" applyFont="1" applyFill="1" applyBorder="1" applyAlignment="1" applyProtection="1">
      <alignment horizontal="center"/>
      <protection locked="0"/>
    </xf>
    <xf numFmtId="1" fontId="7" fillId="39" borderId="12" xfId="12" applyNumberFormat="1" applyFont="1" applyFill="1" applyBorder="1" applyProtection="1">
      <protection locked="0"/>
    </xf>
    <xf numFmtId="176" fontId="7" fillId="40" borderId="12" xfId="13" applyNumberFormat="1" applyFont="1" applyFill="1" applyBorder="1" applyAlignment="1" applyProtection="1">
      <alignment horizontal="center"/>
      <protection locked="0"/>
    </xf>
    <xf numFmtId="0" fontId="7" fillId="40" borderId="12" xfId="13" applyNumberFormat="1" applyFont="1" applyFill="1" applyBorder="1" applyAlignment="1" applyProtection="1">
      <protection locked="0"/>
    </xf>
    <xf numFmtId="1" fontId="7" fillId="40" borderId="12" xfId="13" applyNumberFormat="1" applyFont="1" applyFill="1" applyBorder="1" applyAlignment="1" applyProtection="1">
      <protection locked="0"/>
    </xf>
    <xf numFmtId="0" fontId="7" fillId="40" borderId="0" xfId="12" applyFont="1" applyFill="1" applyProtection="1">
      <protection locked="0"/>
    </xf>
    <xf numFmtId="176" fontId="7" fillId="40" borderId="1" xfId="13" applyNumberFormat="1" applyFont="1" applyFill="1" applyBorder="1" applyAlignment="1" applyProtection="1">
      <alignment horizontal="center"/>
      <protection locked="0"/>
    </xf>
    <xf numFmtId="176" fontId="7" fillId="0" borderId="1" xfId="13" applyNumberFormat="1" applyFont="1" applyFill="1" applyBorder="1" applyProtection="1">
      <protection locked="0"/>
    </xf>
    <xf numFmtId="1" fontId="7" fillId="38" borderId="12" xfId="13" applyNumberFormat="1" applyFont="1" applyFill="1" applyBorder="1" applyProtection="1">
      <protection locked="0"/>
    </xf>
    <xf numFmtId="176" fontId="7" fillId="40" borderId="12" xfId="13" applyNumberFormat="1" applyFont="1" applyFill="1" applyBorder="1" applyAlignment="1">
      <alignment horizontal="center"/>
    </xf>
    <xf numFmtId="1" fontId="7" fillId="40" borderId="12" xfId="13" applyNumberFormat="1" applyFont="1" applyFill="1" applyBorder="1" applyAlignment="1" applyProtection="1">
      <alignment horizontal="center"/>
      <protection locked="0"/>
    </xf>
    <xf numFmtId="1" fontId="7" fillId="40" borderId="12" xfId="12" applyNumberFormat="1" applyFont="1" applyFill="1" applyBorder="1" applyProtection="1">
      <protection locked="0"/>
    </xf>
    <xf numFmtId="10" fontId="7" fillId="0" borderId="0" xfId="14" applyNumberFormat="1" applyFont="1" applyBorder="1" applyAlignment="1" applyProtection="1">
      <alignment horizontal="center"/>
      <protection locked="0"/>
    </xf>
    <xf numFmtId="9" fontId="7" fillId="0" borderId="0" xfId="14" applyFont="1" applyProtection="1">
      <protection locked="0"/>
    </xf>
    <xf numFmtId="0" fontId="37" fillId="0" borderId="0" xfId="12" applyFont="1"/>
    <xf numFmtId="8" fontId="36" fillId="0" borderId="0" xfId="12" applyNumberFormat="1"/>
    <xf numFmtId="0" fontId="41" fillId="0" borderId="0" xfId="12" applyFont="1"/>
    <xf numFmtId="176" fontId="7" fillId="0" borderId="0" xfId="12" applyNumberFormat="1" applyFont="1"/>
    <xf numFmtId="176" fontId="7" fillId="38" borderId="12" xfId="13" applyNumberFormat="1" applyFont="1" applyFill="1" applyBorder="1" applyAlignment="1" applyProtection="1">
      <alignment horizontal="center"/>
      <protection locked="0"/>
    </xf>
    <xf numFmtId="43" fontId="7" fillId="0" borderId="0" xfId="13" applyFont="1" applyBorder="1" applyProtection="1">
      <protection locked="0"/>
    </xf>
    <xf numFmtId="17" fontId="7" fillId="0" borderId="0" xfId="12" applyNumberFormat="1" applyFont="1" applyBorder="1" applyProtection="1">
      <protection locked="0"/>
    </xf>
    <xf numFmtId="0" fontId="7" fillId="0" borderId="1" xfId="13" applyNumberFormat="1" applyFont="1" applyFill="1" applyBorder="1" applyAlignment="1" applyProtection="1">
      <protection locked="0"/>
    </xf>
    <xf numFmtId="0" fontId="7" fillId="0" borderId="1" xfId="13" applyNumberFormat="1" applyFont="1" applyBorder="1" applyAlignment="1" applyProtection="1">
      <protection locked="0"/>
    </xf>
    <xf numFmtId="0" fontId="7" fillId="40" borderId="1" xfId="13" applyNumberFormat="1" applyFont="1" applyFill="1" applyBorder="1" applyAlignment="1" applyProtection="1">
      <protection locked="0"/>
    </xf>
    <xf numFmtId="1" fontId="7" fillId="40" borderId="1" xfId="13" applyNumberFormat="1" applyFont="1" applyFill="1" applyBorder="1" applyAlignment="1" applyProtection="1">
      <protection locked="0"/>
    </xf>
    <xf numFmtId="1" fontId="7" fillId="38" borderId="1" xfId="13" applyNumberFormat="1" applyFont="1" applyFill="1" applyBorder="1" applyAlignment="1" applyProtection="1">
      <protection locked="0"/>
    </xf>
    <xf numFmtId="43" fontId="7" fillId="0" borderId="0" xfId="13" applyFont="1" applyBorder="1"/>
    <xf numFmtId="17" fontId="7" fillId="0" borderId="0" xfId="12" applyNumberFormat="1" applyFont="1" applyBorder="1"/>
    <xf numFmtId="176" fontId="7" fillId="0" borderId="1" xfId="13" applyNumberFormat="1" applyFont="1" applyFill="1" applyBorder="1"/>
    <xf numFmtId="17" fontId="7" fillId="0" borderId="0" xfId="12" applyNumberFormat="1" applyFont="1" applyBorder="1" applyAlignment="1">
      <alignment horizontal="center"/>
    </xf>
    <xf numFmtId="0" fontId="7" fillId="0" borderId="0" xfId="12" applyFont="1" applyBorder="1" applyAlignment="1">
      <alignment horizontal="center"/>
    </xf>
    <xf numFmtId="43" fontId="44" fillId="0" borderId="0" xfId="13" applyFont="1" applyBorder="1" applyAlignment="1">
      <alignment horizontal="center"/>
    </xf>
    <xf numFmtId="0" fontId="44" fillId="0" borderId="0" xfId="12" applyFont="1" applyBorder="1" applyAlignment="1">
      <alignment horizontal="center"/>
    </xf>
    <xf numFmtId="0" fontId="44" fillId="0" borderId="0" xfId="18" applyFont="1" applyBorder="1"/>
    <xf numFmtId="43" fontId="45" fillId="0" borderId="0" xfId="13" applyFont="1" applyBorder="1"/>
    <xf numFmtId="178" fontId="45" fillId="0" borderId="0" xfId="19" applyNumberFormat="1" applyFont="1" applyBorder="1"/>
    <xf numFmtId="0" fontId="10" fillId="0" borderId="0" xfId="4" applyFont="1" applyAlignment="1">
      <alignment horizontal="left"/>
    </xf>
    <xf numFmtId="174" fontId="13" fillId="0" borderId="0" xfId="4" applyNumberFormat="1" applyFont="1" applyAlignment="1">
      <alignment horizontal="right"/>
    </xf>
    <xf numFmtId="174" fontId="7" fillId="0" borderId="0" xfId="4" applyNumberFormat="1"/>
    <xf numFmtId="4" fontId="7" fillId="0" borderId="0" xfId="4" applyNumberFormat="1"/>
    <xf numFmtId="174" fontId="13" fillId="0" borderId="0" xfId="4" applyNumberFormat="1" applyFont="1" applyFill="1" applyBorder="1" applyAlignment="1">
      <alignment horizontal="right"/>
    </xf>
    <xf numFmtId="166" fontId="13" fillId="0" borderId="0" xfId="4" applyNumberFormat="1" applyFont="1" applyFill="1" applyBorder="1" applyAlignment="1">
      <alignment horizontal="right"/>
    </xf>
    <xf numFmtId="174" fontId="13" fillId="0" borderId="5" xfId="4" applyNumberFormat="1" applyFont="1" applyFill="1" applyBorder="1" applyAlignment="1">
      <alignment horizontal="right"/>
    </xf>
    <xf numFmtId="166" fontId="13" fillId="0" borderId="5" xfId="4" applyNumberFormat="1" applyFont="1" applyFill="1" applyBorder="1" applyAlignment="1">
      <alignment horizontal="right"/>
    </xf>
    <xf numFmtId="0" fontId="7" fillId="0" borderId="40" xfId="13" applyNumberFormat="1" applyFont="1" applyFill="1" applyBorder="1" applyAlignment="1" applyProtection="1">
      <protection locked="0"/>
    </xf>
    <xf numFmtId="176" fontId="7" fillId="38" borderId="40" xfId="13" applyNumberFormat="1" applyFont="1" applyFill="1" applyBorder="1" applyAlignment="1" applyProtection="1">
      <protection locked="0"/>
    </xf>
    <xf numFmtId="0" fontId="7" fillId="40" borderId="40" xfId="13" applyNumberFormat="1" applyFont="1" applyFill="1" applyBorder="1" applyAlignment="1" applyProtection="1">
      <protection locked="0"/>
    </xf>
    <xf numFmtId="2" fontId="7" fillId="40" borderId="40" xfId="13" applyNumberFormat="1" applyFont="1" applyFill="1" applyBorder="1" applyAlignment="1" applyProtection="1">
      <protection locked="0"/>
    </xf>
    <xf numFmtId="176" fontId="7" fillId="40" borderId="40" xfId="13" applyNumberFormat="1" applyFont="1" applyFill="1" applyBorder="1" applyAlignment="1" applyProtection="1">
      <protection locked="0"/>
    </xf>
    <xf numFmtId="0" fontId="10" fillId="0" borderId="40" xfId="12" applyFont="1" applyBorder="1" applyAlignment="1" applyProtection="1">
      <alignment horizontal="center" wrapText="1"/>
      <protection locked="0"/>
    </xf>
    <xf numFmtId="0" fontId="7" fillId="0" borderId="40" xfId="13" applyNumberFormat="1" applyFont="1" applyBorder="1" applyAlignment="1" applyProtection="1">
      <protection locked="0"/>
    </xf>
    <xf numFmtId="0" fontId="7" fillId="0" borderId="0" xfId="1500"/>
    <xf numFmtId="0" fontId="34" fillId="0" borderId="0" xfId="1512" applyFont="1" applyAlignment="1">
      <alignment horizontal="center" wrapText="1"/>
    </xf>
    <xf numFmtId="0" fontId="7" fillId="0" borderId="0" xfId="1500" applyAlignment="1">
      <alignment horizontal="center" wrapText="1"/>
    </xf>
    <xf numFmtId="176" fontId="7" fillId="0" borderId="0" xfId="1513" applyNumberFormat="1"/>
    <xf numFmtId="3" fontId="10" fillId="0" borderId="0" xfId="1500" applyNumberFormat="1" applyFont="1" applyBorder="1" applyAlignment="1">
      <alignment horizontal="center"/>
    </xf>
    <xf numFmtId="173" fontId="7" fillId="38" borderId="0" xfId="1500" applyNumberFormat="1" applyFill="1"/>
    <xf numFmtId="176" fontId="7" fillId="0" borderId="0" xfId="1500" applyNumberFormat="1"/>
    <xf numFmtId="3" fontId="7" fillId="0" borderId="0" xfId="1500" applyNumberFormat="1"/>
    <xf numFmtId="176" fontId="10" fillId="0" borderId="0" xfId="1513" applyNumberFormat="1" applyFont="1"/>
    <xf numFmtId="176" fontId="7" fillId="0" borderId="0" xfId="1514" applyNumberFormat="1" applyFont="1"/>
    <xf numFmtId="0" fontId="7" fillId="0" borderId="13" xfId="1500" applyBorder="1"/>
    <xf numFmtId="0" fontId="7" fillId="0" borderId="14" xfId="1500" applyBorder="1" applyAlignment="1">
      <alignment horizontal="center"/>
    </xf>
    <xf numFmtId="0" fontId="7" fillId="0" borderId="15" xfId="1500" applyBorder="1" applyAlignment="1">
      <alignment horizontal="center"/>
    </xf>
    <xf numFmtId="0" fontId="7" fillId="0" borderId="42" xfId="1500" applyFont="1" applyBorder="1"/>
    <xf numFmtId="167" fontId="7" fillId="0" borderId="40" xfId="1500" applyNumberFormat="1" applyFill="1" applyBorder="1" applyAlignment="1">
      <alignment horizontal="center"/>
    </xf>
    <xf numFmtId="167" fontId="7" fillId="0" borderId="40" xfId="1500" applyNumberFormat="1" applyBorder="1" applyAlignment="1">
      <alignment horizontal="center"/>
    </xf>
    <xf numFmtId="167" fontId="7" fillId="0" borderId="40" xfId="1500" applyNumberFormat="1" applyBorder="1"/>
    <xf numFmtId="3" fontId="7" fillId="0" borderId="40" xfId="1500" applyNumberFormat="1" applyBorder="1" applyAlignment="1">
      <alignment horizontal="center"/>
    </xf>
    <xf numFmtId="3" fontId="7" fillId="0" borderId="40" xfId="1500" applyNumberFormat="1" applyBorder="1"/>
    <xf numFmtId="3" fontId="7" fillId="3" borderId="40" xfId="1500" applyNumberFormat="1" applyFill="1" applyBorder="1" applyAlignment="1">
      <alignment horizontal="center"/>
    </xf>
    <xf numFmtId="3" fontId="7" fillId="0" borderId="43" xfId="1500" applyNumberFormat="1" applyBorder="1" applyAlignment="1">
      <alignment horizontal="center"/>
    </xf>
    <xf numFmtId="0" fontId="7" fillId="0" borderId="40" xfId="1500" applyBorder="1"/>
    <xf numFmtId="10" fontId="0" fillId="0" borderId="40" xfId="1263" applyNumberFormat="1" applyFont="1" applyFill="1" applyBorder="1"/>
    <xf numFmtId="0" fontId="7" fillId="0" borderId="16" xfId="1500" applyFont="1" applyFill="1" applyBorder="1"/>
    <xf numFmtId="0" fontId="7" fillId="0" borderId="17" xfId="1500" applyBorder="1"/>
    <xf numFmtId="3" fontId="7" fillId="0" borderId="17" xfId="1500" applyNumberFormat="1" applyBorder="1" applyAlignment="1">
      <alignment horizontal="center"/>
    </xf>
    <xf numFmtId="3" fontId="7" fillId="0" borderId="18" xfId="1500" applyNumberFormat="1" applyBorder="1" applyAlignment="1">
      <alignment horizontal="center"/>
    </xf>
    <xf numFmtId="0" fontId="7" fillId="0" borderId="0" xfId="1500" applyFont="1"/>
    <xf numFmtId="176" fontId="7" fillId="0" borderId="5" xfId="1514" applyNumberFormat="1" applyFont="1" applyBorder="1"/>
    <xf numFmtId="3" fontId="7" fillId="0" borderId="0" xfId="1500" applyNumberFormat="1" applyBorder="1" applyAlignment="1">
      <alignment horizontal="center"/>
    </xf>
    <xf numFmtId="0" fontId="7" fillId="0" borderId="8" xfId="1500" applyFont="1" applyBorder="1"/>
    <xf numFmtId="176" fontId="7" fillId="0" borderId="8" xfId="1514" applyNumberFormat="1" applyFont="1" applyBorder="1"/>
    <xf numFmtId="0" fontId="7" fillId="0" borderId="5" xfId="1500" applyBorder="1"/>
    <xf numFmtId="0" fontId="7" fillId="0" borderId="45" xfId="1500" applyBorder="1"/>
    <xf numFmtId="176" fontId="7" fillId="0" borderId="45" xfId="1514" applyNumberFormat="1" applyFont="1" applyBorder="1"/>
    <xf numFmtId="176" fontId="7" fillId="0" borderId="47" xfId="1514" applyNumberFormat="1" applyFont="1" applyBorder="1"/>
    <xf numFmtId="176" fontId="7" fillId="0" borderId="0" xfId="1513" applyNumberFormat="1" applyAlignment="1">
      <alignment wrapText="1"/>
    </xf>
    <xf numFmtId="0" fontId="7" fillId="0" borderId="0" xfId="1500" applyFont="1" applyAlignment="1">
      <alignment wrapText="1"/>
    </xf>
    <xf numFmtId="0" fontId="7" fillId="3" borderId="0" xfId="1500" applyFont="1" applyFill="1" applyAlignment="1">
      <alignment horizontal="center"/>
    </xf>
    <xf numFmtId="170" fontId="7" fillId="0" borderId="0" xfId="1500" applyNumberFormat="1"/>
    <xf numFmtId="17" fontId="7" fillId="0" borderId="0" xfId="1500" applyNumberFormat="1"/>
    <xf numFmtId="184" fontId="7" fillId="0" borderId="0" xfId="1500" applyNumberFormat="1"/>
    <xf numFmtId="14" fontId="7" fillId="0" borderId="0" xfId="1500" applyNumberFormat="1"/>
    <xf numFmtId="0" fontId="7" fillId="0" borderId="0" xfId="1500" applyAlignment="1">
      <alignment horizontal="right"/>
    </xf>
    <xf numFmtId="0" fontId="7" fillId="0" borderId="0" xfId="1500" applyBorder="1"/>
    <xf numFmtId="167" fontId="7" fillId="0" borderId="0" xfId="1515" applyNumberFormat="1" applyFont="1"/>
    <xf numFmtId="0" fontId="7" fillId="38" borderId="40" xfId="13" applyNumberFormat="1" applyFont="1" applyFill="1" applyBorder="1" applyAlignment="1" applyProtection="1">
      <protection locked="0"/>
    </xf>
    <xf numFmtId="0" fontId="7" fillId="40" borderId="0" xfId="12" applyFont="1" applyFill="1"/>
    <xf numFmtId="176" fontId="7" fillId="40" borderId="1" xfId="13" applyNumberFormat="1" applyFont="1" applyFill="1" applyBorder="1"/>
    <xf numFmtId="17" fontId="7" fillId="40" borderId="1" xfId="12" applyNumberFormat="1" applyFont="1" applyFill="1" applyBorder="1" applyAlignment="1" applyProtection="1">
      <alignment horizontal="center"/>
      <protection locked="0"/>
    </xf>
    <xf numFmtId="176" fontId="7" fillId="0" borderId="0" xfId="12" applyNumberFormat="1" applyFont="1" applyProtection="1">
      <protection locked="0"/>
    </xf>
    <xf numFmtId="0" fontId="10" fillId="0" borderId="0" xfId="12" applyFont="1" applyFill="1" applyBorder="1" applyAlignment="1" applyProtection="1">
      <alignment horizontal="center" wrapText="1"/>
      <protection locked="0"/>
    </xf>
    <xf numFmtId="0" fontId="7" fillId="0" borderId="0" xfId="12" applyFont="1" applyFill="1" applyBorder="1" applyProtection="1">
      <protection locked="0"/>
    </xf>
    <xf numFmtId="43" fontId="7" fillId="0" borderId="0" xfId="13" applyFont="1" applyFill="1" applyBorder="1" applyProtection="1">
      <protection locked="0"/>
    </xf>
    <xf numFmtId="176" fontId="7" fillId="0" borderId="0" xfId="13" applyNumberFormat="1" applyFont="1" applyFill="1" applyBorder="1" applyProtection="1">
      <protection locked="0"/>
    </xf>
    <xf numFmtId="176" fontId="7" fillId="0" borderId="0" xfId="13" applyNumberFormat="1" applyFont="1" applyFill="1" applyBorder="1"/>
    <xf numFmtId="0" fontId="7" fillId="0" borderId="0" xfId="12" applyFont="1" applyFill="1"/>
    <xf numFmtId="0" fontId="7" fillId="0" borderId="0" xfId="1216"/>
    <xf numFmtId="0" fontId="9" fillId="0" borderId="0" xfId="1216" applyFont="1" applyAlignment="1">
      <alignment horizontal="center"/>
    </xf>
    <xf numFmtId="3" fontId="9" fillId="0" borderId="48" xfId="1216" applyNumberFormat="1" applyFont="1" applyBorder="1" applyAlignment="1">
      <alignment horizontal="center"/>
    </xf>
    <xf numFmtId="3" fontId="7" fillId="0" borderId="48" xfId="1216" applyNumberFormat="1" applyFont="1" applyBorder="1" applyAlignment="1"/>
    <xf numFmtId="3" fontId="7" fillId="0" borderId="48" xfId="1216" applyNumberFormat="1" applyBorder="1" applyAlignment="1"/>
    <xf numFmtId="3" fontId="7" fillId="0" borderId="0" xfId="1216" applyNumberFormat="1" applyAlignment="1">
      <alignment horizontal="center"/>
    </xf>
    <xf numFmtId="169" fontId="7" fillId="0" borderId="0" xfId="1216" applyNumberFormat="1" applyAlignment="1">
      <alignment horizontal="center"/>
    </xf>
    <xf numFmtId="170" fontId="7" fillId="0" borderId="0" xfId="1216" applyNumberFormat="1" applyFill="1" applyAlignment="1">
      <alignment horizontal="center"/>
    </xf>
    <xf numFmtId="3" fontId="7" fillId="0" borderId="0" xfId="1216" applyNumberFormat="1" applyFont="1" applyFill="1" applyAlignment="1">
      <alignment horizontal="center"/>
    </xf>
    <xf numFmtId="3" fontId="7" fillId="0" borderId="0" xfId="1216" applyNumberFormat="1" applyFont="1" applyAlignment="1">
      <alignment horizontal="center"/>
    </xf>
    <xf numFmtId="171" fontId="7" fillId="0" borderId="0" xfId="1216" applyNumberFormat="1" applyAlignment="1">
      <alignment horizontal="center"/>
    </xf>
    <xf numFmtId="186" fontId="7" fillId="0" borderId="0" xfId="1216" applyNumberFormat="1" applyAlignment="1">
      <alignment horizontal="center"/>
    </xf>
    <xf numFmtId="0" fontId="7" fillId="0" borderId="0" xfId="1216" applyAlignment="1">
      <alignment horizontal="center"/>
    </xf>
    <xf numFmtId="3" fontId="7" fillId="2" borderId="0" xfId="1216" applyNumberFormat="1" applyFill="1" applyAlignment="1">
      <alignment horizontal="center"/>
    </xf>
    <xf numFmtId="179" fontId="7" fillId="0" borderId="0" xfId="1216" applyNumberFormat="1" applyAlignment="1">
      <alignment horizontal="center"/>
    </xf>
    <xf numFmtId="3" fontId="7" fillId="0" borderId="0" xfId="1216" applyNumberFormat="1" applyFill="1" applyAlignment="1">
      <alignment horizontal="center"/>
    </xf>
    <xf numFmtId="0" fontId="10" fillId="0" borderId="0" xfId="1216" applyFont="1" applyAlignment="1">
      <alignment horizontal="center"/>
    </xf>
    <xf numFmtId="168" fontId="7" fillId="0" borderId="0" xfId="1216" applyNumberFormat="1" applyAlignment="1">
      <alignment horizontal="center"/>
    </xf>
    <xf numFmtId="3" fontId="7" fillId="0" borderId="0" xfId="1216" applyNumberFormat="1" applyFont="1" applyAlignment="1">
      <alignment horizontal="left"/>
    </xf>
    <xf numFmtId="17" fontId="10" fillId="0" borderId="0" xfId="1216" applyNumberFormat="1" applyFont="1" applyAlignment="1">
      <alignment wrapText="1"/>
    </xf>
    <xf numFmtId="3" fontId="7" fillId="0" borderId="0" xfId="5" applyNumberFormat="1" applyAlignment="1">
      <alignment horizontal="center"/>
    </xf>
    <xf numFmtId="0" fontId="10" fillId="0" borderId="0" xfId="1216" applyFont="1"/>
    <xf numFmtId="0" fontId="7" fillId="0" borderId="0" xfId="1216" applyNumberFormat="1" applyBorder="1"/>
    <xf numFmtId="10" fontId="0" fillId="0" borderId="0" xfId="1263" applyNumberFormat="1" applyFont="1" applyAlignment="1">
      <alignment horizontal="center"/>
    </xf>
    <xf numFmtId="17" fontId="7" fillId="0" borderId="0" xfId="1216" applyNumberFormat="1"/>
    <xf numFmtId="0" fontId="10" fillId="0" borderId="0" xfId="1216" applyFont="1" applyAlignment="1">
      <alignment wrapText="1"/>
    </xf>
    <xf numFmtId="169" fontId="10" fillId="0" borderId="0" xfId="1216" applyNumberFormat="1" applyFont="1" applyFill="1" applyAlignment="1">
      <alignment horizontal="center"/>
    </xf>
    <xf numFmtId="169" fontId="7" fillId="0" borderId="0" xfId="1216" applyNumberFormat="1" applyFill="1" applyAlignment="1">
      <alignment horizontal="center"/>
    </xf>
    <xf numFmtId="0" fontId="7" fillId="0" borderId="0" xfId="1216" applyBorder="1" applyAlignment="1">
      <alignment horizontal="center"/>
    </xf>
    <xf numFmtId="3" fontId="7" fillId="0" borderId="0" xfId="1216" applyNumberFormat="1" applyBorder="1" applyAlignment="1">
      <alignment horizontal="center"/>
    </xf>
    <xf numFmtId="3" fontId="7" fillId="0" borderId="4" xfId="1216" applyNumberFormat="1" applyBorder="1" applyAlignment="1">
      <alignment horizontal="center"/>
    </xf>
    <xf numFmtId="0" fontId="7" fillId="0" borderId="0" xfId="1216" applyFont="1" applyBorder="1" applyAlignment="1">
      <alignment horizontal="center"/>
    </xf>
    <xf numFmtId="169" fontId="7" fillId="0" borderId="8" xfId="1216" applyNumberFormat="1" applyFont="1" applyBorder="1" applyAlignment="1">
      <alignment horizontal="center"/>
    </xf>
    <xf numFmtId="169" fontId="7" fillId="0" borderId="9" xfId="1216" applyNumberFormat="1" applyBorder="1" applyAlignment="1">
      <alignment horizontal="center"/>
    </xf>
    <xf numFmtId="168" fontId="7" fillId="0" borderId="0" xfId="1216" applyNumberFormat="1" applyBorder="1" applyAlignment="1">
      <alignment horizontal="center"/>
    </xf>
    <xf numFmtId="3" fontId="7" fillId="0" borderId="0" xfId="1216" applyNumberFormat="1" applyFont="1" applyBorder="1" applyAlignment="1">
      <alignment horizontal="left"/>
    </xf>
    <xf numFmtId="3" fontId="7" fillId="0" borderId="0" xfId="1216" applyNumberFormat="1" applyFill="1" applyBorder="1" applyAlignment="1">
      <alignment horizontal="center"/>
    </xf>
    <xf numFmtId="176" fontId="7" fillId="0" borderId="1" xfId="12" applyNumberFormat="1" applyFont="1" applyFill="1" applyBorder="1" applyProtection="1">
      <protection locked="0"/>
    </xf>
    <xf numFmtId="167" fontId="7" fillId="0" borderId="1" xfId="2" applyNumberFormat="1" applyFont="1" applyFill="1" applyBorder="1" applyProtection="1">
      <protection locked="0"/>
    </xf>
    <xf numFmtId="167" fontId="7" fillId="40" borderId="1" xfId="2" applyNumberFormat="1" applyFont="1" applyFill="1" applyBorder="1" applyProtection="1">
      <protection locked="0"/>
    </xf>
    <xf numFmtId="167" fontId="7" fillId="3" borderId="0" xfId="12" applyNumberFormat="1" applyFont="1" applyFill="1"/>
    <xf numFmtId="0" fontId="7" fillId="0" borderId="7" xfId="12" applyFont="1" applyBorder="1" applyProtection="1">
      <protection locked="0"/>
    </xf>
    <xf numFmtId="0" fontId="7" fillId="0" borderId="45" xfId="12" applyFont="1" applyBorder="1"/>
    <xf numFmtId="10" fontId="10" fillId="0" borderId="45" xfId="12" applyNumberFormat="1" applyFont="1" applyBorder="1" applyAlignment="1" applyProtection="1">
      <alignment horizontal="center"/>
      <protection locked="0"/>
    </xf>
    <xf numFmtId="0" fontId="7" fillId="0" borderId="45" xfId="12" applyFont="1" applyBorder="1" applyProtection="1">
      <protection locked="0"/>
    </xf>
    <xf numFmtId="0" fontId="10" fillId="0" borderId="47" xfId="12" applyFont="1" applyBorder="1" applyProtection="1">
      <protection locked="0"/>
    </xf>
    <xf numFmtId="0" fontId="7" fillId="0" borderId="47" xfId="12" applyFont="1" applyBorder="1" applyProtection="1">
      <protection locked="0"/>
    </xf>
    <xf numFmtId="10" fontId="7" fillId="0" borderId="47" xfId="12" applyNumberFormat="1" applyFont="1" applyBorder="1" applyAlignment="1" applyProtection="1">
      <alignment horizontal="center"/>
      <protection locked="0"/>
    </xf>
    <xf numFmtId="167" fontId="7" fillId="0" borderId="47" xfId="12" applyNumberFormat="1" applyFont="1" applyBorder="1" applyAlignment="1">
      <alignment horizontal="center"/>
    </xf>
    <xf numFmtId="176" fontId="7" fillId="40" borderId="1" xfId="12" applyNumberFormat="1" applyFont="1" applyFill="1" applyBorder="1" applyProtection="1">
      <protection locked="0"/>
    </xf>
    <xf numFmtId="3" fontId="7" fillId="38" borderId="0" xfId="1216" applyNumberFormat="1" applyFill="1" applyAlignment="1">
      <alignment horizontal="center"/>
    </xf>
    <xf numFmtId="170" fontId="7" fillId="3" borderId="0" xfId="1216" applyNumberFormat="1" applyFill="1" applyAlignment="1">
      <alignment horizontal="center"/>
    </xf>
    <xf numFmtId="170" fontId="7" fillId="3" borderId="0" xfId="1216" applyNumberFormat="1" applyFill="1" applyAlignment="1">
      <alignment horizontal="left"/>
    </xf>
    <xf numFmtId="3" fontId="8" fillId="38" borderId="31" xfId="0" applyNumberFormat="1" applyFont="1" applyFill="1" applyBorder="1" applyAlignment="1">
      <alignment horizontal="center"/>
    </xf>
    <xf numFmtId="3" fontId="7" fillId="38" borderId="50" xfId="1216" applyNumberFormat="1" applyFill="1" applyBorder="1" applyAlignment="1">
      <alignment horizontal="center"/>
    </xf>
    <xf numFmtId="3" fontId="7" fillId="38" borderId="51" xfId="1216" applyNumberFormat="1" applyFill="1" applyBorder="1" applyAlignment="1">
      <alignment horizontal="center"/>
    </xf>
    <xf numFmtId="3" fontId="7" fillId="38" borderId="52" xfId="1216" applyNumberFormat="1" applyFill="1" applyBorder="1" applyAlignment="1">
      <alignment horizontal="center"/>
    </xf>
    <xf numFmtId="3" fontId="7" fillId="38" borderId="53" xfId="1216" applyNumberFormat="1" applyFill="1" applyBorder="1" applyAlignment="1">
      <alignment horizontal="center"/>
    </xf>
    <xf numFmtId="3" fontId="7" fillId="38" borderId="31" xfId="1216" applyNumberFormat="1" applyFill="1" applyBorder="1" applyAlignment="1">
      <alignment horizontal="center"/>
    </xf>
    <xf numFmtId="3" fontId="7" fillId="38" borderId="54" xfId="1216" applyNumberFormat="1" applyFill="1" applyBorder="1" applyAlignment="1">
      <alignment horizontal="center"/>
    </xf>
    <xf numFmtId="170" fontId="0" fillId="0" borderId="31" xfId="0" applyNumberFormat="1" applyBorder="1" applyAlignment="1">
      <alignment horizontal="center"/>
    </xf>
    <xf numFmtId="3" fontId="0" fillId="0" borderId="31" xfId="0" applyNumberFormat="1" applyBorder="1" applyAlignment="1">
      <alignment horizontal="center"/>
    </xf>
    <xf numFmtId="171" fontId="0" fillId="0" borderId="31" xfId="0" applyNumberFormat="1" applyBorder="1" applyAlignment="1">
      <alignment horizontal="center"/>
    </xf>
    <xf numFmtId="0" fontId="7" fillId="0" borderId="0" xfId="12" applyFont="1" applyBorder="1"/>
    <xf numFmtId="0" fontId="7" fillId="0" borderId="0" xfId="12" applyFont="1" applyBorder="1" applyProtection="1">
      <protection locked="0"/>
    </xf>
    <xf numFmtId="0" fontId="10" fillId="5" borderId="0" xfId="1216" applyFont="1" applyFill="1" applyAlignment="1">
      <alignment wrapText="1"/>
    </xf>
    <xf numFmtId="169" fontId="7" fillId="0" borderId="0" xfId="1216" applyNumberFormat="1" applyFont="1" applyAlignment="1">
      <alignment horizontal="center"/>
    </xf>
    <xf numFmtId="169" fontId="7" fillId="0" borderId="0" xfId="1216" applyNumberFormat="1" applyFont="1" applyFill="1" applyAlignment="1">
      <alignment horizontal="center"/>
    </xf>
    <xf numFmtId="3" fontId="0" fillId="0" borderId="0" xfId="0" applyNumberFormat="1" applyAlignment="1">
      <alignment horizontal="left"/>
    </xf>
    <xf numFmtId="0" fontId="10" fillId="0" borderId="0" xfId="1216" applyFont="1" applyAlignment="1">
      <alignment vertical="center"/>
    </xf>
    <xf numFmtId="176" fontId="7" fillId="3" borderId="0" xfId="1514" applyNumberFormat="1" applyFont="1" applyFill="1"/>
    <xf numFmtId="0" fontId="7" fillId="0" borderId="49" xfId="1500" applyBorder="1"/>
    <xf numFmtId="0" fontId="7" fillId="0" borderId="56" xfId="1500" applyBorder="1"/>
    <xf numFmtId="176" fontId="10" fillId="0" borderId="56" xfId="1513" applyNumberFormat="1" applyFont="1" applyBorder="1"/>
    <xf numFmtId="176" fontId="7" fillId="0" borderId="56" xfId="1513" applyNumberFormat="1" applyBorder="1"/>
    <xf numFmtId="0" fontId="7" fillId="0" borderId="57" xfId="1500" applyBorder="1"/>
    <xf numFmtId="0" fontId="7" fillId="0" borderId="4" xfId="1500" applyBorder="1"/>
    <xf numFmtId="176" fontId="7" fillId="0" borderId="0" xfId="1513" applyNumberFormat="1" applyBorder="1"/>
    <xf numFmtId="0" fontId="7" fillId="0" borderId="6" xfId="1500" applyBorder="1"/>
    <xf numFmtId="0" fontId="7" fillId="0" borderId="8" xfId="1500" applyBorder="1"/>
    <xf numFmtId="176" fontId="7" fillId="0" borderId="8" xfId="1513" applyNumberFormat="1" applyBorder="1"/>
    <xf numFmtId="176" fontId="7" fillId="0" borderId="0" xfId="1514" applyNumberFormat="1" applyFont="1" applyBorder="1"/>
    <xf numFmtId="0" fontId="7" fillId="38" borderId="0" xfId="1500" applyFill="1" applyBorder="1"/>
    <xf numFmtId="0" fontId="7" fillId="38" borderId="8" xfId="1500" applyFill="1" applyBorder="1"/>
    <xf numFmtId="0" fontId="7" fillId="38" borderId="9" xfId="1500" applyFill="1" applyBorder="1"/>
    <xf numFmtId="0" fontId="10" fillId="0" borderId="56" xfId="1500" applyFont="1" applyBorder="1" applyAlignment="1">
      <alignment wrapText="1"/>
    </xf>
    <xf numFmtId="176" fontId="7" fillId="3" borderId="8" xfId="1500" applyNumberFormat="1" applyFill="1" applyBorder="1"/>
    <xf numFmtId="10" fontId="0" fillId="0" borderId="45" xfId="1263" applyNumberFormat="1" applyFont="1" applyBorder="1" applyAlignment="1">
      <alignment horizontal="center"/>
    </xf>
    <xf numFmtId="10" fontId="0" fillId="0" borderId="47" xfId="1263" applyNumberFormat="1" applyFont="1" applyBorder="1" applyAlignment="1">
      <alignment horizontal="center"/>
    </xf>
    <xf numFmtId="0" fontId="10" fillId="0" borderId="0" xfId="1500" applyFont="1"/>
    <xf numFmtId="0" fontId="7" fillId="0" borderId="42" xfId="1500" applyBorder="1"/>
    <xf numFmtId="10" fontId="7" fillId="0" borderId="40" xfId="1500" applyNumberFormat="1" applyBorder="1"/>
    <xf numFmtId="10" fontId="7" fillId="0" borderId="43" xfId="1500" applyNumberFormat="1" applyBorder="1"/>
    <xf numFmtId="3" fontId="7" fillId="0" borderId="43" xfId="1500" applyNumberFormat="1" applyBorder="1"/>
    <xf numFmtId="0" fontId="7" fillId="0" borderId="16" xfId="1500" applyBorder="1"/>
    <xf numFmtId="3" fontId="7" fillId="0" borderId="17" xfId="1500" applyNumberFormat="1" applyBorder="1"/>
    <xf numFmtId="3" fontId="7" fillId="0" borderId="18" xfId="1500" applyNumberFormat="1" applyBorder="1"/>
    <xf numFmtId="0" fontId="7" fillId="0" borderId="44" xfId="1500" applyBorder="1"/>
    <xf numFmtId="0" fontId="7" fillId="0" borderId="46" xfId="1500" applyBorder="1"/>
    <xf numFmtId="0" fontId="7" fillId="0" borderId="58" xfId="1500" applyBorder="1"/>
    <xf numFmtId="0" fontId="7" fillId="0" borderId="12" xfId="1500" applyBorder="1"/>
    <xf numFmtId="0" fontId="7" fillId="0" borderId="59" xfId="1500" applyBorder="1"/>
    <xf numFmtId="0" fontId="7" fillId="0" borderId="2" xfId="1500" applyBorder="1"/>
    <xf numFmtId="3" fontId="10" fillId="3" borderId="2" xfId="1500" applyNumberFormat="1" applyFont="1" applyFill="1" applyBorder="1"/>
    <xf numFmtId="0" fontId="7" fillId="0" borderId="45" xfId="1500" applyFill="1" applyBorder="1"/>
    <xf numFmtId="0" fontId="7" fillId="0" borderId="47" xfId="1500" applyFill="1" applyBorder="1"/>
    <xf numFmtId="0" fontId="10" fillId="0" borderId="0" xfId="1216" applyFont="1" applyAlignment="1">
      <alignment vertical="center" wrapText="1"/>
    </xf>
    <xf numFmtId="169" fontId="7" fillId="38" borderId="8" xfId="1216" applyNumberFormat="1" applyFont="1" applyFill="1" applyBorder="1" applyAlignment="1">
      <alignment horizontal="center"/>
    </xf>
    <xf numFmtId="169" fontId="7" fillId="38" borderId="6" xfId="1216" applyNumberFormat="1" applyFont="1" applyFill="1" applyBorder="1" applyAlignment="1">
      <alignment horizontal="center"/>
    </xf>
    <xf numFmtId="10" fontId="0" fillId="0" borderId="4" xfId="1263" applyNumberFormat="1" applyFont="1" applyBorder="1" applyAlignment="1">
      <alignment horizontal="center"/>
    </xf>
    <xf numFmtId="169" fontId="7" fillId="0" borderId="4" xfId="1216" applyNumberFormat="1" applyBorder="1" applyAlignment="1">
      <alignment horizontal="center"/>
    </xf>
    <xf numFmtId="169" fontId="7" fillId="0" borderId="6" xfId="1216" applyNumberFormat="1" applyBorder="1" applyAlignment="1">
      <alignment horizontal="center"/>
    </xf>
    <xf numFmtId="169" fontId="7" fillId="0" borderId="8" xfId="1216" applyNumberFormat="1" applyBorder="1" applyAlignment="1">
      <alignment horizontal="center"/>
    </xf>
    <xf numFmtId="3" fontId="7" fillId="0" borderId="7" xfId="1216" applyNumberFormat="1" applyBorder="1" applyAlignment="1">
      <alignment horizontal="center"/>
    </xf>
    <xf numFmtId="3" fontId="7" fillId="0" borderId="45" xfId="1216" applyNumberFormat="1" applyBorder="1" applyAlignment="1">
      <alignment horizontal="center"/>
    </xf>
    <xf numFmtId="169" fontId="7" fillId="0" borderId="0" xfId="1216" applyNumberFormat="1" applyBorder="1" applyAlignment="1">
      <alignment horizontal="center"/>
    </xf>
    <xf numFmtId="10" fontId="10" fillId="0" borderId="7" xfId="1263" applyNumberFormat="1" applyFont="1" applyBorder="1" applyAlignment="1">
      <alignment horizontal="left"/>
    </xf>
    <xf numFmtId="169" fontId="7" fillId="0" borderId="7" xfId="1216" applyNumberFormat="1" applyBorder="1" applyAlignment="1">
      <alignment horizontal="center"/>
    </xf>
    <xf numFmtId="0" fontId="10" fillId="0" borderId="0" xfId="1216" applyFont="1" applyFill="1"/>
    <xf numFmtId="0" fontId="7" fillId="0" borderId="8" xfId="0" applyFont="1" applyBorder="1"/>
    <xf numFmtId="3" fontId="7" fillId="0" borderId="8" xfId="0" applyNumberFormat="1" applyFont="1" applyBorder="1" applyAlignment="1">
      <alignment horizontal="center" wrapText="1"/>
    </xf>
    <xf numFmtId="3" fontId="0" fillId="0" borderId="8" xfId="0" applyNumberFormat="1" applyBorder="1" applyAlignment="1">
      <alignment horizontal="center"/>
    </xf>
    <xf numFmtId="0" fontId="7" fillId="0" borderId="0" xfId="12" applyFont="1" applyBorder="1" applyAlignment="1" applyProtection="1">
      <alignment horizontal="center"/>
      <protection locked="0"/>
    </xf>
    <xf numFmtId="0" fontId="10" fillId="0" borderId="11" xfId="12" applyFont="1" applyBorder="1" applyAlignment="1" applyProtection="1">
      <alignment horizontal="center" wrapText="1"/>
      <protection locked="0"/>
    </xf>
    <xf numFmtId="176" fontId="7" fillId="0" borderId="11" xfId="13" applyNumberFormat="1" applyFont="1" applyFill="1" applyBorder="1" applyAlignment="1" applyProtection="1">
      <alignment horizontal="center"/>
      <protection locked="0"/>
    </xf>
    <xf numFmtId="176" fontId="7" fillId="40" borderId="11" xfId="13" applyNumberFormat="1" applyFont="1" applyFill="1" applyBorder="1" applyAlignment="1" applyProtection="1">
      <alignment horizontal="center"/>
      <protection locked="0"/>
    </xf>
    <xf numFmtId="0" fontId="43" fillId="0" borderId="0" xfId="12" applyFont="1" applyFill="1" applyBorder="1" applyAlignment="1" applyProtection="1">
      <alignment horizontal="center"/>
      <protection locked="0"/>
    </xf>
    <xf numFmtId="176" fontId="7" fillId="0" borderId="0" xfId="12" applyNumberFormat="1" applyFont="1" applyBorder="1"/>
    <xf numFmtId="17" fontId="7" fillId="38" borderId="1" xfId="12" applyNumberFormat="1" applyFont="1" applyFill="1" applyBorder="1" applyAlignment="1" applyProtection="1">
      <alignment horizontal="center"/>
      <protection locked="0"/>
    </xf>
    <xf numFmtId="173" fontId="7" fillId="0" borderId="0" xfId="4" applyNumberFormat="1"/>
    <xf numFmtId="37" fontId="7" fillId="0" borderId="0" xfId="12" applyNumberFormat="1" applyFont="1" applyProtection="1">
      <protection locked="0"/>
    </xf>
    <xf numFmtId="0" fontId="7" fillId="0" borderId="44" xfId="1500" applyBorder="1" applyAlignment="1">
      <alignment horizontal="center"/>
    </xf>
    <xf numFmtId="0" fontId="7" fillId="0" borderId="45" xfId="1500" applyBorder="1" applyAlignment="1">
      <alignment horizontal="center"/>
    </xf>
    <xf numFmtId="0" fontId="7" fillId="0" borderId="46" xfId="1500" applyBorder="1" applyAlignment="1">
      <alignment horizontal="center"/>
    </xf>
    <xf numFmtId="3" fontId="7" fillId="38" borderId="40" xfId="1500" applyNumberFormat="1" applyFill="1" applyBorder="1" applyAlignment="1">
      <alignment horizontal="center"/>
    </xf>
    <xf numFmtId="3" fontId="7" fillId="0" borderId="40" xfId="1500" applyNumberFormat="1" applyFill="1" applyBorder="1" applyAlignment="1">
      <alignment horizontal="center"/>
    </xf>
    <xf numFmtId="176" fontId="7" fillId="38" borderId="0" xfId="1514" applyNumberFormat="1" applyFont="1" applyFill="1"/>
    <xf numFmtId="176" fontId="7" fillId="38" borderId="5" xfId="1514" applyNumberFormat="1" applyFont="1" applyFill="1" applyBorder="1"/>
    <xf numFmtId="176" fontId="7" fillId="38" borderId="8" xfId="1514" applyNumberFormat="1" applyFont="1" applyFill="1" applyBorder="1"/>
    <xf numFmtId="176" fontId="7" fillId="38" borderId="9" xfId="1514" applyNumberFormat="1" applyFont="1" applyFill="1" applyBorder="1"/>
    <xf numFmtId="176" fontId="7" fillId="0" borderId="0" xfId="1514" applyNumberFormat="1" applyFont="1" applyFill="1"/>
    <xf numFmtId="176" fontId="7" fillId="0" borderId="8" xfId="1514" applyNumberFormat="1" applyFont="1" applyFill="1" applyBorder="1"/>
    <xf numFmtId="3" fontId="7" fillId="3" borderId="0" xfId="1500" applyNumberFormat="1" applyFill="1"/>
    <xf numFmtId="0" fontId="84" fillId="0" borderId="0" xfId="1500" applyFont="1"/>
    <xf numFmtId="17" fontId="7" fillId="40" borderId="0" xfId="1500" applyNumberFormat="1" applyFill="1"/>
    <xf numFmtId="176" fontId="7" fillId="40" borderId="0" xfId="1513" applyNumberFormat="1" applyFill="1"/>
    <xf numFmtId="176" fontId="7" fillId="40" borderId="0" xfId="1500" applyNumberFormat="1" applyFill="1"/>
    <xf numFmtId="185" fontId="7" fillId="40" borderId="0" xfId="1500" applyNumberFormat="1" applyFill="1"/>
    <xf numFmtId="0" fontId="7" fillId="40" borderId="0" xfId="1500" applyFill="1"/>
    <xf numFmtId="43" fontId="7" fillId="40" borderId="0" xfId="1500" applyNumberFormat="1" applyFill="1"/>
    <xf numFmtId="170" fontId="7" fillId="38" borderId="0" xfId="1500" applyNumberFormat="1" applyFill="1"/>
    <xf numFmtId="0" fontId="7" fillId="38" borderId="0" xfId="1500" applyFont="1" applyFill="1"/>
    <xf numFmtId="0" fontId="7" fillId="0" borderId="0" xfId="1077"/>
    <xf numFmtId="0" fontId="10" fillId="0" borderId="0" xfId="1077" applyFont="1" applyAlignment="1">
      <alignment horizontal="left"/>
    </xf>
    <xf numFmtId="0" fontId="13" fillId="0" borderId="0" xfId="1077" applyFont="1" applyAlignment="1">
      <alignment horizontal="right" vertical="top"/>
    </xf>
    <xf numFmtId="0" fontId="13" fillId="38" borderId="60" xfId="1077" applyFont="1" applyFill="1" applyBorder="1" applyAlignment="1">
      <alignment horizontal="right" vertical="top"/>
    </xf>
    <xf numFmtId="0" fontId="13" fillId="38" borderId="0" xfId="1077" applyFont="1" applyFill="1" applyAlignment="1">
      <alignment horizontal="right" vertical="top"/>
    </xf>
    <xf numFmtId="0" fontId="10" fillId="38" borderId="40" xfId="1077" applyFont="1" applyFill="1" applyBorder="1" applyAlignment="1">
      <alignment horizontal="center" vertical="center"/>
    </xf>
    <xf numFmtId="0" fontId="7" fillId="0" borderId="42" xfId="1077" applyFill="1" applyBorder="1"/>
    <xf numFmtId="0" fontId="10" fillId="0" borderId="42" xfId="1077" applyFont="1" applyBorder="1" applyAlignment="1">
      <alignment vertical="top"/>
    </xf>
    <xf numFmtId="0" fontId="7" fillId="0" borderId="40" xfId="1077" applyBorder="1" applyAlignment="1">
      <alignment vertical="top" wrapText="1"/>
    </xf>
    <xf numFmtId="176" fontId="7" fillId="38" borderId="40" xfId="1514" applyNumberFormat="1" applyFont="1" applyFill="1" applyBorder="1" applyAlignment="1">
      <alignment horizontal="right" vertical="center"/>
    </xf>
    <xf numFmtId="176" fontId="7" fillId="0" borderId="40" xfId="1514" applyNumberFormat="1" applyFont="1" applyFill="1" applyBorder="1" applyAlignment="1">
      <alignment horizontal="right" vertical="center"/>
    </xf>
    <xf numFmtId="0" fontId="7" fillId="3" borderId="0" xfId="1077" applyFill="1"/>
    <xf numFmtId="0" fontId="7" fillId="38" borderId="40" xfId="1077" applyFill="1" applyBorder="1" applyAlignment="1">
      <alignment horizontal="right" vertical="center"/>
    </xf>
    <xf numFmtId="0" fontId="7" fillId="0" borderId="43" xfId="1077" applyBorder="1" applyAlignment="1">
      <alignment horizontal="right" vertical="center"/>
    </xf>
    <xf numFmtId="176" fontId="7" fillId="0" borderId="43" xfId="1514" applyNumberFormat="1" applyFont="1" applyBorder="1" applyAlignment="1">
      <alignment horizontal="right" vertical="center"/>
    </xf>
    <xf numFmtId="0" fontId="7" fillId="38" borderId="40" xfId="1077" applyFont="1" applyFill="1" applyBorder="1" applyAlignment="1">
      <alignment horizontal="right" vertical="center"/>
    </xf>
    <xf numFmtId="170" fontId="7" fillId="0" borderId="40" xfId="1077" applyNumberFormat="1" applyFill="1" applyBorder="1" applyAlignment="1">
      <alignment horizontal="right" vertical="center"/>
    </xf>
    <xf numFmtId="170" fontId="7" fillId="0" borderId="43" xfId="1077" applyNumberFormat="1" applyFill="1" applyBorder="1" applyAlignment="1">
      <alignment horizontal="right" vertical="center"/>
    </xf>
    <xf numFmtId="0" fontId="7" fillId="0" borderId="42" xfId="1077" applyFill="1" applyBorder="1" applyAlignment="1">
      <alignment vertical="top"/>
    </xf>
    <xf numFmtId="0" fontId="7" fillId="0" borderId="16" xfId="1077" applyBorder="1" applyAlignment="1">
      <alignment vertical="top"/>
    </xf>
    <xf numFmtId="0" fontId="7" fillId="0" borderId="17" xfId="1077" applyBorder="1" applyAlignment="1">
      <alignment vertical="top" wrapText="1"/>
    </xf>
    <xf numFmtId="170" fontId="7" fillId="0" borderId="17" xfId="1077" applyNumberFormat="1" applyBorder="1" applyAlignment="1">
      <alignment horizontal="right" vertical="center"/>
    </xf>
    <xf numFmtId="170" fontId="7" fillId="0" borderId="18" xfId="1077" applyNumberFormat="1" applyBorder="1" applyAlignment="1">
      <alignment horizontal="right" vertical="center"/>
    </xf>
    <xf numFmtId="0" fontId="87" fillId="0" borderId="0" xfId="1077" applyFont="1"/>
    <xf numFmtId="0" fontId="10" fillId="0" borderId="0" xfId="1077" applyFont="1" applyAlignment="1">
      <alignment horizontal="center"/>
    </xf>
    <xf numFmtId="0" fontId="7" fillId="0" borderId="0" xfId="1077" applyFont="1" applyAlignment="1">
      <alignment horizontal="center"/>
    </xf>
    <xf numFmtId="0" fontId="7" fillId="0" borderId="0" xfId="1077" applyFont="1"/>
    <xf numFmtId="173" fontId="7" fillId="0" borderId="0" xfId="1" applyNumberFormat="1"/>
    <xf numFmtId="173" fontId="7" fillId="38" borderId="40" xfId="1" applyNumberFormat="1" applyFont="1" applyFill="1" applyBorder="1" applyAlignment="1">
      <alignment horizontal="right" vertical="center"/>
    </xf>
    <xf numFmtId="10" fontId="7" fillId="3" borderId="0" xfId="2" applyNumberFormat="1" applyFont="1" applyFill="1" applyBorder="1" applyAlignment="1" applyProtection="1">
      <protection locked="0"/>
    </xf>
    <xf numFmtId="10" fontId="7" fillId="3" borderId="0" xfId="1216" applyNumberFormat="1" applyFill="1" applyBorder="1" applyAlignment="1">
      <alignment horizontal="center"/>
    </xf>
    <xf numFmtId="10" fontId="7" fillId="0" borderId="0" xfId="1216" applyNumberFormat="1" applyFill="1" applyBorder="1" applyAlignment="1">
      <alignment horizontal="center"/>
    </xf>
    <xf numFmtId="10" fontId="7" fillId="0" borderId="5" xfId="1216" applyNumberFormat="1" applyFill="1" applyBorder="1" applyAlignment="1">
      <alignment horizontal="center"/>
    </xf>
    <xf numFmtId="0" fontId="10" fillId="0" borderId="0" xfId="1216" applyFont="1" applyFill="1" applyAlignment="1">
      <alignment wrapText="1"/>
    </xf>
    <xf numFmtId="0" fontId="7" fillId="0" borderId="0" xfId="1216" applyFill="1" applyAlignment="1">
      <alignment horizontal="center"/>
    </xf>
    <xf numFmtId="0" fontId="7" fillId="0" borderId="0" xfId="1216" applyFill="1"/>
    <xf numFmtId="3" fontId="8" fillId="38" borderId="1" xfId="0" applyNumberFormat="1" applyFont="1" applyFill="1" applyBorder="1" applyAlignment="1">
      <alignment horizontal="center"/>
    </xf>
    <xf numFmtId="3" fontId="0" fillId="38" borderId="1" xfId="0" applyNumberFormat="1" applyFill="1" applyBorder="1" applyAlignment="1">
      <alignment horizontal="center"/>
    </xf>
    <xf numFmtId="3" fontId="8" fillId="0" borderId="1" xfId="0" applyNumberFormat="1" applyFont="1" applyFill="1" applyBorder="1" applyAlignment="1">
      <alignment horizontal="center"/>
    </xf>
    <xf numFmtId="3" fontId="12" fillId="0" borderId="0" xfId="1216" applyNumberFormat="1" applyFont="1" applyFill="1" applyAlignment="1">
      <alignment horizontal="center"/>
    </xf>
    <xf numFmtId="3" fontId="7" fillId="0" borderId="0" xfId="0" applyNumberFormat="1" applyFont="1" applyAlignment="1">
      <alignment horizontal="center"/>
    </xf>
    <xf numFmtId="176" fontId="7" fillId="38" borderId="40" xfId="13" applyNumberFormat="1" applyFont="1" applyFill="1" applyBorder="1" applyAlignment="1" applyProtection="1">
      <alignment horizontal="center"/>
      <protection locked="0"/>
    </xf>
    <xf numFmtId="3" fontId="0" fillId="3" borderId="0" xfId="0" applyNumberFormat="1" applyFill="1" applyAlignment="1">
      <alignment horizontal="center"/>
    </xf>
    <xf numFmtId="168" fontId="7" fillId="40" borderId="40" xfId="13" applyNumberFormat="1" applyFont="1" applyFill="1" applyBorder="1" applyAlignment="1" applyProtection="1">
      <protection locked="0"/>
    </xf>
    <xf numFmtId="1" fontId="7" fillId="0" borderId="40" xfId="12" applyNumberFormat="1" applyFont="1" applyBorder="1" applyAlignment="1"/>
    <xf numFmtId="173" fontId="7" fillId="0" borderId="40" xfId="1" applyNumberFormat="1" applyFont="1" applyBorder="1" applyAlignment="1"/>
    <xf numFmtId="0" fontId="7" fillId="3" borderId="0" xfId="12" applyFont="1" applyFill="1" applyAlignment="1"/>
    <xf numFmtId="176" fontId="7" fillId="3" borderId="0" xfId="12" applyNumberFormat="1" applyFont="1" applyFill="1" applyAlignment="1">
      <alignment horizontal="center"/>
    </xf>
    <xf numFmtId="168" fontId="7" fillId="38" borderId="40" xfId="12" applyNumberFormat="1" applyFont="1" applyFill="1" applyBorder="1" applyAlignment="1"/>
    <xf numFmtId="0" fontId="7" fillId="0" borderId="40" xfId="12" applyFont="1" applyBorder="1" applyAlignment="1">
      <alignment horizontal="center"/>
    </xf>
    <xf numFmtId="0" fontId="7" fillId="2" borderId="40" xfId="1216" applyNumberFormat="1" applyFill="1" applyBorder="1" applyAlignment="1">
      <alignment horizontal="center"/>
    </xf>
    <xf numFmtId="3" fontId="7" fillId="2" borderId="40" xfId="1216" applyNumberFormat="1" applyFill="1" applyBorder="1" applyAlignment="1">
      <alignment horizontal="center"/>
    </xf>
    <xf numFmtId="167" fontId="7" fillId="2" borderId="40" xfId="2" applyNumberFormat="1" applyFill="1" applyBorder="1" applyAlignment="1">
      <alignment horizontal="center"/>
    </xf>
    <xf numFmtId="0" fontId="10" fillId="0" borderId="1" xfId="15" applyFont="1" applyFill="1" applyBorder="1" applyAlignment="1">
      <alignment horizontal="center"/>
    </xf>
    <xf numFmtId="0" fontId="10" fillId="0" borderId="1" xfId="15" applyFont="1" applyFill="1" applyBorder="1" applyAlignment="1">
      <alignment horizontal="left"/>
    </xf>
    <xf numFmtId="0" fontId="10" fillId="0" borderId="1" xfId="16" applyFont="1" applyFill="1" applyBorder="1" applyAlignment="1">
      <alignment horizontal="center"/>
    </xf>
    <xf numFmtId="9" fontId="7" fillId="0" borderId="40" xfId="14" applyFont="1" applyFill="1" applyBorder="1" applyProtection="1">
      <protection locked="0"/>
    </xf>
    <xf numFmtId="0" fontId="7" fillId="0" borderId="40" xfId="12" applyFont="1" applyFill="1" applyBorder="1" applyProtection="1">
      <protection locked="0"/>
    </xf>
    <xf numFmtId="170" fontId="7" fillId="38" borderId="40" xfId="12" applyNumberFormat="1" applyFont="1" applyFill="1" applyBorder="1" applyProtection="1">
      <protection locked="0"/>
    </xf>
    <xf numFmtId="176" fontId="7" fillId="38" borderId="40" xfId="12" applyNumberFormat="1" applyFont="1" applyFill="1" applyBorder="1" applyProtection="1">
      <protection locked="0"/>
    </xf>
    <xf numFmtId="3" fontId="7" fillId="0" borderId="0" xfId="12" applyNumberFormat="1" applyFont="1"/>
    <xf numFmtId="0" fontId="7" fillId="3" borderId="0" xfId="12" applyFont="1" applyFill="1" applyAlignment="1">
      <alignment horizontal="left"/>
    </xf>
    <xf numFmtId="2" fontId="10" fillId="38" borderId="40" xfId="13" applyNumberFormat="1" applyFont="1" applyFill="1" applyBorder="1" applyAlignment="1" applyProtection="1">
      <alignment horizontal="center" wrapText="1"/>
      <protection locked="0"/>
    </xf>
    <xf numFmtId="1" fontId="7" fillId="0" borderId="56" xfId="13" applyNumberFormat="1" applyFont="1" applyFill="1" applyBorder="1" applyAlignment="1" applyProtection="1">
      <alignment horizontal="center"/>
      <protection locked="0"/>
    </xf>
    <xf numFmtId="1" fontId="7" fillId="0" borderId="56" xfId="12" applyNumberFormat="1" applyFont="1" applyFill="1" applyBorder="1" applyProtection="1">
      <protection locked="0"/>
    </xf>
    <xf numFmtId="37" fontId="7" fillId="38" borderId="40" xfId="1509" applyNumberFormat="1" applyFont="1" applyFill="1" applyBorder="1" applyAlignment="1">
      <alignment horizontal="center"/>
    </xf>
    <xf numFmtId="37" fontId="7" fillId="40" borderId="40" xfId="1509" applyNumberFormat="1" applyFont="1" applyFill="1" applyBorder="1" applyAlignment="1">
      <alignment horizontal="center"/>
    </xf>
    <xf numFmtId="176" fontId="7" fillId="0" borderId="0" xfId="1513" applyNumberFormat="1" applyFont="1" applyAlignment="1"/>
    <xf numFmtId="0" fontId="42" fillId="0" borderId="0" xfId="12" applyFont="1" applyBorder="1" applyAlignment="1" applyProtection="1">
      <alignment horizontal="center"/>
      <protection locked="0"/>
    </xf>
    <xf numFmtId="176" fontId="7" fillId="3" borderId="0" xfId="1500" applyNumberFormat="1" applyFill="1" applyBorder="1"/>
    <xf numFmtId="0" fontId="0" fillId="3" borderId="2" xfId="0" applyFill="1" applyBorder="1" applyAlignment="1"/>
    <xf numFmtId="0" fontId="0" fillId="0" borderId="0" xfId="0" applyBorder="1"/>
    <xf numFmtId="0" fontId="10" fillId="0" borderId="0" xfId="12" applyFont="1" applyBorder="1"/>
    <xf numFmtId="0" fontId="7" fillId="0" borderId="0" xfId="12" applyFont="1" applyBorder="1" applyAlignment="1">
      <alignment horizontal="right"/>
    </xf>
    <xf numFmtId="176" fontId="7" fillId="0" borderId="0" xfId="12" applyNumberFormat="1" applyFont="1" applyBorder="1" applyAlignment="1">
      <alignment horizontal="center"/>
    </xf>
    <xf numFmtId="176" fontId="7" fillId="0" borderId="9" xfId="1514" applyNumberFormat="1" applyFont="1" applyFill="1" applyBorder="1"/>
    <xf numFmtId="176" fontId="7" fillId="0" borderId="6" xfId="1514" applyNumberFormat="1" applyFont="1" applyFill="1" applyBorder="1"/>
    <xf numFmtId="173" fontId="0" fillId="0" borderId="0" xfId="1" applyNumberFormat="1" applyFont="1"/>
    <xf numFmtId="170" fontId="0" fillId="0" borderId="31" xfId="0" applyNumberFormat="1" applyFill="1" applyBorder="1" applyAlignment="1">
      <alignment horizontal="center"/>
    </xf>
    <xf numFmtId="0" fontId="0" fillId="0" borderId="56" xfId="0" applyBorder="1"/>
    <xf numFmtId="173" fontId="7" fillId="0" borderId="0" xfId="1500" applyNumberFormat="1"/>
    <xf numFmtId="176" fontId="7" fillId="65" borderId="0" xfId="1514" applyNumberFormat="1" applyFont="1" applyFill="1"/>
    <xf numFmtId="171" fontId="0" fillId="0" borderId="31" xfId="0" applyNumberFormat="1" applyBorder="1" applyAlignment="1">
      <alignment horizontal="left"/>
    </xf>
    <xf numFmtId="3" fontId="0" fillId="38" borderId="0" xfId="0" applyNumberFormat="1" applyFill="1" applyAlignment="1">
      <alignment horizontal="center"/>
    </xf>
    <xf numFmtId="0" fontId="10" fillId="0" borderId="0" xfId="4" applyFont="1" applyAlignment="1">
      <alignment horizontal="center"/>
    </xf>
    <xf numFmtId="0" fontId="7" fillId="0" borderId="0" xfId="1500" applyBorder="1" applyAlignment="1">
      <alignment horizontal="center"/>
    </xf>
    <xf numFmtId="168" fontId="7" fillId="38" borderId="40" xfId="13" applyNumberFormat="1" applyFont="1" applyFill="1" applyBorder="1" applyAlignment="1" applyProtection="1">
      <protection locked="0"/>
    </xf>
    <xf numFmtId="173" fontId="7" fillId="3" borderId="0" xfId="1500" applyNumberFormat="1" applyFill="1"/>
    <xf numFmtId="176" fontId="11" fillId="0" borderId="0" xfId="1513" applyNumberFormat="1" applyFont="1"/>
    <xf numFmtId="0" fontId="7" fillId="0" borderId="49" xfId="1500" applyBorder="1" applyAlignment="1">
      <alignment horizontal="center"/>
    </xf>
    <xf numFmtId="0" fontId="7" fillId="0" borderId="57" xfId="1500" applyBorder="1" applyAlignment="1">
      <alignment horizontal="center"/>
    </xf>
    <xf numFmtId="0" fontId="7" fillId="0" borderId="4" xfId="1500" applyBorder="1" applyAlignment="1">
      <alignment horizontal="center"/>
    </xf>
    <xf numFmtId="0" fontId="7" fillId="0" borderId="5" xfId="1500" applyBorder="1" applyAlignment="1">
      <alignment horizontal="center"/>
    </xf>
    <xf numFmtId="0" fontId="7" fillId="0" borderId="7" xfId="1500" applyBorder="1" applyAlignment="1">
      <alignment horizontal="center"/>
    </xf>
    <xf numFmtId="0" fontId="7" fillId="0" borderId="47" xfId="1500" applyBorder="1" applyAlignment="1">
      <alignment horizontal="center"/>
    </xf>
    <xf numFmtId="176" fontId="7" fillId="0" borderId="56" xfId="1500" applyNumberFormat="1" applyBorder="1"/>
    <xf numFmtId="176" fontId="10" fillId="0" borderId="0" xfId="1513" applyNumberFormat="1" applyFont="1" applyAlignment="1"/>
    <xf numFmtId="0" fontId="7" fillId="0" borderId="40" xfId="12" applyFont="1" applyFill="1" applyBorder="1" applyAlignment="1">
      <alignment horizontal="center"/>
    </xf>
    <xf numFmtId="176" fontId="7" fillId="0" borderId="40" xfId="12" applyNumberFormat="1" applyFont="1" applyFill="1" applyBorder="1" applyAlignment="1">
      <alignment horizontal="center"/>
    </xf>
    <xf numFmtId="176" fontId="7" fillId="0" borderId="0" xfId="1500" applyNumberFormat="1" applyBorder="1"/>
    <xf numFmtId="0" fontId="3" fillId="0" borderId="0" xfId="1512" applyFont="1" applyBorder="1" applyAlignment="1">
      <alignment horizontal="center" wrapText="1"/>
    </xf>
    <xf numFmtId="3" fontId="7" fillId="0" borderId="0" xfId="1500" applyNumberFormat="1" applyFill="1" applyBorder="1" applyAlignment="1">
      <alignment wrapText="1"/>
    </xf>
    <xf numFmtId="176" fontId="7" fillId="0" borderId="0" xfId="1513" applyNumberFormat="1" applyFill="1" applyBorder="1"/>
    <xf numFmtId="3" fontId="7" fillId="3" borderId="31" xfId="1216" applyNumberFormat="1" applyFill="1" applyBorder="1" applyAlignment="1">
      <alignment horizontal="center"/>
    </xf>
    <xf numFmtId="187" fontId="7" fillId="0" borderId="0" xfId="1216" applyNumberFormat="1" applyAlignment="1">
      <alignment horizontal="center"/>
    </xf>
    <xf numFmtId="171" fontId="7" fillId="38" borderId="31" xfId="1216" applyNumberFormat="1" applyFill="1" applyBorder="1" applyAlignment="1">
      <alignment horizontal="center"/>
    </xf>
    <xf numFmtId="171" fontId="0" fillId="38" borderId="31" xfId="0" applyNumberFormat="1" applyFill="1" applyBorder="1" applyAlignment="1">
      <alignment horizontal="center"/>
    </xf>
    <xf numFmtId="171" fontId="7" fillId="38" borderId="0" xfId="1216" applyNumberFormat="1" applyFill="1" applyAlignment="1">
      <alignment horizontal="center"/>
    </xf>
    <xf numFmtId="170" fontId="7" fillId="3" borderId="31" xfId="1216" applyNumberFormat="1" applyFill="1" applyBorder="1" applyAlignment="1">
      <alignment horizontal="center"/>
    </xf>
    <xf numFmtId="3" fontId="7" fillId="3" borderId="54" xfId="1216" applyNumberFormat="1" applyFill="1" applyBorder="1" applyAlignment="1">
      <alignment horizontal="center"/>
    </xf>
    <xf numFmtId="0" fontId="0" fillId="0" borderId="54" xfId="0" applyBorder="1"/>
    <xf numFmtId="171" fontId="0" fillId="0" borderId="0" xfId="0" applyNumberFormat="1" applyBorder="1" applyAlignment="1">
      <alignment horizontal="center"/>
    </xf>
    <xf numFmtId="176" fontId="7" fillId="0" borderId="0" xfId="1513" applyNumberFormat="1" applyFill="1"/>
    <xf numFmtId="176" fontId="7" fillId="38" borderId="0" xfId="1513" applyNumberFormat="1" applyFill="1" applyBorder="1"/>
    <xf numFmtId="177" fontId="7" fillId="38" borderId="8" xfId="1513" applyNumberFormat="1" applyFill="1" applyBorder="1"/>
    <xf numFmtId="173" fontId="7" fillId="38" borderId="56" xfId="1500" applyNumberFormat="1" applyFill="1" applyBorder="1"/>
    <xf numFmtId="173" fontId="7" fillId="38" borderId="8" xfId="1500" applyNumberFormat="1" applyFill="1" applyBorder="1"/>
    <xf numFmtId="3" fontId="12" fillId="0" borderId="0" xfId="1216" applyNumberFormat="1" applyFont="1" applyFill="1" applyBorder="1" applyAlignment="1">
      <alignment horizontal="center"/>
    </xf>
    <xf numFmtId="167" fontId="12" fillId="0" borderId="0" xfId="2" applyNumberFormat="1" applyFont="1" applyFill="1" applyBorder="1" applyAlignment="1">
      <alignment horizontal="center"/>
    </xf>
    <xf numFmtId="173" fontId="12" fillId="0" borderId="0" xfId="1" applyNumberFormat="1" applyFont="1" applyProtection="1">
      <protection locked="0"/>
    </xf>
    <xf numFmtId="0" fontId="0" fillId="0" borderId="5" xfId="0" applyBorder="1"/>
    <xf numFmtId="170" fontId="0" fillId="0" borderId="51" xfId="0" applyNumberFormat="1" applyBorder="1" applyAlignment="1">
      <alignment horizontal="center"/>
    </xf>
    <xf numFmtId="0" fontId="10" fillId="0" borderId="0" xfId="0" applyFont="1" applyBorder="1" applyAlignment="1">
      <alignment horizontal="center" wrapText="1"/>
    </xf>
    <xf numFmtId="0" fontId="10" fillId="0" borderId="40" xfId="15" applyFont="1" applyFill="1" applyBorder="1" applyAlignment="1">
      <alignment horizontal="center"/>
    </xf>
    <xf numFmtId="2" fontId="13" fillId="0" borderId="0" xfId="4" applyNumberFormat="1" applyFont="1" applyFill="1" applyBorder="1"/>
    <xf numFmtId="4" fontId="13" fillId="0" borderId="5" xfId="4" applyNumberFormat="1" applyFont="1" applyFill="1" applyBorder="1"/>
    <xf numFmtId="1" fontId="7" fillId="0" borderId="40" xfId="12" applyNumberFormat="1" applyFont="1" applyBorder="1" applyAlignment="1">
      <alignment horizontal="center"/>
    </xf>
    <xf numFmtId="168" fontId="7" fillId="0" borderId="0" xfId="12" applyNumberFormat="1" applyFont="1" applyAlignment="1"/>
    <xf numFmtId="171" fontId="7" fillId="0" borderId="0" xfId="1216" applyNumberFormat="1" applyFill="1" applyAlignment="1">
      <alignment horizontal="center"/>
    </xf>
    <xf numFmtId="176" fontId="7" fillId="38" borderId="40" xfId="1513" applyNumberFormat="1" applyFill="1" applyBorder="1"/>
    <xf numFmtId="49" fontId="7" fillId="0" borderId="89" xfId="12" applyNumberFormat="1" applyFont="1" applyBorder="1" applyAlignment="1" applyProtection="1">
      <alignment horizontal="center"/>
      <protection locked="0"/>
    </xf>
    <xf numFmtId="176" fontId="7" fillId="0" borderId="89" xfId="13" applyNumberFormat="1" applyFont="1" applyBorder="1" applyAlignment="1" applyProtection="1">
      <alignment horizontal="center"/>
      <protection locked="0"/>
    </xf>
    <xf numFmtId="173" fontId="7" fillId="0" borderId="89" xfId="1500" applyNumberFormat="1" applyBorder="1"/>
    <xf numFmtId="10" fontId="7" fillId="0" borderId="89" xfId="14" applyNumberFormat="1" applyFont="1" applyBorder="1" applyAlignment="1" applyProtection="1">
      <alignment horizontal="right"/>
      <protection locked="0"/>
    </xf>
    <xf numFmtId="173" fontId="7" fillId="0" borderId="0" xfId="1500" applyNumberFormat="1" applyBorder="1"/>
    <xf numFmtId="10" fontId="7" fillId="0" borderId="0" xfId="14" applyNumberFormat="1" applyFont="1" applyBorder="1" applyAlignment="1" applyProtection="1">
      <alignment horizontal="right"/>
      <protection locked="0"/>
    </xf>
    <xf numFmtId="10" fontId="7" fillId="0" borderId="5" xfId="14" applyNumberFormat="1" applyFont="1" applyBorder="1" applyAlignment="1" applyProtection="1">
      <alignment horizontal="right"/>
      <protection locked="0"/>
    </xf>
    <xf numFmtId="166" fontId="7" fillId="0" borderId="0" xfId="12" applyNumberFormat="1" applyFont="1"/>
    <xf numFmtId="10" fontId="7" fillId="0" borderId="0" xfId="2" applyNumberFormat="1" applyFont="1"/>
    <xf numFmtId="3" fontId="7" fillId="38" borderId="65" xfId="1216" applyNumberFormat="1" applyFill="1" applyBorder="1" applyAlignment="1">
      <alignment horizontal="center"/>
    </xf>
    <xf numFmtId="3" fontId="7" fillId="38" borderId="99" xfId="1216" applyNumberFormat="1" applyFill="1" applyBorder="1" applyAlignment="1">
      <alignment horizontal="center"/>
    </xf>
    <xf numFmtId="3" fontId="7" fillId="38" borderId="100" xfId="1216" applyNumberFormat="1" applyFill="1" applyBorder="1" applyAlignment="1">
      <alignment horizontal="center"/>
    </xf>
    <xf numFmtId="3" fontId="7" fillId="38" borderId="67" xfId="1216" applyNumberFormat="1" applyFill="1" applyBorder="1" applyAlignment="1">
      <alignment horizontal="center"/>
    </xf>
    <xf numFmtId="170" fontId="7" fillId="0" borderId="8" xfId="1216" applyNumberFormat="1" applyFill="1" applyBorder="1" applyAlignment="1">
      <alignment horizontal="center"/>
    </xf>
    <xf numFmtId="3" fontId="7" fillId="0" borderId="8" xfId="1216" applyNumberFormat="1" applyFont="1" applyFill="1" applyBorder="1" applyAlignment="1">
      <alignment horizontal="center"/>
    </xf>
    <xf numFmtId="3" fontId="7" fillId="38" borderId="66" xfId="1216" applyNumberFormat="1" applyFill="1" applyBorder="1" applyAlignment="1">
      <alignment horizontal="center"/>
    </xf>
    <xf numFmtId="3" fontId="7" fillId="38" borderId="101" xfId="1216" applyNumberFormat="1" applyFill="1" applyBorder="1" applyAlignment="1">
      <alignment horizontal="center"/>
    </xf>
    <xf numFmtId="171" fontId="7" fillId="0" borderId="8" xfId="1216" applyNumberFormat="1" applyBorder="1" applyAlignment="1">
      <alignment horizontal="center"/>
    </xf>
    <xf numFmtId="172" fontId="0" fillId="0" borderId="0" xfId="2" applyNumberFormat="1" applyFont="1" applyAlignment="1">
      <alignment horizontal="center"/>
    </xf>
    <xf numFmtId="9" fontId="7" fillId="0" borderId="0" xfId="2" applyAlignment="1">
      <alignment horizontal="center"/>
    </xf>
    <xf numFmtId="9" fontId="0" fillId="0" borderId="0" xfId="2" applyFont="1"/>
    <xf numFmtId="3" fontId="7" fillId="0" borderId="0" xfId="0" applyNumberFormat="1" applyFont="1" applyAlignment="1">
      <alignment horizontal="left"/>
    </xf>
    <xf numFmtId="173" fontId="7" fillId="38" borderId="40" xfId="1514" applyNumberFormat="1" applyFont="1" applyFill="1" applyBorder="1" applyAlignment="1">
      <alignment horizontal="right" vertical="center"/>
    </xf>
    <xf numFmtId="173" fontId="7" fillId="0" borderId="43" xfId="1" applyNumberFormat="1" applyBorder="1" applyAlignment="1">
      <alignment horizontal="right" vertical="center"/>
    </xf>
    <xf numFmtId="3" fontId="8" fillId="3" borderId="1" xfId="0" applyNumberFormat="1" applyFont="1" applyFill="1" applyBorder="1" applyAlignment="1">
      <alignment horizontal="center"/>
    </xf>
    <xf numFmtId="0" fontId="0" fillId="0" borderId="90" xfId="0" applyBorder="1"/>
    <xf numFmtId="0" fontId="10" fillId="0" borderId="0" xfId="0" applyFont="1" applyFill="1" applyBorder="1" applyAlignment="1">
      <alignment horizontal="center" wrapText="1"/>
    </xf>
    <xf numFmtId="0" fontId="10" fillId="0" borderId="5" xfId="0" applyFont="1" applyFill="1" applyBorder="1" applyAlignment="1">
      <alignment horizontal="center" wrapText="1"/>
    </xf>
    <xf numFmtId="3" fontId="0" fillId="0" borderId="0" xfId="0" applyNumberFormat="1" applyBorder="1" applyAlignment="1">
      <alignment horizontal="center" wrapText="1"/>
    </xf>
    <xf numFmtId="3" fontId="0" fillId="0" borderId="0" xfId="0" applyNumberFormat="1" applyFill="1" applyBorder="1" applyAlignment="1">
      <alignment horizontal="center" wrapText="1"/>
    </xf>
    <xf numFmtId="3" fontId="0" fillId="0" borderId="0" xfId="0" applyNumberFormat="1" applyFill="1" applyBorder="1" applyAlignment="1">
      <alignment horizontal="center"/>
    </xf>
    <xf numFmtId="3" fontId="0" fillId="0" borderId="0" xfId="0" applyNumberFormat="1" applyBorder="1" applyAlignment="1">
      <alignment horizontal="center"/>
    </xf>
    <xf numFmtId="3" fontId="0" fillId="0" borderId="5" xfId="0" applyNumberFormat="1" applyFill="1" applyBorder="1" applyAlignment="1">
      <alignment horizontal="center"/>
    </xf>
    <xf numFmtId="167" fontId="0" fillId="0" borderId="0" xfId="0" applyNumberFormat="1" applyBorder="1" applyAlignment="1">
      <alignment horizontal="center" wrapText="1"/>
    </xf>
    <xf numFmtId="167" fontId="0" fillId="0" borderId="0" xfId="0" applyNumberFormat="1" applyFill="1" applyBorder="1" applyAlignment="1">
      <alignment horizontal="center" wrapText="1"/>
    </xf>
    <xf numFmtId="0" fontId="0" fillId="0" borderId="5" xfId="0" applyFill="1" applyBorder="1" applyAlignment="1">
      <alignment horizontal="center"/>
    </xf>
    <xf numFmtId="169" fontId="0" fillId="0" borderId="0" xfId="0" applyNumberFormat="1" applyFill="1" applyBorder="1" applyAlignment="1">
      <alignment horizontal="center"/>
    </xf>
    <xf numFmtId="169" fontId="0" fillId="0" borderId="5" xfId="0" applyNumberFormat="1" applyFill="1" applyBorder="1" applyAlignment="1">
      <alignment horizontal="center"/>
    </xf>
    <xf numFmtId="3" fontId="0" fillId="0" borderId="0" xfId="0" applyNumberFormat="1" applyFill="1" applyBorder="1"/>
    <xf numFmtId="3" fontId="0" fillId="0" borderId="5" xfId="0" applyNumberFormat="1" applyFill="1" applyBorder="1"/>
    <xf numFmtId="0" fontId="0" fillId="0" borderId="0" xfId="0" applyBorder="1" applyAlignment="1">
      <alignment horizontal="center" wrapText="1"/>
    </xf>
    <xf numFmtId="0" fontId="0" fillId="0" borderId="0" xfId="0" applyFill="1" applyBorder="1" applyAlignment="1">
      <alignment horizontal="center" wrapText="1"/>
    </xf>
    <xf numFmtId="0" fontId="0" fillId="0" borderId="0" xfId="0" applyFill="1" applyBorder="1"/>
    <xf numFmtId="0" fontId="0" fillId="0" borderId="0" xfId="0" applyBorder="1" applyAlignment="1">
      <alignment horizontal="center"/>
    </xf>
    <xf numFmtId="0" fontId="0" fillId="0" borderId="0" xfId="0" applyFill="1" applyBorder="1" applyAlignment="1">
      <alignment horizontal="center"/>
    </xf>
    <xf numFmtId="3" fontId="10" fillId="0" borderId="5" xfId="0" applyNumberFormat="1" applyFont="1" applyFill="1" applyBorder="1" applyAlignment="1">
      <alignment horizontal="center"/>
    </xf>
    <xf numFmtId="175" fontId="14" fillId="0" borderId="0" xfId="1" applyNumberFormat="1" applyFont="1" applyFill="1" applyBorder="1" applyAlignment="1">
      <alignment horizontal="center"/>
    </xf>
    <xf numFmtId="173" fontId="0" fillId="0" borderId="0" xfId="1" applyNumberFormat="1" applyFont="1" applyBorder="1" applyAlignment="1">
      <alignment horizontal="center"/>
    </xf>
    <xf numFmtId="1" fontId="0" fillId="0" borderId="0" xfId="0" applyNumberFormat="1" applyBorder="1" applyAlignment="1">
      <alignment horizontal="center"/>
    </xf>
    <xf numFmtId="3" fontId="0" fillId="0" borderId="102" xfId="0" applyNumberFormat="1" applyFill="1" applyBorder="1" applyAlignment="1">
      <alignment horizontal="center"/>
    </xf>
    <xf numFmtId="3" fontId="0" fillId="0" borderId="103" xfId="0" applyNumberFormat="1" applyFill="1" applyBorder="1" applyAlignment="1">
      <alignment horizontal="center"/>
    </xf>
    <xf numFmtId="0" fontId="0" fillId="0" borderId="56" xfId="0" applyBorder="1" applyAlignment="1">
      <alignment horizontal="center"/>
    </xf>
    <xf numFmtId="0" fontId="11" fillId="0" borderId="56" xfId="0" applyFont="1" applyBorder="1" applyAlignment="1">
      <alignment horizontal="left"/>
    </xf>
    <xf numFmtId="0" fontId="0" fillId="0" borderId="56" xfId="0" applyFill="1" applyBorder="1" applyAlignment="1">
      <alignment horizontal="center"/>
    </xf>
    <xf numFmtId="0" fontId="0" fillId="0" borderId="56" xfId="0" applyFill="1" applyBorder="1"/>
    <xf numFmtId="0" fontId="0" fillId="0" borderId="57" xfId="0" applyFill="1" applyBorder="1"/>
    <xf numFmtId="3" fontId="8" fillId="0" borderId="0" xfId="0" applyNumberFormat="1" applyFont="1" applyFill="1" applyBorder="1" applyAlignment="1">
      <alignment horizontal="center"/>
    </xf>
    <xf numFmtId="3" fontId="0" fillId="0" borderId="64" xfId="0" applyNumberFormat="1" applyFill="1" applyBorder="1" applyAlignment="1">
      <alignment horizontal="center"/>
    </xf>
    <xf numFmtId="3" fontId="7" fillId="0" borderId="102" xfId="1216" applyNumberFormat="1" applyFill="1" applyBorder="1" applyAlignment="1">
      <alignment horizontal="center"/>
    </xf>
    <xf numFmtId="3" fontId="7" fillId="0" borderId="103" xfId="1216" applyNumberFormat="1" applyFill="1" applyBorder="1" applyAlignment="1">
      <alignment horizontal="center"/>
    </xf>
    <xf numFmtId="167" fontId="7" fillId="0" borderId="0" xfId="0" applyNumberFormat="1" applyFont="1" applyAlignment="1">
      <alignment horizontal="left"/>
    </xf>
    <xf numFmtId="0" fontId="0" fillId="0" borderId="110" xfId="0" applyBorder="1"/>
    <xf numFmtId="0" fontId="10" fillId="0" borderId="111" xfId="0" applyFont="1" applyBorder="1" applyAlignment="1">
      <alignment horizontal="center" wrapText="1"/>
    </xf>
    <xf numFmtId="0" fontId="10" fillId="0" borderId="112" xfId="0" applyFont="1" applyFill="1" applyBorder="1" applyAlignment="1">
      <alignment horizontal="center" wrapText="1"/>
    </xf>
    <xf numFmtId="0" fontId="0" fillId="0" borderId="109" xfId="0" applyBorder="1"/>
    <xf numFmtId="0" fontId="10" fillId="0" borderId="109" xfId="0" applyFont="1" applyBorder="1"/>
    <xf numFmtId="0" fontId="11" fillId="0" borderId="109" xfId="0" applyFont="1" applyBorder="1"/>
    <xf numFmtId="3" fontId="10" fillId="0" borderId="109" xfId="0" applyNumberFormat="1" applyFont="1" applyBorder="1"/>
    <xf numFmtId="0" fontId="10" fillId="0" borderId="109" xfId="1216" applyFont="1" applyBorder="1" applyAlignment="1">
      <alignment vertical="center"/>
    </xf>
    <xf numFmtId="0" fontId="0" fillId="0" borderId="113" xfId="0" applyBorder="1"/>
    <xf numFmtId="0" fontId="10" fillId="0" borderId="56" xfId="0" applyFont="1" applyBorder="1" applyAlignment="1">
      <alignment horizontal="center"/>
    </xf>
    <xf numFmtId="0" fontId="221" fillId="0" borderId="0" xfId="4" applyFont="1"/>
    <xf numFmtId="0" fontId="13" fillId="0" borderId="0" xfId="4" applyFont="1" applyBorder="1"/>
    <xf numFmtId="166" fontId="19" fillId="0" borderId="0" xfId="11" applyFont="1" applyBorder="1" applyAlignment="1">
      <alignment horizontal="right"/>
    </xf>
    <xf numFmtId="0" fontId="7" fillId="0" borderId="0" xfId="4" applyBorder="1"/>
    <xf numFmtId="0" fontId="7" fillId="0" borderId="5" xfId="4" applyBorder="1"/>
    <xf numFmtId="0" fontId="13" fillId="0" borderId="109" xfId="4" applyFont="1" applyBorder="1" applyAlignment="1">
      <alignment horizontal="right"/>
    </xf>
    <xf numFmtId="2" fontId="13" fillId="0" borderId="5" xfId="4" applyNumberFormat="1" applyFont="1" applyFill="1" applyBorder="1"/>
    <xf numFmtId="174" fontId="13" fillId="0" borderId="0" xfId="4" applyNumberFormat="1" applyFont="1" applyBorder="1" applyAlignment="1">
      <alignment horizontal="right"/>
    </xf>
    <xf numFmtId="174" fontId="7" fillId="0" borderId="0" xfId="4" applyNumberFormat="1" applyBorder="1"/>
    <xf numFmtId="173" fontId="13" fillId="0" borderId="0" xfId="4" applyNumberFormat="1" applyFont="1" applyBorder="1" applyAlignment="1">
      <alignment horizontal="right"/>
    </xf>
    <xf numFmtId="173" fontId="13" fillId="0" borderId="5" xfId="4" applyNumberFormat="1" applyFont="1" applyBorder="1" applyAlignment="1">
      <alignment horizontal="right"/>
    </xf>
    <xf numFmtId="0" fontId="18" fillId="0" borderId="109" xfId="4" applyFont="1" applyBorder="1"/>
    <xf numFmtId="0" fontId="18" fillId="0" borderId="0" xfId="4" applyFont="1" applyBorder="1"/>
    <xf numFmtId="166" fontId="13" fillId="0" borderId="0" xfId="11" applyFont="1" applyBorder="1"/>
    <xf numFmtId="173" fontId="7" fillId="0" borderId="0" xfId="4" applyNumberFormat="1" applyBorder="1"/>
    <xf numFmtId="0" fontId="221" fillId="0" borderId="0" xfId="4" applyFont="1" applyBorder="1"/>
    <xf numFmtId="166" fontId="13" fillId="0" borderId="102" xfId="4" applyNumberFormat="1" applyFont="1" applyFill="1" applyBorder="1" applyAlignment="1">
      <alignment horizontal="right"/>
    </xf>
    <xf numFmtId="2" fontId="13" fillId="0" borderId="102" xfId="4" applyNumberFormat="1" applyFont="1" applyFill="1" applyBorder="1"/>
    <xf numFmtId="0" fontId="19" fillId="0" borderId="104" xfId="4" applyFont="1" applyFill="1" applyBorder="1" applyAlignment="1">
      <alignment horizontal="right"/>
    </xf>
    <xf numFmtId="0" fontId="19" fillId="0" borderId="107" xfId="4" applyFont="1" applyFill="1" applyBorder="1" applyAlignment="1">
      <alignment horizontal="right"/>
    </xf>
    <xf numFmtId="0" fontId="19" fillId="0" borderId="108" xfId="4" applyFont="1" applyFill="1" applyBorder="1" applyAlignment="1">
      <alignment horizontal="right"/>
    </xf>
    <xf numFmtId="0" fontId="19" fillId="0" borderId="107" xfId="4" applyFont="1" applyFill="1" applyBorder="1"/>
    <xf numFmtId="0" fontId="13" fillId="0" borderId="123" xfId="4" applyFont="1" applyBorder="1" applyAlignment="1">
      <alignment horizontal="right"/>
    </xf>
    <xf numFmtId="0" fontId="13" fillId="0" borderId="116" xfId="4" applyFont="1" applyBorder="1" applyAlignment="1">
      <alignment horizontal="right"/>
    </xf>
    <xf numFmtId="174" fontId="13" fillId="0" borderId="102" xfId="4" applyNumberFormat="1" applyFont="1" applyFill="1" applyBorder="1" applyAlignment="1">
      <alignment horizontal="right"/>
    </xf>
    <xf numFmtId="174" fontId="13" fillId="0" borderId="103" xfId="4" applyNumberFormat="1" applyFont="1" applyFill="1" applyBorder="1" applyAlignment="1">
      <alignment horizontal="right"/>
    </xf>
    <xf numFmtId="4" fontId="13" fillId="0" borderId="103" xfId="4" applyNumberFormat="1" applyFont="1" applyFill="1" applyBorder="1"/>
    <xf numFmtId="0" fontId="19" fillId="0" borderId="106" xfId="4" applyFont="1" applyFill="1" applyBorder="1" applyAlignment="1">
      <alignment horizontal="right"/>
    </xf>
    <xf numFmtId="0" fontId="19" fillId="0" borderId="119" xfId="4" applyFont="1" applyFill="1" applyBorder="1" applyAlignment="1">
      <alignment horizontal="right"/>
    </xf>
    <xf numFmtId="0" fontId="19" fillId="0" borderId="120" xfId="4" applyFont="1" applyFill="1" applyBorder="1" applyAlignment="1">
      <alignment horizontal="right"/>
    </xf>
    <xf numFmtId="0" fontId="19" fillId="0" borderId="119" xfId="4" applyFont="1" applyFill="1" applyBorder="1"/>
    <xf numFmtId="166" fontId="13" fillId="0" borderId="103" xfId="4" applyNumberFormat="1" applyFont="1" applyFill="1" applyBorder="1" applyAlignment="1">
      <alignment horizontal="right"/>
    </xf>
    <xf numFmtId="0" fontId="19" fillId="0" borderId="108" xfId="4" applyFont="1" applyFill="1" applyBorder="1"/>
    <xf numFmtId="2" fontId="13" fillId="0" borderId="117" xfId="4" applyNumberFormat="1" applyFont="1" applyFill="1" applyBorder="1"/>
    <xf numFmtId="0" fontId="19" fillId="0" borderId="120" xfId="4" applyFont="1" applyFill="1" applyBorder="1"/>
    <xf numFmtId="0" fontId="7" fillId="0" borderId="104" xfId="12" applyFont="1" applyBorder="1" applyAlignment="1" applyProtection="1">
      <alignment horizontal="center"/>
      <protection locked="0"/>
    </xf>
    <xf numFmtId="0" fontId="7" fillId="0" borderId="105" xfId="12" applyFont="1" applyBorder="1" applyAlignment="1" applyProtection="1">
      <alignment horizontal="center"/>
      <protection locked="0"/>
    </xf>
    <xf numFmtId="49" fontId="7" fillId="0" borderId="106" xfId="12" applyNumberFormat="1" applyFont="1" applyBorder="1" applyAlignment="1" applyProtection="1">
      <alignment horizontal="center"/>
      <protection locked="0"/>
    </xf>
    <xf numFmtId="176" fontId="7" fillId="0" borderId="121" xfId="13" applyNumberFormat="1" applyFont="1" applyBorder="1" applyAlignment="1" applyProtection="1">
      <alignment horizontal="center"/>
      <protection locked="0"/>
    </xf>
    <xf numFmtId="173" fontId="7" fillId="0" borderId="121" xfId="1500" applyNumberFormat="1" applyBorder="1"/>
    <xf numFmtId="10" fontId="7" fillId="0" borderId="121" xfId="14" applyNumberFormat="1" applyFont="1" applyBorder="1" applyAlignment="1" applyProtection="1">
      <alignment horizontal="right"/>
      <protection locked="0"/>
    </xf>
    <xf numFmtId="49" fontId="7" fillId="0" borderId="122" xfId="12" applyNumberFormat="1" applyFont="1" applyBorder="1" applyAlignment="1" applyProtection="1">
      <alignment horizontal="left"/>
      <protection locked="0"/>
    </xf>
    <xf numFmtId="3" fontId="7" fillId="2" borderId="121" xfId="1216" applyNumberFormat="1" applyFill="1" applyBorder="1" applyAlignment="1">
      <alignment horizontal="right"/>
    </xf>
    <xf numFmtId="173" fontId="7" fillId="0" borderId="56" xfId="1500" applyNumberFormat="1" applyBorder="1"/>
    <xf numFmtId="10" fontId="7" fillId="0" borderId="56" xfId="14" applyNumberFormat="1" applyFont="1" applyBorder="1" applyAlignment="1" applyProtection="1">
      <alignment horizontal="right"/>
      <protection locked="0"/>
    </xf>
    <xf numFmtId="10" fontId="7" fillId="0" borderId="57" xfId="14" applyNumberFormat="1" applyFont="1" applyBorder="1" applyAlignment="1" applyProtection="1">
      <alignment horizontal="right"/>
      <protection locked="0"/>
    </xf>
    <xf numFmtId="49" fontId="7" fillId="0" borderId="118" xfId="12" applyNumberFormat="1" applyFont="1" applyBorder="1" applyAlignment="1" applyProtection="1">
      <alignment horizontal="left"/>
      <protection locked="0"/>
    </xf>
    <xf numFmtId="173" fontId="7" fillId="0" borderId="102" xfId="1500" applyNumberFormat="1" applyBorder="1"/>
    <xf numFmtId="10" fontId="7" fillId="0" borderId="102" xfId="14" applyNumberFormat="1" applyFont="1" applyBorder="1" applyAlignment="1" applyProtection="1">
      <alignment horizontal="right"/>
      <protection locked="0"/>
    </xf>
    <xf numFmtId="10" fontId="7" fillId="0" borderId="103" xfId="14" applyNumberFormat="1" applyFont="1" applyBorder="1" applyAlignment="1" applyProtection="1">
      <alignment horizontal="right"/>
      <protection locked="0"/>
    </xf>
    <xf numFmtId="17" fontId="7" fillId="91" borderId="1" xfId="12" applyNumberFormat="1" applyFont="1" applyFill="1" applyBorder="1" applyAlignment="1" applyProtection="1">
      <alignment horizontal="center"/>
      <protection locked="0"/>
    </xf>
    <xf numFmtId="176" fontId="7" fillId="91" borderId="12" xfId="13" applyNumberFormat="1" applyFont="1" applyFill="1" applyBorder="1" applyAlignment="1" applyProtection="1">
      <alignment horizontal="center"/>
      <protection locked="0"/>
    </xf>
    <xf numFmtId="1" fontId="7" fillId="91" borderId="12" xfId="13" applyNumberFormat="1" applyFont="1" applyFill="1" applyBorder="1" applyAlignment="1" applyProtection="1">
      <alignment horizontal="center"/>
      <protection locked="0"/>
    </xf>
    <xf numFmtId="1" fontId="7" fillId="91" borderId="12" xfId="12" applyNumberFormat="1" applyFont="1" applyFill="1" applyBorder="1" applyProtection="1">
      <protection locked="0"/>
    </xf>
    <xf numFmtId="176" fontId="7" fillId="91" borderId="11" xfId="13" applyNumberFormat="1" applyFont="1" applyFill="1" applyBorder="1" applyAlignment="1" applyProtection="1">
      <alignment horizontal="center"/>
      <protection locked="0"/>
    </xf>
    <xf numFmtId="0" fontId="7" fillId="91" borderId="40" xfId="13" applyNumberFormat="1" applyFont="1" applyFill="1" applyBorder="1" applyAlignment="1" applyProtection="1">
      <protection locked="0"/>
    </xf>
    <xf numFmtId="37" fontId="7" fillId="91" borderId="40" xfId="1509" applyNumberFormat="1" applyFont="1" applyFill="1" applyBorder="1" applyAlignment="1">
      <alignment horizontal="center"/>
    </xf>
    <xf numFmtId="176" fontId="7" fillId="91" borderId="40" xfId="13" applyNumberFormat="1" applyFont="1" applyFill="1" applyBorder="1" applyAlignment="1" applyProtection="1">
      <protection locked="0"/>
    </xf>
    <xf numFmtId="0" fontId="7" fillId="91" borderId="12" xfId="13" applyNumberFormat="1" applyFont="1" applyFill="1" applyBorder="1" applyAlignment="1" applyProtection="1">
      <protection locked="0"/>
    </xf>
    <xf numFmtId="1" fontId="7" fillId="91" borderId="12" xfId="13" applyNumberFormat="1" applyFont="1" applyFill="1" applyBorder="1" applyAlignment="1" applyProtection="1">
      <protection locked="0"/>
    </xf>
    <xf numFmtId="0" fontId="7" fillId="91" borderId="0" xfId="12" applyFont="1" applyFill="1" applyProtection="1">
      <protection locked="0"/>
    </xf>
    <xf numFmtId="176" fontId="7" fillId="91" borderId="1" xfId="13" applyNumberFormat="1" applyFont="1" applyFill="1" applyBorder="1" applyAlignment="1" applyProtection="1">
      <alignment horizontal="center"/>
      <protection locked="0"/>
    </xf>
    <xf numFmtId="167" fontId="7" fillId="91" borderId="1" xfId="2" applyNumberFormat="1" applyFont="1" applyFill="1" applyBorder="1" applyProtection="1">
      <protection locked="0"/>
    </xf>
    <xf numFmtId="176" fontId="7" fillId="0" borderId="124" xfId="13" applyNumberFormat="1" applyFont="1" applyBorder="1" applyAlignment="1" applyProtection="1">
      <alignment horizontal="center"/>
      <protection locked="0"/>
    </xf>
    <xf numFmtId="0" fontId="0" fillId="0" borderId="111" xfId="0" applyBorder="1"/>
    <xf numFmtId="0" fontId="0" fillId="0" borderId="112" xfId="0" applyBorder="1"/>
    <xf numFmtId="0" fontId="12" fillId="0" borderId="125" xfId="0" applyFont="1" applyFill="1" applyBorder="1" applyAlignment="1">
      <alignment horizontal="centerContinuous"/>
    </xf>
    <xf numFmtId="0" fontId="0" fillId="0" borderId="109" xfId="0" applyFill="1" applyBorder="1" applyAlignment="1"/>
    <xf numFmtId="0" fontId="0" fillId="0" borderId="126" xfId="0" applyFill="1" applyBorder="1" applyAlignment="1"/>
    <xf numFmtId="0" fontId="12" fillId="0" borderId="125" xfId="0" applyFont="1" applyFill="1" applyBorder="1" applyAlignment="1">
      <alignment horizontal="center"/>
    </xf>
    <xf numFmtId="0" fontId="12" fillId="0" borderId="62" xfId="0" applyFont="1" applyFill="1" applyBorder="1" applyAlignment="1">
      <alignment horizontal="center"/>
    </xf>
    <xf numFmtId="0" fontId="0" fillId="0" borderId="5" xfId="0" applyFill="1" applyBorder="1" applyAlignment="1"/>
    <xf numFmtId="0" fontId="0" fillId="0" borderId="113" xfId="0" applyFill="1" applyBorder="1" applyAlignment="1"/>
    <xf numFmtId="0" fontId="0" fillId="0" borderId="102" xfId="0" applyFill="1" applyBorder="1" applyAlignment="1"/>
    <xf numFmtId="0" fontId="0" fillId="0" borderId="103" xfId="0" applyFill="1" applyBorder="1" applyAlignment="1"/>
    <xf numFmtId="3" fontId="7" fillId="0" borderId="107" xfId="0" applyNumberFormat="1" applyFont="1" applyBorder="1" applyAlignment="1">
      <alignment horizontal="center" wrapText="1"/>
    </xf>
    <xf numFmtId="3" fontId="0" fillId="0" borderId="108" xfId="0" applyNumberFormat="1" applyBorder="1" applyAlignment="1">
      <alignment horizontal="center"/>
    </xf>
    <xf numFmtId="0" fontId="0" fillId="0" borderId="109" xfId="0" applyBorder="1" applyAlignment="1">
      <alignment horizontal="right"/>
    </xf>
    <xf numFmtId="0" fontId="0" fillId="0" borderId="114" xfId="0" applyBorder="1" applyAlignment="1">
      <alignment horizontal="right"/>
    </xf>
    <xf numFmtId="0" fontId="0" fillId="0" borderId="115" xfId="0" applyBorder="1" applyAlignment="1">
      <alignment horizontal="right"/>
    </xf>
    <xf numFmtId="0" fontId="0" fillId="0" borderId="110" xfId="0" applyBorder="1" applyAlignment="1">
      <alignment horizontal="right"/>
    </xf>
    <xf numFmtId="0" fontId="0" fillId="0" borderId="114" xfId="0" applyBorder="1"/>
    <xf numFmtId="3" fontId="10" fillId="2" borderId="0" xfId="1216" applyNumberFormat="1" applyFont="1" applyFill="1" applyAlignment="1">
      <alignment horizontal="center"/>
    </xf>
    <xf numFmtId="0" fontId="13" fillId="0" borderId="102" xfId="4" applyFont="1" applyBorder="1"/>
    <xf numFmtId="0" fontId="131" fillId="0" borderId="0" xfId="4" applyFont="1"/>
    <xf numFmtId="176" fontId="7" fillId="0" borderId="121" xfId="13" applyNumberFormat="1" applyFont="1" applyFill="1" applyBorder="1" applyAlignment="1" applyProtection="1">
      <alignment horizontal="center"/>
      <protection locked="0"/>
    </xf>
    <xf numFmtId="1" fontId="7" fillId="38" borderId="0" xfId="13" applyNumberFormat="1" applyFont="1" applyFill="1" applyBorder="1" applyAlignment="1" applyProtection="1">
      <protection locked="0"/>
    </xf>
    <xf numFmtId="173" fontId="7" fillId="38" borderId="121" xfId="1" applyNumberFormat="1" applyFont="1" applyFill="1" applyBorder="1" applyAlignment="1" applyProtection="1">
      <alignment horizontal="center" wrapText="1"/>
      <protection locked="0"/>
    </xf>
    <xf numFmtId="0" fontId="7" fillId="0" borderId="0" xfId="12" applyFont="1" applyBorder="1" applyAlignment="1"/>
    <xf numFmtId="0" fontId="7" fillId="0" borderId="0" xfId="12" applyFont="1" applyBorder="1" applyAlignment="1" applyProtection="1">
      <protection locked="0"/>
    </xf>
    <xf numFmtId="0" fontId="10" fillId="0" borderId="128" xfId="6066" applyFont="1" applyBorder="1"/>
    <xf numFmtId="173" fontId="10" fillId="38" borderId="121" xfId="1" applyNumberFormat="1" applyFont="1" applyFill="1" applyBorder="1" applyAlignment="1" applyProtection="1">
      <alignment horizontal="center" wrapText="1"/>
      <protection locked="0"/>
    </xf>
    <xf numFmtId="2" fontId="10" fillId="0" borderId="127" xfId="13" applyNumberFormat="1" applyFont="1" applyFill="1" applyBorder="1" applyAlignment="1" applyProtection="1">
      <alignment horizontal="center" wrapText="1"/>
      <protection locked="0"/>
    </xf>
    <xf numFmtId="2" fontId="10" fillId="0" borderId="40" xfId="13" applyNumberFormat="1" applyFont="1" applyFill="1" applyBorder="1" applyAlignment="1" applyProtection="1">
      <alignment horizontal="center" wrapText="1"/>
      <protection locked="0"/>
    </xf>
    <xf numFmtId="0" fontId="10" fillId="0" borderId="40" xfId="12" applyFont="1" applyFill="1" applyBorder="1" applyAlignment="1" applyProtection="1">
      <alignment horizontal="center" wrapText="1"/>
      <protection locked="0"/>
    </xf>
    <xf numFmtId="0" fontId="7" fillId="0" borderId="0" xfId="12" applyFont="1" applyFill="1" applyAlignment="1" applyProtection="1">
      <protection locked="0"/>
    </xf>
    <xf numFmtId="37" fontId="7" fillId="0" borderId="127" xfId="1509" applyNumberFormat="1" applyFont="1" applyFill="1" applyBorder="1" applyAlignment="1">
      <alignment horizontal="center"/>
    </xf>
    <xf numFmtId="1" fontId="7" fillId="0" borderId="12" xfId="13" applyNumberFormat="1" applyFont="1" applyFill="1" applyBorder="1" applyAlignment="1" applyProtection="1">
      <protection locked="0"/>
    </xf>
    <xf numFmtId="293" fontId="222" fillId="0" borderId="121" xfId="1509" applyNumberFormat="1" applyFont="1" applyFill="1" applyBorder="1" applyAlignment="1">
      <alignment horizontal="center"/>
    </xf>
    <xf numFmtId="176" fontId="7" fillId="0" borderId="40" xfId="13" applyNumberFormat="1" applyFont="1" applyFill="1" applyBorder="1" applyAlignment="1" applyProtection="1">
      <protection locked="0"/>
    </xf>
    <xf numFmtId="173" fontId="7" fillId="38" borderId="40" xfId="1" applyNumberFormat="1" applyFont="1" applyFill="1" applyBorder="1" applyAlignment="1" applyProtection="1">
      <alignment horizontal="center" wrapText="1"/>
      <protection locked="0"/>
    </xf>
    <xf numFmtId="173" fontId="10" fillId="38" borderId="40" xfId="1" applyNumberFormat="1" applyFont="1" applyFill="1" applyBorder="1" applyAlignment="1" applyProtection="1">
      <alignment horizontal="center" wrapText="1"/>
      <protection locked="0"/>
    </xf>
    <xf numFmtId="176" fontId="7" fillId="0" borderId="121" xfId="2282" applyNumberFormat="1" applyFont="1" applyFill="1" applyBorder="1" applyAlignment="1"/>
    <xf numFmtId="1" fontId="7" fillId="0" borderId="0" xfId="13" applyNumberFormat="1" applyFont="1" applyFill="1" applyBorder="1" applyAlignment="1" applyProtection="1">
      <protection locked="0"/>
    </xf>
    <xf numFmtId="209" fontId="7" fillId="0" borderId="0" xfId="13" applyNumberFormat="1" applyFont="1" applyFill="1" applyBorder="1" applyAlignment="1" applyProtection="1">
      <protection locked="0"/>
    </xf>
    <xf numFmtId="0" fontId="0" fillId="3" borderId="0" xfId="0" applyFill="1" applyBorder="1" applyAlignment="1"/>
    <xf numFmtId="0" fontId="0" fillId="93" borderId="0" xfId="0" applyFill="1" applyBorder="1" applyAlignment="1"/>
    <xf numFmtId="0" fontId="10" fillId="0" borderId="0" xfId="6066" applyFont="1" applyBorder="1"/>
    <xf numFmtId="173" fontId="7" fillId="92" borderId="121" xfId="1" applyNumberFormat="1" applyFont="1" applyFill="1" applyBorder="1" applyAlignment="1" applyProtection="1">
      <alignment horizontal="center" wrapText="1"/>
      <protection locked="0"/>
    </xf>
    <xf numFmtId="173" fontId="7" fillId="92" borderId="40" xfId="1" applyNumberFormat="1" applyFont="1" applyFill="1" applyBorder="1" applyAlignment="1" applyProtection="1">
      <alignment horizontal="center" wrapText="1"/>
      <protection locked="0"/>
    </xf>
    <xf numFmtId="169" fontId="224" fillId="0" borderId="0" xfId="1216" applyNumberFormat="1" applyFont="1" applyFill="1" applyBorder="1" applyAlignment="1">
      <alignment horizontal="center"/>
    </xf>
    <xf numFmtId="169" fontId="224" fillId="0" borderId="5" xfId="1216" applyNumberFormat="1" applyFont="1" applyFill="1" applyBorder="1" applyAlignment="1">
      <alignment horizontal="center"/>
    </xf>
    <xf numFmtId="169" fontId="224" fillId="0" borderId="4" xfId="1216" applyNumberFormat="1" applyFont="1" applyFill="1" applyBorder="1" applyAlignment="1">
      <alignment horizontal="center"/>
    </xf>
    <xf numFmtId="169" fontId="224" fillId="0" borderId="0" xfId="1216" applyNumberFormat="1" applyFont="1" applyFill="1" applyAlignment="1">
      <alignment horizontal="center"/>
    </xf>
    <xf numFmtId="169" fontId="224" fillId="0" borderId="0" xfId="1216" applyNumberFormat="1" applyFont="1" applyBorder="1" applyAlignment="1">
      <alignment horizontal="center"/>
    </xf>
    <xf numFmtId="169" fontId="224" fillId="0" borderId="4" xfId="1216" applyNumberFormat="1" applyFont="1" applyBorder="1" applyAlignment="1">
      <alignment horizontal="center"/>
    </xf>
    <xf numFmtId="3" fontId="224" fillId="0" borderId="0" xfId="1216" applyNumberFormat="1" applyFont="1" applyBorder="1" applyAlignment="1">
      <alignment horizontal="center"/>
    </xf>
    <xf numFmtId="3" fontId="224" fillId="0" borderId="0" xfId="1216" applyNumberFormat="1" applyFont="1" applyAlignment="1">
      <alignment horizontal="center"/>
    </xf>
    <xf numFmtId="0" fontId="224" fillId="0" borderId="0" xfId="1216" applyFont="1" applyFill="1"/>
    <xf numFmtId="0" fontId="225" fillId="0" borderId="0" xfId="1216" applyFont="1" applyFill="1" applyAlignment="1">
      <alignment wrapText="1"/>
    </xf>
    <xf numFmtId="172" fontId="0" fillId="0" borderId="0" xfId="0" applyNumberFormat="1" applyFill="1" applyAlignment="1">
      <alignment horizontal="center"/>
    </xf>
    <xf numFmtId="0" fontId="10" fillId="0" borderId="0" xfId="1500" applyFont="1" applyBorder="1"/>
    <xf numFmtId="0" fontId="7" fillId="0" borderId="0" xfId="1500" applyBorder="1" applyAlignment="1">
      <alignment wrapText="1"/>
    </xf>
    <xf numFmtId="3" fontId="7" fillId="0" borderId="0" xfId="1500" applyNumberFormat="1" applyFont="1" applyBorder="1" applyAlignment="1">
      <alignment horizontal="center"/>
    </xf>
    <xf numFmtId="173" fontId="7" fillId="0" borderId="0" xfId="1500" applyNumberFormat="1" applyFill="1" applyBorder="1"/>
    <xf numFmtId="169" fontId="10" fillId="0" borderId="45" xfId="1216" applyNumberFormat="1" applyFont="1" applyBorder="1" applyAlignment="1">
      <alignment horizontal="center"/>
    </xf>
    <xf numFmtId="169" fontId="10" fillId="0" borderId="47" xfId="1216" applyNumberFormat="1" applyFont="1" applyBorder="1" applyAlignment="1">
      <alignment horizontal="center"/>
    </xf>
    <xf numFmtId="0" fontId="7" fillId="0" borderId="40" xfId="1500" applyBorder="1" applyAlignment="1">
      <alignment horizontal="center"/>
    </xf>
    <xf numFmtId="0" fontId="7" fillId="0" borderId="43" xfId="1500" applyBorder="1" applyAlignment="1">
      <alignment horizontal="center"/>
    </xf>
    <xf numFmtId="0" fontId="7" fillId="0" borderId="20" xfId="1500" applyBorder="1" applyAlignment="1">
      <alignment horizontal="center"/>
    </xf>
    <xf numFmtId="0" fontId="7" fillId="0" borderId="0" xfId="1500" applyBorder="1" applyAlignment="1">
      <alignment horizontal="center"/>
    </xf>
    <xf numFmtId="0" fontId="7" fillId="0" borderId="21" xfId="1500" applyBorder="1" applyAlignment="1">
      <alignment horizontal="center"/>
    </xf>
    <xf numFmtId="0" fontId="7" fillId="0" borderId="0" xfId="1077" applyFont="1" applyAlignment="1">
      <alignment horizontal="left"/>
    </xf>
    <xf numFmtId="0" fontId="7" fillId="0" borderId="0" xfId="1077" applyFont="1" applyAlignment="1">
      <alignment vertical="top" wrapText="1"/>
    </xf>
    <xf numFmtId="0" fontId="12" fillId="0" borderId="0" xfId="1077" applyFont="1" applyAlignment="1">
      <alignment horizontal="left"/>
    </xf>
    <xf numFmtId="0" fontId="15" fillId="0" borderId="0" xfId="1077" applyFont="1" applyAlignment="1">
      <alignment vertical="top" wrapText="1"/>
    </xf>
    <xf numFmtId="0" fontId="85" fillId="0" borderId="0" xfId="1077" applyFont="1" applyAlignment="1">
      <alignment horizontal="center"/>
    </xf>
    <xf numFmtId="0" fontId="86" fillId="0" borderId="0" xfId="1077" applyFont="1" applyAlignment="1">
      <alignment horizontal="center"/>
    </xf>
    <xf numFmtId="0" fontId="7" fillId="0" borderId="13" xfId="1077" applyFill="1" applyBorder="1" applyAlignment="1">
      <alignment horizontal="center"/>
    </xf>
    <xf numFmtId="0" fontId="7" fillId="0" borderId="14" xfId="1077" applyFill="1" applyBorder="1" applyAlignment="1">
      <alignment horizontal="center"/>
    </xf>
    <xf numFmtId="0" fontId="7" fillId="0" borderId="42" xfId="1077" applyFill="1" applyBorder="1" applyAlignment="1">
      <alignment horizontal="center"/>
    </xf>
    <xf numFmtId="0" fontId="7" fillId="0" borderId="40" xfId="1077" applyFill="1" applyBorder="1" applyAlignment="1">
      <alignment horizontal="center"/>
    </xf>
    <xf numFmtId="0" fontId="10" fillId="0" borderId="61" xfId="1077" applyFont="1" applyFill="1" applyBorder="1" applyAlignment="1">
      <alignment horizontal="center"/>
    </xf>
    <xf numFmtId="0" fontId="10" fillId="0" borderId="3" xfId="1077" applyFont="1" applyFill="1" applyBorder="1" applyAlignment="1">
      <alignment horizontal="center"/>
    </xf>
    <xf numFmtId="0" fontId="10" fillId="0" borderId="62" xfId="1077" applyFont="1" applyFill="1" applyBorder="1" applyAlignment="1">
      <alignment horizontal="center"/>
    </xf>
    <xf numFmtId="0" fontId="10" fillId="0" borderId="63" xfId="1077" applyFont="1" applyFill="1" applyBorder="1" applyAlignment="1">
      <alignment horizontal="center" vertical="center" wrapText="1"/>
    </xf>
    <xf numFmtId="0" fontId="7" fillId="0" borderId="59" xfId="1077" applyFill="1" applyBorder="1" applyAlignment="1">
      <alignment horizontal="center" vertical="center" wrapText="1"/>
    </xf>
    <xf numFmtId="0" fontId="87" fillId="61" borderId="7" xfId="1077" applyFont="1" applyFill="1" applyBorder="1" applyAlignment="1">
      <alignment horizontal="left"/>
    </xf>
    <xf numFmtId="0" fontId="87" fillId="61" borderId="45" xfId="1077" applyFont="1" applyFill="1" applyBorder="1" applyAlignment="1">
      <alignment horizontal="left"/>
    </xf>
    <xf numFmtId="0" fontId="87" fillId="61" borderId="46" xfId="1077" applyFont="1" applyFill="1" applyBorder="1" applyAlignment="1">
      <alignment horizontal="left"/>
    </xf>
    <xf numFmtId="0" fontId="87" fillId="61" borderId="7" xfId="1077" applyFont="1" applyFill="1" applyBorder="1" applyAlignment="1">
      <alignment horizontal="left" vertical="top" wrapText="1"/>
    </xf>
    <xf numFmtId="0" fontId="87" fillId="61" borderId="45" xfId="1077" applyFont="1" applyFill="1" applyBorder="1" applyAlignment="1">
      <alignment horizontal="left" vertical="top" wrapText="1"/>
    </xf>
    <xf numFmtId="0" fontId="87" fillId="61" borderId="46" xfId="1077" applyFont="1" applyFill="1" applyBorder="1" applyAlignment="1">
      <alignment horizontal="left" vertical="top" wrapText="1"/>
    </xf>
  </cellXfs>
  <cellStyles count="11943">
    <cellStyle name="-" xfId="1528"/>
    <cellStyle name="$" xfId="20"/>
    <cellStyle name="$ &amp; ¢" xfId="1530"/>
    <cellStyle name="$ 2" xfId="1529"/>
    <cellStyle name="$ 3" xfId="3947"/>
    <cellStyle name="$ 4" xfId="6021"/>
    <cellStyle name="$.00" xfId="21"/>
    <cellStyle name="$_9. Rev2Cost_GDPIPI" xfId="22"/>
    <cellStyle name="$_lists" xfId="23"/>
    <cellStyle name="$_lists_4. Current Monthly Fixed Charge" xfId="24"/>
    <cellStyle name="$_Sheet4" xfId="25"/>
    <cellStyle name="$M" xfId="26"/>
    <cellStyle name="$M.00" xfId="27"/>
    <cellStyle name="$M_9. Rev2Cost_GDPIPI" xfId="28"/>
    <cellStyle name="%" xfId="1531"/>
    <cellStyle name="%.00" xfId="1532"/>
    <cellStyle name="(Heading)" xfId="1533"/>
    <cellStyle name="(Heading) 2" xfId="6020"/>
    <cellStyle name="(Lefting)" xfId="1534"/>
    <cellStyle name="(Lefting) 2" xfId="6019"/>
    <cellStyle name="(z*¯_x000f_°(”,¯?À(¢,¯?Ð(°,¯?à(Â,¯?ð(Ô,¯?" xfId="1535"/>
    <cellStyle name="******************************************" xfId="1536"/>
    <cellStyle name="_CNMD_Valuation Model_20081212_v2" xfId="1537"/>
    <cellStyle name="_Comma" xfId="1538"/>
    <cellStyle name="_Comps 4" xfId="1539"/>
    <cellStyle name="_Cont Analysis" xfId="1540"/>
    <cellStyle name="_Currency" xfId="1541"/>
    <cellStyle name="_Currency_Analysis" xfId="1542"/>
    <cellStyle name="_Currency_Smartportfolio model" xfId="1543"/>
    <cellStyle name="_Currency_Smartportfolio model_DB-merged files" xfId="1544"/>
    <cellStyle name="_CurrencySpace" xfId="1545"/>
    <cellStyle name="_Gamma Valuation - 8" xfId="1546"/>
    <cellStyle name="_ITRN" xfId="1547"/>
    <cellStyle name="-_Merger Model 17 Nov 04" xfId="1548"/>
    <cellStyle name="_Merger Model_KN&amp;Fzio_v2.30 - Street" xfId="1549"/>
    <cellStyle name="_Multiple" xfId="1550"/>
    <cellStyle name="_Multiple_Analysis" xfId="1551"/>
    <cellStyle name="_Multiple_Analysis_DB-merged files" xfId="1552"/>
    <cellStyle name="_Multiple_Smartportfolio model" xfId="1553"/>
    <cellStyle name="_Multiple_Smartportfolio model_DB-merged files" xfId="1554"/>
    <cellStyle name="_MultipleSpace" xfId="1555"/>
    <cellStyle name="_MultipleSpace_Analysis" xfId="1556"/>
    <cellStyle name="_MultipleSpace_csc" xfId="1557"/>
    <cellStyle name="_MultipleSpace_Smartportfolio model" xfId="1558"/>
    <cellStyle name="_MultipleSpace_Smartportfolio model_DB-merged files" xfId="1559"/>
    <cellStyle name="_Percent" xfId="1560"/>
    <cellStyle name="_Percent_Analysis" xfId="1561"/>
    <cellStyle name="_Percent_Smartportfolio model" xfId="1562"/>
    <cellStyle name="_Percent_Smartportfolio model_DB-merged files" xfId="1563"/>
    <cellStyle name="_PercentSpace" xfId="1564"/>
    <cellStyle name="_PercentSpace_Analysis" xfId="1565"/>
    <cellStyle name="_PercentSpace_Smartportfolio model" xfId="1566"/>
    <cellStyle name="_Sepracor Riders_Clean" xfId="1567"/>
    <cellStyle name="_SIAL_Model_5.22.09 v71" xfId="1568"/>
    <cellStyle name="£ BP" xfId="1569"/>
    <cellStyle name="¥ JY" xfId="1570"/>
    <cellStyle name="&lt;9#_x000f_¾Èƒé1ƒÃ_x0002_;M_x0014_}$‹E_x0010_‹_x0004_ˆ…Àt_x001b_Pÿ_x0015_ x¦" xfId="1571"/>
    <cellStyle name="=C:\WINNT35\SYSTEM32\COMMAND.COM" xfId="1572"/>
    <cellStyle name="0752-93035" xfId="1573"/>
    <cellStyle name="1,comma" xfId="1574"/>
    <cellStyle name="10Q" xfId="1575"/>
    <cellStyle name="20% - Accent1 10" xfId="29"/>
    <cellStyle name="20% - Accent1 11" xfId="30"/>
    <cellStyle name="20% - Accent1 12" xfId="31"/>
    <cellStyle name="20% - Accent1 13" xfId="32"/>
    <cellStyle name="20% - Accent1 14" xfId="33"/>
    <cellStyle name="20% - Accent1 15" xfId="34"/>
    <cellStyle name="20% - Accent1 16" xfId="35"/>
    <cellStyle name="20% - Accent1 2" xfId="36"/>
    <cellStyle name="20% - Accent1 2 10" xfId="1577"/>
    <cellStyle name="20% - Accent1 2 11" xfId="1576"/>
    <cellStyle name="20% - Accent1 2 2" xfId="37"/>
    <cellStyle name="20% - Accent1 2 2 2" xfId="1579"/>
    <cellStyle name="20% - Accent1 2 2 2 2" xfId="8321"/>
    <cellStyle name="20% - Accent1 2 2 2 2 2" xfId="11218"/>
    <cellStyle name="20% - Accent1 2 2 2 3" xfId="9778"/>
    <cellStyle name="20% - Accent1 2 2 2 4" xfId="6841"/>
    <cellStyle name="20% - Accent1 2 2 3" xfId="1580"/>
    <cellStyle name="20% - Accent1 2 2 3 2" xfId="10560"/>
    <cellStyle name="20% - Accent1 2 2 3 3" xfId="7660"/>
    <cellStyle name="20% - Accent1 2 2 4" xfId="1578"/>
    <cellStyle name="20% - Accent1 2 2 4 2" xfId="9120"/>
    <cellStyle name="20% - Accent1 2 2 5" xfId="6134"/>
    <cellStyle name="20% - Accent1 2 3" xfId="38"/>
    <cellStyle name="20% - Accent1 2 3 2" xfId="1582"/>
    <cellStyle name="20% - Accent1 2 3 3" xfId="1581"/>
    <cellStyle name="20% - Accent1 2 4" xfId="1583"/>
    <cellStyle name="20% - Accent1 2 5" xfId="1584"/>
    <cellStyle name="20% - Accent1 2 6" xfId="1585"/>
    <cellStyle name="20% - Accent1 2 7" xfId="1586"/>
    <cellStyle name="20% - Accent1 2 8" xfId="1587"/>
    <cellStyle name="20% - Accent1 2 9" xfId="1588"/>
    <cellStyle name="20% - Accent1 3" xfId="39"/>
    <cellStyle name="20% - Accent1 3 2" xfId="1590"/>
    <cellStyle name="20% - Accent1 3 2 2" xfId="1591"/>
    <cellStyle name="20% - Accent1 3 2 2 2" xfId="1592"/>
    <cellStyle name="20% - Accent1 3 2 2 2 2" xfId="1593"/>
    <cellStyle name="20% - Accent1 3 2 2 3" xfId="1594"/>
    <cellStyle name="20% - Accent1 3 2 3" xfId="1595"/>
    <cellStyle name="20% - Accent1 3 2 3 2" xfId="1596"/>
    <cellStyle name="20% - Accent1 3 2 4" xfId="1597"/>
    <cellStyle name="20% - Accent1 3 3" xfId="1598"/>
    <cellStyle name="20% - Accent1 3 3 2" xfId="1599"/>
    <cellStyle name="20% - Accent1 3 3 2 2" xfId="1600"/>
    <cellStyle name="20% - Accent1 3 3 2 2 2" xfId="1601"/>
    <cellStyle name="20% - Accent1 3 3 2 3" xfId="1602"/>
    <cellStyle name="20% - Accent1 3 3 3" xfId="1603"/>
    <cellStyle name="20% - Accent1 3 3 3 2" xfId="1604"/>
    <cellStyle name="20% - Accent1 3 3 4" xfId="1605"/>
    <cellStyle name="20% - Accent1 3 4" xfId="1606"/>
    <cellStyle name="20% - Accent1 3 4 2" xfId="1607"/>
    <cellStyle name="20% - Accent1 3 4 2 2" xfId="1608"/>
    <cellStyle name="20% - Accent1 3 4 3" xfId="1609"/>
    <cellStyle name="20% - Accent1 3 5" xfId="1610"/>
    <cellStyle name="20% - Accent1 3 5 2" xfId="1611"/>
    <cellStyle name="20% - Accent1 3 6" xfId="1612"/>
    <cellStyle name="20% - Accent1 3 7" xfId="1589"/>
    <cellStyle name="20% - Accent1 4" xfId="40"/>
    <cellStyle name="20% - Accent1 4 2" xfId="1613"/>
    <cellStyle name="20% - Accent1 5" xfId="41"/>
    <cellStyle name="20% - Accent1 5 2" xfId="1614"/>
    <cellStyle name="20% - Accent1 6" xfId="42"/>
    <cellStyle name="20% - Accent1 6 2" xfId="1615"/>
    <cellStyle name="20% - Accent1 7" xfId="43"/>
    <cellStyle name="20% - Accent1 7 2" xfId="1616"/>
    <cellStyle name="20% - Accent1 8" xfId="44"/>
    <cellStyle name="20% - Accent1 8 2" xfId="1617"/>
    <cellStyle name="20% - Accent1 9" xfId="45"/>
    <cellStyle name="20% - Accent2 10" xfId="46"/>
    <cellStyle name="20% - Accent2 11" xfId="47"/>
    <cellStyle name="20% - Accent2 12" xfId="48"/>
    <cellStyle name="20% - Accent2 13" xfId="49"/>
    <cellStyle name="20% - Accent2 14" xfId="50"/>
    <cellStyle name="20% - Accent2 15" xfId="51"/>
    <cellStyle name="20% - Accent2 16" xfId="52"/>
    <cellStyle name="20% - Accent2 2" xfId="53"/>
    <cellStyle name="20% - Accent2 2 10" xfId="1619"/>
    <cellStyle name="20% - Accent2 2 11" xfId="1618"/>
    <cellStyle name="20% - Accent2 2 2" xfId="54"/>
    <cellStyle name="20% - Accent2 2 2 2" xfId="1621"/>
    <cellStyle name="20% - Accent2 2 2 2 2" xfId="8323"/>
    <cellStyle name="20% - Accent2 2 2 2 2 2" xfId="11220"/>
    <cellStyle name="20% - Accent2 2 2 2 3" xfId="9780"/>
    <cellStyle name="20% - Accent2 2 2 2 4" xfId="6843"/>
    <cellStyle name="20% - Accent2 2 2 3" xfId="1622"/>
    <cellStyle name="20% - Accent2 2 2 3 2" xfId="10562"/>
    <cellStyle name="20% - Accent2 2 2 3 3" xfId="7662"/>
    <cellStyle name="20% - Accent2 2 2 4" xfId="1620"/>
    <cellStyle name="20% - Accent2 2 2 4 2" xfId="9122"/>
    <cellStyle name="20% - Accent2 2 2 5" xfId="6136"/>
    <cellStyle name="20% - Accent2 2 3" xfId="55"/>
    <cellStyle name="20% - Accent2 2 3 2" xfId="1624"/>
    <cellStyle name="20% - Accent2 2 3 3" xfId="1623"/>
    <cellStyle name="20% - Accent2 2 4" xfId="1625"/>
    <cellStyle name="20% - Accent2 2 5" xfId="1626"/>
    <cellStyle name="20% - Accent2 2 6" xfId="1627"/>
    <cellStyle name="20% - Accent2 2 7" xfId="1628"/>
    <cellStyle name="20% - Accent2 2 8" xfId="1629"/>
    <cellStyle name="20% - Accent2 2 9" xfId="1630"/>
    <cellStyle name="20% - Accent2 3" xfId="56"/>
    <cellStyle name="20% - Accent2 3 2" xfId="1632"/>
    <cellStyle name="20% - Accent2 3 2 2" xfId="1633"/>
    <cellStyle name="20% - Accent2 3 2 2 2" xfId="1634"/>
    <cellStyle name="20% - Accent2 3 2 2 2 2" xfId="1635"/>
    <cellStyle name="20% - Accent2 3 2 2 3" xfId="1636"/>
    <cellStyle name="20% - Accent2 3 2 3" xfId="1637"/>
    <cellStyle name="20% - Accent2 3 2 3 2" xfId="1638"/>
    <cellStyle name="20% - Accent2 3 2 4" xfId="1639"/>
    <cellStyle name="20% - Accent2 3 3" xfId="1640"/>
    <cellStyle name="20% - Accent2 3 3 2" xfId="1641"/>
    <cellStyle name="20% - Accent2 3 3 2 2" xfId="1642"/>
    <cellStyle name="20% - Accent2 3 3 2 2 2" xfId="1643"/>
    <cellStyle name="20% - Accent2 3 3 2 3" xfId="1644"/>
    <cellStyle name="20% - Accent2 3 3 3" xfId="1645"/>
    <cellStyle name="20% - Accent2 3 3 3 2" xfId="1646"/>
    <cellStyle name="20% - Accent2 3 3 4" xfId="1647"/>
    <cellStyle name="20% - Accent2 3 4" xfId="1648"/>
    <cellStyle name="20% - Accent2 3 4 2" xfId="1649"/>
    <cellStyle name="20% - Accent2 3 4 2 2" xfId="1650"/>
    <cellStyle name="20% - Accent2 3 4 3" xfId="1651"/>
    <cellStyle name="20% - Accent2 3 5" xfId="1652"/>
    <cellStyle name="20% - Accent2 3 5 2" xfId="1653"/>
    <cellStyle name="20% - Accent2 3 6" xfId="1654"/>
    <cellStyle name="20% - Accent2 3 7" xfId="1631"/>
    <cellStyle name="20% - Accent2 4" xfId="57"/>
    <cellStyle name="20% - Accent2 4 2" xfId="1655"/>
    <cellStyle name="20% - Accent2 5" xfId="58"/>
    <cellStyle name="20% - Accent2 5 2" xfId="1656"/>
    <cellStyle name="20% - Accent2 6" xfId="59"/>
    <cellStyle name="20% - Accent2 6 2" xfId="1657"/>
    <cellStyle name="20% - Accent2 7" xfId="60"/>
    <cellStyle name="20% - Accent2 7 2" xfId="1658"/>
    <cellStyle name="20% - Accent2 8" xfId="61"/>
    <cellStyle name="20% - Accent2 8 2" xfId="1659"/>
    <cellStyle name="20% - Accent2 9" xfId="62"/>
    <cellStyle name="20% - Accent3 10" xfId="63"/>
    <cellStyle name="20% - Accent3 11" xfId="64"/>
    <cellStyle name="20% - Accent3 12" xfId="65"/>
    <cellStyle name="20% - Accent3 13" xfId="66"/>
    <cellStyle name="20% - Accent3 14" xfId="67"/>
    <cellStyle name="20% - Accent3 15" xfId="68"/>
    <cellStyle name="20% - Accent3 16" xfId="69"/>
    <cellStyle name="20% - Accent3 2" xfId="70"/>
    <cellStyle name="20% - Accent3 2 10" xfId="1661"/>
    <cellStyle name="20% - Accent3 2 11" xfId="1660"/>
    <cellStyle name="20% - Accent3 2 2" xfId="71"/>
    <cellStyle name="20% - Accent3 2 2 2" xfId="1663"/>
    <cellStyle name="20% - Accent3 2 2 2 2" xfId="8325"/>
    <cellStyle name="20% - Accent3 2 2 2 2 2" xfId="11222"/>
    <cellStyle name="20% - Accent3 2 2 2 3" xfId="9782"/>
    <cellStyle name="20% - Accent3 2 2 2 4" xfId="6845"/>
    <cellStyle name="20% - Accent3 2 2 3" xfId="1664"/>
    <cellStyle name="20% - Accent3 2 2 3 2" xfId="10564"/>
    <cellStyle name="20% - Accent3 2 2 3 3" xfId="7664"/>
    <cellStyle name="20% - Accent3 2 2 4" xfId="1662"/>
    <cellStyle name="20% - Accent3 2 2 4 2" xfId="9124"/>
    <cellStyle name="20% - Accent3 2 2 5" xfId="6138"/>
    <cellStyle name="20% - Accent3 2 3" xfId="72"/>
    <cellStyle name="20% - Accent3 2 3 2" xfId="1666"/>
    <cellStyle name="20% - Accent3 2 3 3" xfId="1665"/>
    <cellStyle name="20% - Accent3 2 4" xfId="1667"/>
    <cellStyle name="20% - Accent3 2 5" xfId="1668"/>
    <cellStyle name="20% - Accent3 2 6" xfId="1669"/>
    <cellStyle name="20% - Accent3 2 7" xfId="1670"/>
    <cellStyle name="20% - Accent3 2 8" xfId="1671"/>
    <cellStyle name="20% - Accent3 2 9" xfId="1672"/>
    <cellStyle name="20% - Accent3 3" xfId="73"/>
    <cellStyle name="20% - Accent3 3 2" xfId="1674"/>
    <cellStyle name="20% - Accent3 3 2 2" xfId="1675"/>
    <cellStyle name="20% - Accent3 3 2 2 2" xfId="1676"/>
    <cellStyle name="20% - Accent3 3 2 2 2 2" xfId="1677"/>
    <cellStyle name="20% - Accent3 3 2 2 3" xfId="1678"/>
    <cellStyle name="20% - Accent3 3 2 3" xfId="1679"/>
    <cellStyle name="20% - Accent3 3 2 3 2" xfId="1680"/>
    <cellStyle name="20% - Accent3 3 2 4" xfId="1681"/>
    <cellStyle name="20% - Accent3 3 3" xfId="1682"/>
    <cellStyle name="20% - Accent3 3 3 2" xfId="1683"/>
    <cellStyle name="20% - Accent3 3 3 2 2" xfId="1684"/>
    <cellStyle name="20% - Accent3 3 3 2 2 2" xfId="1685"/>
    <cellStyle name="20% - Accent3 3 3 2 3" xfId="1686"/>
    <cellStyle name="20% - Accent3 3 3 3" xfId="1687"/>
    <cellStyle name="20% - Accent3 3 3 3 2" xfId="1688"/>
    <cellStyle name="20% - Accent3 3 3 4" xfId="1689"/>
    <cellStyle name="20% - Accent3 3 4" xfId="1690"/>
    <cellStyle name="20% - Accent3 3 4 2" xfId="1691"/>
    <cellStyle name="20% - Accent3 3 4 2 2" xfId="1692"/>
    <cellStyle name="20% - Accent3 3 4 3" xfId="1693"/>
    <cellStyle name="20% - Accent3 3 5" xfId="1694"/>
    <cellStyle name="20% - Accent3 3 5 2" xfId="1695"/>
    <cellStyle name="20% - Accent3 3 6" xfId="1696"/>
    <cellStyle name="20% - Accent3 3 7" xfId="1673"/>
    <cellStyle name="20% - Accent3 4" xfId="74"/>
    <cellStyle name="20% - Accent3 4 2" xfId="1697"/>
    <cellStyle name="20% - Accent3 5" xfId="75"/>
    <cellStyle name="20% - Accent3 5 2" xfId="1698"/>
    <cellStyle name="20% - Accent3 6" xfId="76"/>
    <cellStyle name="20% - Accent3 6 2" xfId="1699"/>
    <cellStyle name="20% - Accent3 7" xfId="77"/>
    <cellStyle name="20% - Accent3 7 2" xfId="1700"/>
    <cellStyle name="20% - Accent3 8" xfId="78"/>
    <cellStyle name="20% - Accent3 8 2" xfId="1701"/>
    <cellStyle name="20% - Accent3 9" xfId="79"/>
    <cellStyle name="20% - Accent4 10" xfId="80"/>
    <cellStyle name="20% - Accent4 11" xfId="81"/>
    <cellStyle name="20% - Accent4 12" xfId="82"/>
    <cellStyle name="20% - Accent4 13" xfId="83"/>
    <cellStyle name="20% - Accent4 14" xfId="84"/>
    <cellStyle name="20% - Accent4 15" xfId="85"/>
    <cellStyle name="20% - Accent4 16" xfId="86"/>
    <cellStyle name="20% - Accent4 2" xfId="87"/>
    <cellStyle name="20% - Accent4 2 10" xfId="1703"/>
    <cellStyle name="20% - Accent4 2 11" xfId="1702"/>
    <cellStyle name="20% - Accent4 2 2" xfId="88"/>
    <cellStyle name="20% - Accent4 2 2 2" xfId="1705"/>
    <cellStyle name="20% - Accent4 2 2 2 2" xfId="8327"/>
    <cellStyle name="20% - Accent4 2 2 2 2 2" xfId="11224"/>
    <cellStyle name="20% - Accent4 2 2 2 3" xfId="9784"/>
    <cellStyle name="20% - Accent4 2 2 2 4" xfId="6848"/>
    <cellStyle name="20% - Accent4 2 2 3" xfId="1706"/>
    <cellStyle name="20% - Accent4 2 2 3 2" xfId="10566"/>
    <cellStyle name="20% - Accent4 2 2 3 3" xfId="7666"/>
    <cellStyle name="20% - Accent4 2 2 4" xfId="1704"/>
    <cellStyle name="20% - Accent4 2 2 4 2" xfId="9126"/>
    <cellStyle name="20% - Accent4 2 2 5" xfId="6140"/>
    <cellStyle name="20% - Accent4 2 3" xfId="89"/>
    <cellStyle name="20% - Accent4 2 3 2" xfId="1708"/>
    <cellStyle name="20% - Accent4 2 3 3" xfId="1707"/>
    <cellStyle name="20% - Accent4 2 4" xfId="1709"/>
    <cellStyle name="20% - Accent4 2 5" xfId="1710"/>
    <cellStyle name="20% - Accent4 2 6" xfId="1711"/>
    <cellStyle name="20% - Accent4 2 7" xfId="1712"/>
    <cellStyle name="20% - Accent4 2 8" xfId="1713"/>
    <cellStyle name="20% - Accent4 2 9" xfId="1714"/>
    <cellStyle name="20% - Accent4 3" xfId="90"/>
    <cellStyle name="20% - Accent4 3 2" xfId="1716"/>
    <cellStyle name="20% - Accent4 3 2 2" xfId="1717"/>
    <cellStyle name="20% - Accent4 3 2 2 2" xfId="1718"/>
    <cellStyle name="20% - Accent4 3 2 2 2 2" xfId="1719"/>
    <cellStyle name="20% - Accent4 3 2 2 3" xfId="1720"/>
    <cellStyle name="20% - Accent4 3 2 3" xfId="1721"/>
    <cellStyle name="20% - Accent4 3 2 3 2" xfId="1722"/>
    <cellStyle name="20% - Accent4 3 2 4" xfId="1723"/>
    <cellStyle name="20% - Accent4 3 3" xfId="1724"/>
    <cellStyle name="20% - Accent4 3 3 2" xfId="1725"/>
    <cellStyle name="20% - Accent4 3 3 2 2" xfId="1726"/>
    <cellStyle name="20% - Accent4 3 3 2 2 2" xfId="1727"/>
    <cellStyle name="20% - Accent4 3 3 2 3" xfId="1728"/>
    <cellStyle name="20% - Accent4 3 3 3" xfId="1729"/>
    <cellStyle name="20% - Accent4 3 3 3 2" xfId="1730"/>
    <cellStyle name="20% - Accent4 3 3 4" xfId="1731"/>
    <cellStyle name="20% - Accent4 3 4" xfId="1732"/>
    <cellStyle name="20% - Accent4 3 4 2" xfId="1733"/>
    <cellStyle name="20% - Accent4 3 4 2 2" xfId="1734"/>
    <cellStyle name="20% - Accent4 3 4 3" xfId="1735"/>
    <cellStyle name="20% - Accent4 3 5" xfId="1736"/>
    <cellStyle name="20% - Accent4 3 5 2" xfId="1737"/>
    <cellStyle name="20% - Accent4 3 6" xfId="1738"/>
    <cellStyle name="20% - Accent4 3 7" xfId="1715"/>
    <cellStyle name="20% - Accent4 4" xfId="91"/>
    <cellStyle name="20% - Accent4 4 2" xfId="1739"/>
    <cellStyle name="20% - Accent4 5" xfId="92"/>
    <cellStyle name="20% - Accent4 5 2" xfId="1740"/>
    <cellStyle name="20% - Accent4 6" xfId="93"/>
    <cellStyle name="20% - Accent4 6 2" xfId="1741"/>
    <cellStyle name="20% - Accent4 7" xfId="94"/>
    <cellStyle name="20% - Accent4 7 2" xfId="1742"/>
    <cellStyle name="20% - Accent4 8" xfId="95"/>
    <cellStyle name="20% - Accent4 8 2" xfId="1743"/>
    <cellStyle name="20% - Accent4 9" xfId="96"/>
    <cellStyle name="20% - Accent5 10" xfId="97"/>
    <cellStyle name="20% - Accent5 11" xfId="98"/>
    <cellStyle name="20% - Accent5 12" xfId="99"/>
    <cellStyle name="20% - Accent5 13" xfId="100"/>
    <cellStyle name="20% - Accent5 14" xfId="101"/>
    <cellStyle name="20% - Accent5 15" xfId="102"/>
    <cellStyle name="20% - Accent5 16" xfId="103"/>
    <cellStyle name="20% - Accent5 2" xfId="104"/>
    <cellStyle name="20% - Accent5 2 10" xfId="1745"/>
    <cellStyle name="20% - Accent5 2 11" xfId="1744"/>
    <cellStyle name="20% - Accent5 2 2" xfId="105"/>
    <cellStyle name="20% - Accent5 2 2 2" xfId="1747"/>
    <cellStyle name="20% - Accent5 2 2 2 2" xfId="8329"/>
    <cellStyle name="20% - Accent5 2 2 2 2 2" xfId="11226"/>
    <cellStyle name="20% - Accent5 2 2 2 3" xfId="9786"/>
    <cellStyle name="20% - Accent5 2 2 2 4" xfId="6850"/>
    <cellStyle name="20% - Accent5 2 2 3" xfId="1748"/>
    <cellStyle name="20% - Accent5 2 2 3 2" xfId="10568"/>
    <cellStyle name="20% - Accent5 2 2 3 3" xfId="7668"/>
    <cellStyle name="20% - Accent5 2 2 4" xfId="1746"/>
    <cellStyle name="20% - Accent5 2 2 4 2" xfId="9128"/>
    <cellStyle name="20% - Accent5 2 2 5" xfId="6142"/>
    <cellStyle name="20% - Accent5 2 3" xfId="106"/>
    <cellStyle name="20% - Accent5 2 3 2" xfId="1750"/>
    <cellStyle name="20% - Accent5 2 3 3" xfId="1749"/>
    <cellStyle name="20% - Accent5 2 4" xfId="1751"/>
    <cellStyle name="20% - Accent5 2 5" xfId="1752"/>
    <cellStyle name="20% - Accent5 2 6" xfId="1753"/>
    <cellStyle name="20% - Accent5 2 7" xfId="1754"/>
    <cellStyle name="20% - Accent5 2 8" xfId="1755"/>
    <cellStyle name="20% - Accent5 2 9" xfId="1756"/>
    <cellStyle name="20% - Accent5 3" xfId="107"/>
    <cellStyle name="20% - Accent5 3 2" xfId="1758"/>
    <cellStyle name="20% - Accent5 3 2 2" xfId="1759"/>
    <cellStyle name="20% - Accent5 3 2 2 2" xfId="1760"/>
    <cellStyle name="20% - Accent5 3 2 2 2 2" xfId="1761"/>
    <cellStyle name="20% - Accent5 3 2 2 3" xfId="1762"/>
    <cellStyle name="20% - Accent5 3 2 3" xfId="1763"/>
    <cellStyle name="20% - Accent5 3 2 3 2" xfId="1764"/>
    <cellStyle name="20% - Accent5 3 2 4" xfId="1765"/>
    <cellStyle name="20% - Accent5 3 3" xfId="1766"/>
    <cellStyle name="20% - Accent5 3 3 2" xfId="1767"/>
    <cellStyle name="20% - Accent5 3 3 2 2" xfId="1768"/>
    <cellStyle name="20% - Accent5 3 3 2 2 2" xfId="1769"/>
    <cellStyle name="20% - Accent5 3 3 2 3" xfId="1770"/>
    <cellStyle name="20% - Accent5 3 3 3" xfId="1771"/>
    <cellStyle name="20% - Accent5 3 3 3 2" xfId="1772"/>
    <cellStyle name="20% - Accent5 3 3 4" xfId="1773"/>
    <cellStyle name="20% - Accent5 3 4" xfId="1774"/>
    <cellStyle name="20% - Accent5 3 4 2" xfId="1775"/>
    <cellStyle name="20% - Accent5 3 4 2 2" xfId="1776"/>
    <cellStyle name="20% - Accent5 3 4 3" xfId="1777"/>
    <cellStyle name="20% - Accent5 3 5" xfId="1778"/>
    <cellStyle name="20% - Accent5 3 5 2" xfId="1779"/>
    <cellStyle name="20% - Accent5 3 6" xfId="1780"/>
    <cellStyle name="20% - Accent5 3 7" xfId="1757"/>
    <cellStyle name="20% - Accent5 4" xfId="108"/>
    <cellStyle name="20% - Accent5 4 2" xfId="1781"/>
    <cellStyle name="20% - Accent5 5" xfId="109"/>
    <cellStyle name="20% - Accent5 5 2" xfId="1782"/>
    <cellStyle name="20% - Accent5 6" xfId="110"/>
    <cellStyle name="20% - Accent5 6 2" xfId="1783"/>
    <cellStyle name="20% - Accent5 7" xfId="111"/>
    <cellStyle name="20% - Accent5 7 2" xfId="1784"/>
    <cellStyle name="20% - Accent5 8" xfId="112"/>
    <cellStyle name="20% - Accent5 8 2" xfId="1785"/>
    <cellStyle name="20% - Accent5 9" xfId="113"/>
    <cellStyle name="20% - Accent6 10" xfId="114"/>
    <cellStyle name="20% - Accent6 11" xfId="115"/>
    <cellStyle name="20% - Accent6 12" xfId="116"/>
    <cellStyle name="20% - Accent6 13" xfId="117"/>
    <cellStyle name="20% - Accent6 14" xfId="118"/>
    <cellStyle name="20% - Accent6 15" xfId="119"/>
    <cellStyle name="20% - Accent6 16" xfId="120"/>
    <cellStyle name="20% - Accent6 2" xfId="121"/>
    <cellStyle name="20% - Accent6 2 10" xfId="1787"/>
    <cellStyle name="20% - Accent6 2 11" xfId="1786"/>
    <cellStyle name="20% - Accent6 2 2" xfId="122"/>
    <cellStyle name="20% - Accent6 2 2 2" xfId="1789"/>
    <cellStyle name="20% - Accent6 2 2 2 2" xfId="8331"/>
    <cellStyle name="20% - Accent6 2 2 2 2 2" xfId="11228"/>
    <cellStyle name="20% - Accent6 2 2 2 3" xfId="9788"/>
    <cellStyle name="20% - Accent6 2 2 2 4" xfId="6852"/>
    <cellStyle name="20% - Accent6 2 2 3" xfId="1790"/>
    <cellStyle name="20% - Accent6 2 2 3 2" xfId="10570"/>
    <cellStyle name="20% - Accent6 2 2 3 3" xfId="7670"/>
    <cellStyle name="20% - Accent6 2 2 4" xfId="1788"/>
    <cellStyle name="20% - Accent6 2 2 4 2" xfId="9130"/>
    <cellStyle name="20% - Accent6 2 2 5" xfId="6144"/>
    <cellStyle name="20% - Accent6 2 3" xfId="123"/>
    <cellStyle name="20% - Accent6 2 3 2" xfId="1792"/>
    <cellStyle name="20% - Accent6 2 3 3" xfId="1791"/>
    <cellStyle name="20% - Accent6 2 4" xfId="1793"/>
    <cellStyle name="20% - Accent6 2 5" xfId="1794"/>
    <cellStyle name="20% - Accent6 2 6" xfId="1795"/>
    <cellStyle name="20% - Accent6 2 7" xfId="1796"/>
    <cellStyle name="20% - Accent6 2 8" xfId="1797"/>
    <cellStyle name="20% - Accent6 2 9" xfId="1798"/>
    <cellStyle name="20% - Accent6 3" xfId="124"/>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3 7" xfId="1799"/>
    <cellStyle name="20% - Accent6 4" xfId="125"/>
    <cellStyle name="20% - Accent6 4 2" xfId="1823"/>
    <cellStyle name="20% - Accent6 5" xfId="126"/>
    <cellStyle name="20% - Accent6 5 2" xfId="1824"/>
    <cellStyle name="20% - Accent6 6" xfId="127"/>
    <cellStyle name="20% - Accent6 6 2" xfId="1825"/>
    <cellStyle name="20% - Accent6 7" xfId="128"/>
    <cellStyle name="20% - Accent6 7 2" xfId="1826"/>
    <cellStyle name="20% - Accent6 8" xfId="129"/>
    <cellStyle name="20% - Accent6 8 2" xfId="1827"/>
    <cellStyle name="20% - Accent6 9" xfId="130"/>
    <cellStyle name="40% - Accent1 10" xfId="131"/>
    <cellStyle name="40% - Accent1 11" xfId="132"/>
    <cellStyle name="40% - Accent1 12" xfId="133"/>
    <cellStyle name="40% - Accent1 13" xfId="134"/>
    <cellStyle name="40% - Accent1 14" xfId="135"/>
    <cellStyle name="40% - Accent1 15" xfId="136"/>
    <cellStyle name="40% - Accent1 16" xfId="137"/>
    <cellStyle name="40% - Accent1 2" xfId="138"/>
    <cellStyle name="40% - Accent1 2 10" xfId="1829"/>
    <cellStyle name="40% - Accent1 2 11" xfId="1828"/>
    <cellStyle name="40% - Accent1 2 2" xfId="139"/>
    <cellStyle name="40% - Accent1 2 2 2" xfId="1831"/>
    <cellStyle name="40% - Accent1 2 2 2 2" xfId="8322"/>
    <cellStyle name="40% - Accent1 2 2 2 2 2" xfId="11219"/>
    <cellStyle name="40% - Accent1 2 2 2 3" xfId="9779"/>
    <cellStyle name="40% - Accent1 2 2 2 4" xfId="6842"/>
    <cellStyle name="40% - Accent1 2 2 3" xfId="1832"/>
    <cellStyle name="40% - Accent1 2 2 3 2" xfId="10561"/>
    <cellStyle name="40% - Accent1 2 2 3 3" xfId="7661"/>
    <cellStyle name="40% - Accent1 2 2 4" xfId="1830"/>
    <cellStyle name="40% - Accent1 2 2 4 2" xfId="9121"/>
    <cellStyle name="40% - Accent1 2 2 5" xfId="6135"/>
    <cellStyle name="40% - Accent1 2 3" xfId="140"/>
    <cellStyle name="40% - Accent1 2 3 2" xfId="1834"/>
    <cellStyle name="40% - Accent1 2 3 3" xfId="1833"/>
    <cellStyle name="40% - Accent1 2 4" xfId="1835"/>
    <cellStyle name="40% - Accent1 2 5" xfId="1836"/>
    <cellStyle name="40% - Accent1 2 6" xfId="1837"/>
    <cellStyle name="40% - Accent1 2 7" xfId="1838"/>
    <cellStyle name="40% - Accent1 2 8" xfId="1839"/>
    <cellStyle name="40% - Accent1 2 9" xfId="1840"/>
    <cellStyle name="40% - Accent1 3" xfId="141"/>
    <cellStyle name="40% - Accent1 3 2" xfId="1842"/>
    <cellStyle name="40% - Accent1 3 2 2" xfId="1843"/>
    <cellStyle name="40% - Accent1 3 2 2 2" xfId="1844"/>
    <cellStyle name="40% - Accent1 3 2 2 2 2" xfId="1845"/>
    <cellStyle name="40% - Accent1 3 2 2 3" xfId="1846"/>
    <cellStyle name="40% - Accent1 3 2 3" xfId="1847"/>
    <cellStyle name="40% - Accent1 3 2 3 2" xfId="1848"/>
    <cellStyle name="40% - Accent1 3 2 4" xfId="1849"/>
    <cellStyle name="40% - Accent1 3 3" xfId="1850"/>
    <cellStyle name="40% - Accent1 3 3 2" xfId="1851"/>
    <cellStyle name="40% - Accent1 3 3 2 2" xfId="1852"/>
    <cellStyle name="40% - Accent1 3 3 2 2 2" xfId="1853"/>
    <cellStyle name="40% - Accent1 3 3 2 3" xfId="1854"/>
    <cellStyle name="40% - Accent1 3 3 3" xfId="1855"/>
    <cellStyle name="40% - Accent1 3 3 3 2" xfId="1856"/>
    <cellStyle name="40% - Accent1 3 3 4" xfId="1857"/>
    <cellStyle name="40% - Accent1 3 4" xfId="1858"/>
    <cellStyle name="40% - Accent1 3 4 2" xfId="1859"/>
    <cellStyle name="40% - Accent1 3 4 2 2" xfId="1860"/>
    <cellStyle name="40% - Accent1 3 4 3" xfId="1861"/>
    <cellStyle name="40% - Accent1 3 5" xfId="1862"/>
    <cellStyle name="40% - Accent1 3 5 2" xfId="1863"/>
    <cellStyle name="40% - Accent1 3 6" xfId="1864"/>
    <cellStyle name="40% - Accent1 3 7" xfId="1841"/>
    <cellStyle name="40% - Accent1 4" xfId="142"/>
    <cellStyle name="40% - Accent1 4 2" xfId="1865"/>
    <cellStyle name="40% - Accent1 5" xfId="143"/>
    <cellStyle name="40% - Accent1 5 2" xfId="1866"/>
    <cellStyle name="40% - Accent1 6" xfId="144"/>
    <cellStyle name="40% - Accent1 6 2" xfId="1867"/>
    <cellStyle name="40% - Accent1 7" xfId="145"/>
    <cellStyle name="40% - Accent1 7 2" xfId="1868"/>
    <cellStyle name="40% - Accent1 8" xfId="146"/>
    <cellStyle name="40% - Accent1 8 2" xfId="1869"/>
    <cellStyle name="40% - Accent1 9" xfId="147"/>
    <cellStyle name="40% - Accent2 10" xfId="148"/>
    <cellStyle name="40% - Accent2 11" xfId="149"/>
    <cellStyle name="40% - Accent2 12" xfId="150"/>
    <cellStyle name="40% - Accent2 13" xfId="151"/>
    <cellStyle name="40% - Accent2 14" xfId="152"/>
    <cellStyle name="40% - Accent2 15" xfId="153"/>
    <cellStyle name="40% - Accent2 16" xfId="154"/>
    <cellStyle name="40% - Accent2 2" xfId="155"/>
    <cellStyle name="40% - Accent2 2 10" xfId="1871"/>
    <cellStyle name="40% - Accent2 2 11" xfId="1870"/>
    <cellStyle name="40% - Accent2 2 2" xfId="156"/>
    <cellStyle name="40% - Accent2 2 2 2" xfId="1873"/>
    <cellStyle name="40% - Accent2 2 2 2 2" xfId="8324"/>
    <cellStyle name="40% - Accent2 2 2 2 2 2" xfId="11221"/>
    <cellStyle name="40% - Accent2 2 2 2 3" xfId="9781"/>
    <cellStyle name="40% - Accent2 2 2 2 4" xfId="6844"/>
    <cellStyle name="40% - Accent2 2 2 3" xfId="1874"/>
    <cellStyle name="40% - Accent2 2 2 3 2" xfId="10563"/>
    <cellStyle name="40% - Accent2 2 2 3 3" xfId="7663"/>
    <cellStyle name="40% - Accent2 2 2 4" xfId="1872"/>
    <cellStyle name="40% - Accent2 2 2 4 2" xfId="9123"/>
    <cellStyle name="40% - Accent2 2 2 5" xfId="6137"/>
    <cellStyle name="40% - Accent2 2 3" xfId="157"/>
    <cellStyle name="40% - Accent2 2 3 2" xfId="1876"/>
    <cellStyle name="40% - Accent2 2 3 3" xfId="1875"/>
    <cellStyle name="40% - Accent2 2 4" xfId="1877"/>
    <cellStyle name="40% - Accent2 2 5" xfId="1878"/>
    <cellStyle name="40% - Accent2 2 6" xfId="1879"/>
    <cellStyle name="40% - Accent2 2 7" xfId="1880"/>
    <cellStyle name="40% - Accent2 2 8" xfId="1881"/>
    <cellStyle name="40% - Accent2 2 9" xfId="1882"/>
    <cellStyle name="40% - Accent2 3" xfId="158"/>
    <cellStyle name="40% - Accent2 3 2" xfId="1884"/>
    <cellStyle name="40% - Accent2 3 2 2" xfId="1885"/>
    <cellStyle name="40% - Accent2 3 2 2 2" xfId="1886"/>
    <cellStyle name="40% - Accent2 3 2 2 2 2" xfId="1887"/>
    <cellStyle name="40% - Accent2 3 2 2 3" xfId="1888"/>
    <cellStyle name="40% - Accent2 3 2 3" xfId="1889"/>
    <cellStyle name="40% - Accent2 3 2 3 2" xfId="1890"/>
    <cellStyle name="40% - Accent2 3 2 4" xfId="1891"/>
    <cellStyle name="40% - Accent2 3 3" xfId="1892"/>
    <cellStyle name="40% - Accent2 3 3 2" xfId="1893"/>
    <cellStyle name="40% - Accent2 3 3 2 2" xfId="1894"/>
    <cellStyle name="40% - Accent2 3 3 2 2 2" xfId="1895"/>
    <cellStyle name="40% - Accent2 3 3 2 3" xfId="1896"/>
    <cellStyle name="40% - Accent2 3 3 3" xfId="1897"/>
    <cellStyle name="40% - Accent2 3 3 3 2" xfId="1898"/>
    <cellStyle name="40% - Accent2 3 3 4" xfId="1899"/>
    <cellStyle name="40% - Accent2 3 4" xfId="1900"/>
    <cellStyle name="40% - Accent2 3 4 2" xfId="1901"/>
    <cellStyle name="40% - Accent2 3 4 2 2" xfId="1902"/>
    <cellStyle name="40% - Accent2 3 4 3" xfId="1903"/>
    <cellStyle name="40% - Accent2 3 5" xfId="1904"/>
    <cellStyle name="40% - Accent2 3 5 2" xfId="1905"/>
    <cellStyle name="40% - Accent2 3 6" xfId="1906"/>
    <cellStyle name="40% - Accent2 3 7" xfId="1883"/>
    <cellStyle name="40% - Accent2 4" xfId="159"/>
    <cellStyle name="40% - Accent2 4 2" xfId="1907"/>
    <cellStyle name="40% - Accent2 5" xfId="160"/>
    <cellStyle name="40% - Accent2 5 2" xfId="1908"/>
    <cellStyle name="40% - Accent2 6" xfId="161"/>
    <cellStyle name="40% - Accent2 6 2" xfId="1909"/>
    <cellStyle name="40% - Accent2 7" xfId="162"/>
    <cellStyle name="40% - Accent2 7 2" xfId="1910"/>
    <cellStyle name="40% - Accent2 8" xfId="163"/>
    <cellStyle name="40% - Accent2 8 2" xfId="1911"/>
    <cellStyle name="40% - Accent2 9" xfId="164"/>
    <cellStyle name="40% - Accent3 10" xfId="165"/>
    <cellStyle name="40% - Accent3 11" xfId="166"/>
    <cellStyle name="40% - Accent3 12" xfId="167"/>
    <cellStyle name="40% - Accent3 13" xfId="168"/>
    <cellStyle name="40% - Accent3 14" xfId="169"/>
    <cellStyle name="40% - Accent3 15" xfId="170"/>
    <cellStyle name="40% - Accent3 16" xfId="171"/>
    <cellStyle name="40% - Accent3 2" xfId="172"/>
    <cellStyle name="40% - Accent3 2 10" xfId="1913"/>
    <cellStyle name="40% - Accent3 2 11" xfId="1912"/>
    <cellStyle name="40% - Accent3 2 2" xfId="173"/>
    <cellStyle name="40% - Accent3 2 2 2" xfId="1915"/>
    <cellStyle name="40% - Accent3 2 2 2 2" xfId="8326"/>
    <cellStyle name="40% - Accent3 2 2 2 2 2" xfId="11223"/>
    <cellStyle name="40% - Accent3 2 2 2 3" xfId="9783"/>
    <cellStyle name="40% - Accent3 2 2 2 4" xfId="6846"/>
    <cellStyle name="40% - Accent3 2 2 3" xfId="1916"/>
    <cellStyle name="40% - Accent3 2 2 3 2" xfId="10565"/>
    <cellStyle name="40% - Accent3 2 2 3 3" xfId="7665"/>
    <cellStyle name="40% - Accent3 2 2 4" xfId="1914"/>
    <cellStyle name="40% - Accent3 2 2 4 2" xfId="9125"/>
    <cellStyle name="40% - Accent3 2 2 5" xfId="6139"/>
    <cellStyle name="40% - Accent3 2 3" xfId="174"/>
    <cellStyle name="40% - Accent3 2 3 2" xfId="1918"/>
    <cellStyle name="40% - Accent3 2 3 3" xfId="1917"/>
    <cellStyle name="40% - Accent3 2 4" xfId="1919"/>
    <cellStyle name="40% - Accent3 2 5" xfId="1920"/>
    <cellStyle name="40% - Accent3 2 6" xfId="1921"/>
    <cellStyle name="40% - Accent3 2 7" xfId="1922"/>
    <cellStyle name="40% - Accent3 2 8" xfId="1923"/>
    <cellStyle name="40% - Accent3 2 9" xfId="1924"/>
    <cellStyle name="40% - Accent3 3" xfId="175"/>
    <cellStyle name="40% - Accent3 3 2" xfId="1926"/>
    <cellStyle name="40% - Accent3 3 2 2" xfId="1927"/>
    <cellStyle name="40% - Accent3 3 2 2 2" xfId="1928"/>
    <cellStyle name="40% - Accent3 3 2 2 2 2" xfId="1929"/>
    <cellStyle name="40% - Accent3 3 2 2 3" xfId="1930"/>
    <cellStyle name="40% - Accent3 3 2 3" xfId="1931"/>
    <cellStyle name="40% - Accent3 3 2 3 2" xfId="1932"/>
    <cellStyle name="40% - Accent3 3 2 4" xfId="1933"/>
    <cellStyle name="40% - Accent3 3 3" xfId="1934"/>
    <cellStyle name="40% - Accent3 3 3 2" xfId="1935"/>
    <cellStyle name="40% - Accent3 3 3 2 2" xfId="1936"/>
    <cellStyle name="40% - Accent3 3 3 2 2 2" xfId="1937"/>
    <cellStyle name="40% - Accent3 3 3 2 3" xfId="1938"/>
    <cellStyle name="40% - Accent3 3 3 3" xfId="1939"/>
    <cellStyle name="40% - Accent3 3 3 3 2" xfId="1940"/>
    <cellStyle name="40% - Accent3 3 3 4" xfId="1941"/>
    <cellStyle name="40% - Accent3 3 4" xfId="1942"/>
    <cellStyle name="40% - Accent3 3 4 2" xfId="1943"/>
    <cellStyle name="40% - Accent3 3 4 2 2" xfId="1944"/>
    <cellStyle name="40% - Accent3 3 4 3" xfId="1945"/>
    <cellStyle name="40% - Accent3 3 5" xfId="1946"/>
    <cellStyle name="40% - Accent3 3 5 2" xfId="1947"/>
    <cellStyle name="40% - Accent3 3 6" xfId="1948"/>
    <cellStyle name="40% - Accent3 3 7" xfId="1925"/>
    <cellStyle name="40% - Accent3 4" xfId="176"/>
    <cellStyle name="40% - Accent3 4 2" xfId="1949"/>
    <cellStyle name="40% - Accent3 5" xfId="177"/>
    <cellStyle name="40% - Accent3 5 2" xfId="1950"/>
    <cellStyle name="40% - Accent3 6" xfId="178"/>
    <cellStyle name="40% - Accent3 6 2" xfId="1951"/>
    <cellStyle name="40% - Accent3 7" xfId="179"/>
    <cellStyle name="40% - Accent3 7 2" xfId="1952"/>
    <cellStyle name="40% - Accent3 8" xfId="180"/>
    <cellStyle name="40% - Accent3 8 2" xfId="1953"/>
    <cellStyle name="40% - Accent3 9" xfId="181"/>
    <cellStyle name="40% - Accent4 10" xfId="182"/>
    <cellStyle name="40% - Accent4 11" xfId="183"/>
    <cellStyle name="40% - Accent4 12" xfId="184"/>
    <cellStyle name="40% - Accent4 13" xfId="185"/>
    <cellStyle name="40% - Accent4 14" xfId="186"/>
    <cellStyle name="40% - Accent4 15" xfId="187"/>
    <cellStyle name="40% - Accent4 16" xfId="188"/>
    <cellStyle name="40% - Accent4 2" xfId="189"/>
    <cellStyle name="40% - Accent4 2 10" xfId="1955"/>
    <cellStyle name="40% - Accent4 2 11" xfId="1954"/>
    <cellStyle name="40% - Accent4 2 2" xfId="190"/>
    <cellStyle name="40% - Accent4 2 2 2" xfId="1957"/>
    <cellStyle name="40% - Accent4 2 2 2 2" xfId="8328"/>
    <cellStyle name="40% - Accent4 2 2 2 2 2" xfId="11225"/>
    <cellStyle name="40% - Accent4 2 2 2 3" xfId="9785"/>
    <cellStyle name="40% - Accent4 2 2 2 4" xfId="6849"/>
    <cellStyle name="40% - Accent4 2 2 3" xfId="1958"/>
    <cellStyle name="40% - Accent4 2 2 3 2" xfId="10567"/>
    <cellStyle name="40% - Accent4 2 2 3 3" xfId="7667"/>
    <cellStyle name="40% - Accent4 2 2 4" xfId="1956"/>
    <cellStyle name="40% - Accent4 2 2 4 2" xfId="9127"/>
    <cellStyle name="40% - Accent4 2 2 5" xfId="6141"/>
    <cellStyle name="40% - Accent4 2 3" xfId="191"/>
    <cellStyle name="40% - Accent4 2 3 2" xfId="1960"/>
    <cellStyle name="40% - Accent4 2 3 3" xfId="1959"/>
    <cellStyle name="40% - Accent4 2 4" xfId="1961"/>
    <cellStyle name="40% - Accent4 2 5" xfId="1962"/>
    <cellStyle name="40% - Accent4 2 6" xfId="1963"/>
    <cellStyle name="40% - Accent4 2 7" xfId="1964"/>
    <cellStyle name="40% - Accent4 2 8" xfId="1965"/>
    <cellStyle name="40% - Accent4 2 9" xfId="1966"/>
    <cellStyle name="40% - Accent4 3" xfId="192"/>
    <cellStyle name="40% - Accent4 3 2" xfId="1968"/>
    <cellStyle name="40% - Accent4 3 2 2" xfId="1969"/>
    <cellStyle name="40% - Accent4 3 2 2 2" xfId="1970"/>
    <cellStyle name="40% - Accent4 3 2 2 2 2" xfId="1971"/>
    <cellStyle name="40% - Accent4 3 2 2 3" xfId="1972"/>
    <cellStyle name="40% - Accent4 3 2 3" xfId="1973"/>
    <cellStyle name="40% - Accent4 3 2 3 2" xfId="1974"/>
    <cellStyle name="40% - Accent4 3 2 4" xfId="1975"/>
    <cellStyle name="40% - Accent4 3 3" xfId="1976"/>
    <cellStyle name="40% - Accent4 3 3 2" xfId="1977"/>
    <cellStyle name="40% - Accent4 3 3 2 2" xfId="1978"/>
    <cellStyle name="40% - Accent4 3 3 2 2 2" xfId="1979"/>
    <cellStyle name="40% - Accent4 3 3 2 3" xfId="1980"/>
    <cellStyle name="40% - Accent4 3 3 3" xfId="1981"/>
    <cellStyle name="40% - Accent4 3 3 3 2" xfId="1982"/>
    <cellStyle name="40% - Accent4 3 3 4" xfId="1983"/>
    <cellStyle name="40% - Accent4 3 4" xfId="1984"/>
    <cellStyle name="40% - Accent4 3 4 2" xfId="1985"/>
    <cellStyle name="40% - Accent4 3 4 2 2" xfId="1986"/>
    <cellStyle name="40% - Accent4 3 4 3" xfId="1987"/>
    <cellStyle name="40% - Accent4 3 5" xfId="1988"/>
    <cellStyle name="40% - Accent4 3 5 2" xfId="1989"/>
    <cellStyle name="40% - Accent4 3 6" xfId="1990"/>
    <cellStyle name="40% - Accent4 3 7" xfId="1967"/>
    <cellStyle name="40% - Accent4 4" xfId="193"/>
    <cellStyle name="40% - Accent4 4 2" xfId="1991"/>
    <cellStyle name="40% - Accent4 5" xfId="194"/>
    <cellStyle name="40% - Accent4 5 2" xfId="1992"/>
    <cellStyle name="40% - Accent4 6" xfId="195"/>
    <cellStyle name="40% - Accent4 6 2" xfId="1993"/>
    <cellStyle name="40% - Accent4 7" xfId="196"/>
    <cellStyle name="40% - Accent4 7 2" xfId="1994"/>
    <cellStyle name="40% - Accent4 8" xfId="197"/>
    <cellStyle name="40% - Accent4 8 2" xfId="1995"/>
    <cellStyle name="40% - Accent4 9" xfId="198"/>
    <cellStyle name="40% - Accent5 10" xfId="199"/>
    <cellStyle name="40% - Accent5 11" xfId="200"/>
    <cellStyle name="40% - Accent5 12" xfId="201"/>
    <cellStyle name="40% - Accent5 13" xfId="202"/>
    <cellStyle name="40% - Accent5 14" xfId="203"/>
    <cellStyle name="40% - Accent5 15" xfId="204"/>
    <cellStyle name="40% - Accent5 16" xfId="205"/>
    <cellStyle name="40% - Accent5 2" xfId="206"/>
    <cellStyle name="40% - Accent5 2 10" xfId="1997"/>
    <cellStyle name="40% - Accent5 2 11" xfId="1996"/>
    <cellStyle name="40% - Accent5 2 2" xfId="207"/>
    <cellStyle name="40% - Accent5 2 2 2" xfId="1999"/>
    <cellStyle name="40% - Accent5 2 2 2 2" xfId="8330"/>
    <cellStyle name="40% - Accent5 2 2 2 2 2" xfId="11227"/>
    <cellStyle name="40% - Accent5 2 2 2 3" xfId="9787"/>
    <cellStyle name="40% - Accent5 2 2 2 4" xfId="6851"/>
    <cellStyle name="40% - Accent5 2 2 3" xfId="2000"/>
    <cellStyle name="40% - Accent5 2 2 3 2" xfId="10569"/>
    <cellStyle name="40% - Accent5 2 2 3 3" xfId="7669"/>
    <cellStyle name="40% - Accent5 2 2 4" xfId="1998"/>
    <cellStyle name="40% - Accent5 2 2 4 2" xfId="9129"/>
    <cellStyle name="40% - Accent5 2 2 5" xfId="6143"/>
    <cellStyle name="40% - Accent5 2 3" xfId="208"/>
    <cellStyle name="40% - Accent5 2 3 2" xfId="2002"/>
    <cellStyle name="40% - Accent5 2 3 3" xfId="2001"/>
    <cellStyle name="40% - Accent5 2 4" xfId="2003"/>
    <cellStyle name="40% - Accent5 2 5" xfId="2004"/>
    <cellStyle name="40% - Accent5 2 6" xfId="2005"/>
    <cellStyle name="40% - Accent5 2 7" xfId="2006"/>
    <cellStyle name="40% - Accent5 2 8" xfId="2007"/>
    <cellStyle name="40% - Accent5 2 9" xfId="2008"/>
    <cellStyle name="40% - Accent5 3" xfId="209"/>
    <cellStyle name="40% - Accent5 3 2" xfId="2010"/>
    <cellStyle name="40% - Accent5 3 2 2" xfId="2011"/>
    <cellStyle name="40% - Accent5 3 2 2 2" xfId="2012"/>
    <cellStyle name="40% - Accent5 3 2 2 2 2" xfId="2013"/>
    <cellStyle name="40% - Accent5 3 2 2 3" xfId="2014"/>
    <cellStyle name="40% - Accent5 3 2 3" xfId="2015"/>
    <cellStyle name="40% - Accent5 3 2 3 2" xfId="2016"/>
    <cellStyle name="40% - Accent5 3 2 4" xfId="2017"/>
    <cellStyle name="40% - Accent5 3 3" xfId="2018"/>
    <cellStyle name="40% - Accent5 3 3 2" xfId="2019"/>
    <cellStyle name="40% - Accent5 3 3 2 2" xfId="2020"/>
    <cellStyle name="40% - Accent5 3 3 2 2 2" xfId="2021"/>
    <cellStyle name="40% - Accent5 3 3 2 3" xfId="2022"/>
    <cellStyle name="40% - Accent5 3 3 3" xfId="2023"/>
    <cellStyle name="40% - Accent5 3 3 3 2" xfId="2024"/>
    <cellStyle name="40% - Accent5 3 3 4" xfId="2025"/>
    <cellStyle name="40% - Accent5 3 4" xfId="2026"/>
    <cellStyle name="40% - Accent5 3 4 2" xfId="2027"/>
    <cellStyle name="40% - Accent5 3 4 2 2" xfId="2028"/>
    <cellStyle name="40% - Accent5 3 4 3" xfId="2029"/>
    <cellStyle name="40% - Accent5 3 5" xfId="2030"/>
    <cellStyle name="40% - Accent5 3 5 2" xfId="2031"/>
    <cellStyle name="40% - Accent5 3 6" xfId="2032"/>
    <cellStyle name="40% - Accent5 3 7" xfId="2009"/>
    <cellStyle name="40% - Accent5 4" xfId="210"/>
    <cellStyle name="40% - Accent5 4 2" xfId="2033"/>
    <cellStyle name="40% - Accent5 5" xfId="211"/>
    <cellStyle name="40% - Accent5 5 2" xfId="2034"/>
    <cellStyle name="40% - Accent5 6" xfId="212"/>
    <cellStyle name="40% - Accent5 6 2" xfId="2035"/>
    <cellStyle name="40% - Accent5 7" xfId="213"/>
    <cellStyle name="40% - Accent5 7 2" xfId="2036"/>
    <cellStyle name="40% - Accent5 8" xfId="214"/>
    <cellStyle name="40% - Accent5 8 2" xfId="2037"/>
    <cellStyle name="40% - Accent5 9" xfId="215"/>
    <cellStyle name="40% - Accent6 10" xfId="216"/>
    <cellStyle name="40% - Accent6 11" xfId="217"/>
    <cellStyle name="40% - Accent6 12" xfId="218"/>
    <cellStyle name="40% - Accent6 13" xfId="219"/>
    <cellStyle name="40% - Accent6 14" xfId="220"/>
    <cellStyle name="40% - Accent6 15" xfId="221"/>
    <cellStyle name="40% - Accent6 16" xfId="222"/>
    <cellStyle name="40% - Accent6 2" xfId="223"/>
    <cellStyle name="40% - Accent6 2 10" xfId="2039"/>
    <cellStyle name="40% - Accent6 2 11" xfId="2038"/>
    <cellStyle name="40% - Accent6 2 2" xfId="224"/>
    <cellStyle name="40% - Accent6 2 2 2" xfId="2041"/>
    <cellStyle name="40% - Accent6 2 2 2 2" xfId="8332"/>
    <cellStyle name="40% - Accent6 2 2 2 2 2" xfId="11229"/>
    <cellStyle name="40% - Accent6 2 2 2 3" xfId="9789"/>
    <cellStyle name="40% - Accent6 2 2 2 4" xfId="6853"/>
    <cellStyle name="40% - Accent6 2 2 3" xfId="2042"/>
    <cellStyle name="40% - Accent6 2 2 3 2" xfId="10571"/>
    <cellStyle name="40% - Accent6 2 2 3 3" xfId="7671"/>
    <cellStyle name="40% - Accent6 2 2 4" xfId="2040"/>
    <cellStyle name="40% - Accent6 2 2 4 2" xfId="9131"/>
    <cellStyle name="40% - Accent6 2 2 5" xfId="6145"/>
    <cellStyle name="40% - Accent6 2 3" xfId="225"/>
    <cellStyle name="40% - Accent6 2 3 2" xfId="2044"/>
    <cellStyle name="40% - Accent6 2 3 3" xfId="2043"/>
    <cellStyle name="40% - Accent6 2 4" xfId="2045"/>
    <cellStyle name="40% - Accent6 2 5" xfId="2046"/>
    <cellStyle name="40% - Accent6 2 6" xfId="2047"/>
    <cellStyle name="40% - Accent6 2 7" xfId="2048"/>
    <cellStyle name="40% - Accent6 2 8" xfId="2049"/>
    <cellStyle name="40% - Accent6 2 9" xfId="2050"/>
    <cellStyle name="40% - Accent6 3" xfId="226"/>
    <cellStyle name="40% - Accent6 3 2" xfId="2052"/>
    <cellStyle name="40% - Accent6 3 2 2" xfId="2053"/>
    <cellStyle name="40% - Accent6 3 2 2 2" xfId="2054"/>
    <cellStyle name="40% - Accent6 3 2 2 2 2" xfId="2055"/>
    <cellStyle name="40% - Accent6 3 2 2 3" xfId="2056"/>
    <cellStyle name="40% - Accent6 3 2 3" xfId="2057"/>
    <cellStyle name="40% - Accent6 3 2 3 2" xfId="2058"/>
    <cellStyle name="40% - Accent6 3 2 4" xfId="2059"/>
    <cellStyle name="40% - Accent6 3 3" xfId="2060"/>
    <cellStyle name="40% - Accent6 3 3 2" xfId="2061"/>
    <cellStyle name="40% - Accent6 3 3 2 2" xfId="2062"/>
    <cellStyle name="40% - Accent6 3 3 2 2 2" xfId="2063"/>
    <cellStyle name="40% - Accent6 3 3 2 3" xfId="2064"/>
    <cellStyle name="40% - Accent6 3 3 3" xfId="2065"/>
    <cellStyle name="40% - Accent6 3 3 3 2" xfId="2066"/>
    <cellStyle name="40% - Accent6 3 3 4" xfId="2067"/>
    <cellStyle name="40% - Accent6 3 4" xfId="2068"/>
    <cellStyle name="40% - Accent6 3 4 2" xfId="2069"/>
    <cellStyle name="40% - Accent6 3 4 2 2" xfId="2070"/>
    <cellStyle name="40% - Accent6 3 4 3" xfId="2071"/>
    <cellStyle name="40% - Accent6 3 5" xfId="2072"/>
    <cellStyle name="40% - Accent6 3 5 2" xfId="2073"/>
    <cellStyle name="40% - Accent6 3 6" xfId="2074"/>
    <cellStyle name="40% - Accent6 3 7" xfId="2051"/>
    <cellStyle name="40% - Accent6 4" xfId="227"/>
    <cellStyle name="40% - Accent6 4 2" xfId="2075"/>
    <cellStyle name="40% - Accent6 5" xfId="228"/>
    <cellStyle name="40% - Accent6 5 2" xfId="2076"/>
    <cellStyle name="40% - Accent6 6" xfId="229"/>
    <cellStyle name="40% - Accent6 6 2" xfId="2077"/>
    <cellStyle name="40% - Accent6 7" xfId="230"/>
    <cellStyle name="40% - Accent6 7 2" xfId="2078"/>
    <cellStyle name="40% - Accent6 8" xfId="231"/>
    <cellStyle name="40% - Accent6 8 2" xfId="2079"/>
    <cellStyle name="40% - Accent6 9" xfId="232"/>
    <cellStyle name="60% - Accent1 10" xfId="233"/>
    <cellStyle name="60% - Accent1 11" xfId="234"/>
    <cellStyle name="60% - Accent1 12" xfId="235"/>
    <cellStyle name="60% - Accent1 13" xfId="236"/>
    <cellStyle name="60% - Accent1 14" xfId="237"/>
    <cellStyle name="60% - Accent1 15" xfId="238"/>
    <cellStyle name="60% - Accent1 16" xfId="239"/>
    <cellStyle name="60% - Accent1 2" xfId="240"/>
    <cellStyle name="60% - Accent1 2 10" xfId="2080"/>
    <cellStyle name="60% - Accent1 2 2" xfId="241"/>
    <cellStyle name="60% - Accent1 2 2 2" xfId="2081"/>
    <cellStyle name="60% - Accent1 2 3" xfId="2082"/>
    <cellStyle name="60% - Accent1 2 4" xfId="2083"/>
    <cellStyle name="60% - Accent1 2 5" xfId="2084"/>
    <cellStyle name="60% - Accent1 2 6" xfId="2085"/>
    <cellStyle name="60% - Accent1 2 7" xfId="2086"/>
    <cellStyle name="60% - Accent1 2 8" xfId="2087"/>
    <cellStyle name="60% - Accent1 2 9" xfId="2088"/>
    <cellStyle name="60% - Accent1 3" xfId="242"/>
    <cellStyle name="60% - Accent1 4" xfId="243"/>
    <cellStyle name="60% - Accent1 5" xfId="244"/>
    <cellStyle name="60% - Accent1 6" xfId="245"/>
    <cellStyle name="60% - Accent1 7" xfId="246"/>
    <cellStyle name="60% - Accent1 8" xfId="247"/>
    <cellStyle name="60% - Accent1 9" xfId="248"/>
    <cellStyle name="60% - Accent2 10" xfId="249"/>
    <cellStyle name="60% - Accent2 11" xfId="250"/>
    <cellStyle name="60% - Accent2 12" xfId="251"/>
    <cellStyle name="60% - Accent2 13" xfId="252"/>
    <cellStyle name="60% - Accent2 14" xfId="253"/>
    <cellStyle name="60% - Accent2 15" xfId="254"/>
    <cellStyle name="60% - Accent2 16" xfId="255"/>
    <cellStyle name="60% - Accent2 2" xfId="256"/>
    <cellStyle name="60% - Accent2 2 10" xfId="2089"/>
    <cellStyle name="60% - Accent2 2 2" xfId="257"/>
    <cellStyle name="60% - Accent2 2 2 2" xfId="2090"/>
    <cellStyle name="60% - Accent2 2 3" xfId="2091"/>
    <cellStyle name="60% - Accent2 2 4" xfId="2092"/>
    <cellStyle name="60% - Accent2 2 5" xfId="2093"/>
    <cellStyle name="60% - Accent2 2 6" xfId="2094"/>
    <cellStyle name="60% - Accent2 2 7" xfId="2095"/>
    <cellStyle name="60% - Accent2 2 8" xfId="2096"/>
    <cellStyle name="60% - Accent2 2 9" xfId="2097"/>
    <cellStyle name="60% - Accent2 3" xfId="258"/>
    <cellStyle name="60% - Accent2 4" xfId="259"/>
    <cellStyle name="60% - Accent2 5" xfId="260"/>
    <cellStyle name="60% - Accent2 6" xfId="261"/>
    <cellStyle name="60% - Accent2 7" xfId="262"/>
    <cellStyle name="60% - Accent2 8" xfId="263"/>
    <cellStyle name="60% - Accent2 9" xfId="264"/>
    <cellStyle name="60% - Accent3 10" xfId="265"/>
    <cellStyle name="60% - Accent3 11" xfId="266"/>
    <cellStyle name="60% - Accent3 12" xfId="267"/>
    <cellStyle name="60% - Accent3 13" xfId="268"/>
    <cellStyle name="60% - Accent3 14" xfId="269"/>
    <cellStyle name="60% - Accent3 15" xfId="270"/>
    <cellStyle name="60% - Accent3 16" xfId="271"/>
    <cellStyle name="60% - Accent3 2" xfId="272"/>
    <cellStyle name="60% - Accent3 2 10" xfId="2098"/>
    <cellStyle name="60% - Accent3 2 2" xfId="273"/>
    <cellStyle name="60% - Accent3 2 2 2" xfId="2099"/>
    <cellStyle name="60% - Accent3 2 3" xfId="2100"/>
    <cellStyle name="60% - Accent3 2 4" xfId="2101"/>
    <cellStyle name="60% - Accent3 2 5" xfId="2102"/>
    <cellStyle name="60% - Accent3 2 6" xfId="2103"/>
    <cellStyle name="60% - Accent3 2 7" xfId="2104"/>
    <cellStyle name="60% - Accent3 2 8" xfId="2105"/>
    <cellStyle name="60% - Accent3 2 9" xfId="2106"/>
    <cellStyle name="60% - Accent3 3" xfId="274"/>
    <cellStyle name="60% - Accent3 4" xfId="275"/>
    <cellStyle name="60% - Accent3 5" xfId="276"/>
    <cellStyle name="60% - Accent3 6" xfId="277"/>
    <cellStyle name="60% - Accent3 7" xfId="278"/>
    <cellStyle name="60% - Accent3 8" xfId="279"/>
    <cellStyle name="60% - Accent3 9" xfId="280"/>
    <cellStyle name="60% - Accent4 10" xfId="281"/>
    <cellStyle name="60% - Accent4 11" xfId="282"/>
    <cellStyle name="60% - Accent4 12" xfId="283"/>
    <cellStyle name="60% - Accent4 13" xfId="284"/>
    <cellStyle name="60% - Accent4 14" xfId="285"/>
    <cellStyle name="60% - Accent4 15" xfId="286"/>
    <cellStyle name="60% - Accent4 16" xfId="287"/>
    <cellStyle name="60% - Accent4 2" xfId="288"/>
    <cellStyle name="60% - Accent4 2 10" xfId="2107"/>
    <cellStyle name="60% - Accent4 2 2" xfId="289"/>
    <cellStyle name="60% - Accent4 2 2 2" xfId="2108"/>
    <cellStyle name="60% - Accent4 2 3" xfId="2109"/>
    <cellStyle name="60% - Accent4 2 4" xfId="2110"/>
    <cellStyle name="60% - Accent4 2 5" xfId="2111"/>
    <cellStyle name="60% - Accent4 2 6" xfId="2112"/>
    <cellStyle name="60% - Accent4 2 7" xfId="2113"/>
    <cellStyle name="60% - Accent4 2 8" xfId="2114"/>
    <cellStyle name="60% - Accent4 2 9" xfId="2115"/>
    <cellStyle name="60% - Accent4 3" xfId="290"/>
    <cellStyle name="60% - Accent4 4" xfId="291"/>
    <cellStyle name="60% - Accent4 5" xfId="292"/>
    <cellStyle name="60% - Accent4 6" xfId="293"/>
    <cellStyle name="60% - Accent4 7" xfId="294"/>
    <cellStyle name="60% - Accent4 8" xfId="295"/>
    <cellStyle name="60% - Accent4 9" xfId="296"/>
    <cellStyle name="60% - Accent5 10" xfId="297"/>
    <cellStyle name="60% - Accent5 11" xfId="298"/>
    <cellStyle name="60% - Accent5 12" xfId="299"/>
    <cellStyle name="60% - Accent5 13" xfId="300"/>
    <cellStyle name="60% - Accent5 14" xfId="301"/>
    <cellStyle name="60% - Accent5 15" xfId="302"/>
    <cellStyle name="60% - Accent5 16" xfId="303"/>
    <cellStyle name="60% - Accent5 2" xfId="304"/>
    <cellStyle name="60% - Accent5 2 10" xfId="2116"/>
    <cellStyle name="60% - Accent5 2 2" xfId="305"/>
    <cellStyle name="60% - Accent5 2 2 2" xfId="2117"/>
    <cellStyle name="60% - Accent5 2 3" xfId="2118"/>
    <cellStyle name="60% - Accent5 2 4" xfId="2119"/>
    <cellStyle name="60% - Accent5 2 5" xfId="2120"/>
    <cellStyle name="60% - Accent5 2 6" xfId="2121"/>
    <cellStyle name="60% - Accent5 2 7" xfId="2122"/>
    <cellStyle name="60% - Accent5 2 8" xfId="2123"/>
    <cellStyle name="60% - Accent5 2 9" xfId="2124"/>
    <cellStyle name="60% - Accent5 3" xfId="306"/>
    <cellStyle name="60% - Accent5 4" xfId="307"/>
    <cellStyle name="60% - Accent5 5" xfId="308"/>
    <cellStyle name="60% - Accent5 6" xfId="309"/>
    <cellStyle name="60% - Accent5 7" xfId="310"/>
    <cellStyle name="60% - Accent5 8" xfId="311"/>
    <cellStyle name="60% - Accent5 9" xfId="312"/>
    <cellStyle name="60% - Accent6 10" xfId="313"/>
    <cellStyle name="60% - Accent6 11" xfId="314"/>
    <cellStyle name="60% - Accent6 12" xfId="315"/>
    <cellStyle name="60% - Accent6 13" xfId="316"/>
    <cellStyle name="60% - Accent6 14" xfId="317"/>
    <cellStyle name="60% - Accent6 15" xfId="318"/>
    <cellStyle name="60% - Accent6 16" xfId="319"/>
    <cellStyle name="60% - Accent6 2" xfId="320"/>
    <cellStyle name="60% - Accent6 2 10" xfId="2125"/>
    <cellStyle name="60% - Accent6 2 2" xfId="321"/>
    <cellStyle name="60% - Accent6 2 2 2" xfId="2126"/>
    <cellStyle name="60% - Accent6 2 3" xfId="2127"/>
    <cellStyle name="60% - Accent6 2 4" xfId="2128"/>
    <cellStyle name="60% - Accent6 2 5" xfId="2129"/>
    <cellStyle name="60% - Accent6 2 6" xfId="2130"/>
    <cellStyle name="60% - Accent6 2 7" xfId="2131"/>
    <cellStyle name="60% - Accent6 2 8" xfId="2132"/>
    <cellStyle name="60% - Accent6 2 9" xfId="2133"/>
    <cellStyle name="60% - Accent6 3" xfId="322"/>
    <cellStyle name="60% - Accent6 4" xfId="323"/>
    <cellStyle name="60% - Accent6 5" xfId="324"/>
    <cellStyle name="60% - Accent6 6" xfId="325"/>
    <cellStyle name="60% - Accent6 7" xfId="326"/>
    <cellStyle name="60% - Accent6 8" xfId="327"/>
    <cellStyle name="60% - Accent6 9" xfId="328"/>
    <cellStyle name="A%" xfId="2134"/>
    <cellStyle name="Accent1 10" xfId="329"/>
    <cellStyle name="Accent1 11" xfId="330"/>
    <cellStyle name="Accent1 12" xfId="331"/>
    <cellStyle name="Accent1 13" xfId="332"/>
    <cellStyle name="Accent1 14" xfId="333"/>
    <cellStyle name="Accent1 15" xfId="334"/>
    <cellStyle name="Accent1 16" xfId="335"/>
    <cellStyle name="Accent1 2" xfId="336"/>
    <cellStyle name="Accent1 2 10" xfId="2135"/>
    <cellStyle name="Accent1 2 2" xfId="337"/>
    <cellStyle name="Accent1 2 2 2" xfId="2136"/>
    <cellStyle name="Accent1 2 3" xfId="2137"/>
    <cellStyle name="Accent1 2 4" xfId="2138"/>
    <cellStyle name="Accent1 2 5" xfId="2139"/>
    <cellStyle name="Accent1 2 6" xfId="2140"/>
    <cellStyle name="Accent1 2 7" xfId="2141"/>
    <cellStyle name="Accent1 2 8" xfId="2142"/>
    <cellStyle name="Accent1 2 9" xfId="2143"/>
    <cellStyle name="Accent1 3" xfId="338"/>
    <cellStyle name="Accent1 4" xfId="339"/>
    <cellStyle name="Accent1 5" xfId="340"/>
    <cellStyle name="Accent1 6" xfId="341"/>
    <cellStyle name="Accent1 7" xfId="342"/>
    <cellStyle name="Accent1 8" xfId="343"/>
    <cellStyle name="Accent1 9" xfId="344"/>
    <cellStyle name="Accent2 10" xfId="345"/>
    <cellStyle name="Accent2 11" xfId="346"/>
    <cellStyle name="Accent2 12" xfId="347"/>
    <cellStyle name="Accent2 13" xfId="348"/>
    <cellStyle name="Accent2 14" xfId="349"/>
    <cellStyle name="Accent2 15" xfId="350"/>
    <cellStyle name="Accent2 16" xfId="351"/>
    <cellStyle name="Accent2 2" xfId="352"/>
    <cellStyle name="Accent2 2 10" xfId="2144"/>
    <cellStyle name="Accent2 2 2" xfId="353"/>
    <cellStyle name="Accent2 2 2 2" xfId="2145"/>
    <cellStyle name="Accent2 2 3" xfId="2146"/>
    <cellStyle name="Accent2 2 4" xfId="2147"/>
    <cellStyle name="Accent2 2 5" xfId="2148"/>
    <cellStyle name="Accent2 2 6" xfId="2149"/>
    <cellStyle name="Accent2 2 7" xfId="2150"/>
    <cellStyle name="Accent2 2 8" xfId="2151"/>
    <cellStyle name="Accent2 2 9" xfId="2152"/>
    <cellStyle name="Accent2 3" xfId="354"/>
    <cellStyle name="Accent2 4" xfId="355"/>
    <cellStyle name="Accent2 5" xfId="356"/>
    <cellStyle name="Accent2 6" xfId="357"/>
    <cellStyle name="Accent2 7" xfId="358"/>
    <cellStyle name="Accent2 8" xfId="359"/>
    <cellStyle name="Accent2 9" xfId="360"/>
    <cellStyle name="Accent3 10" xfId="361"/>
    <cellStyle name="Accent3 11" xfId="362"/>
    <cellStyle name="Accent3 12" xfId="363"/>
    <cellStyle name="Accent3 13" xfId="364"/>
    <cellStyle name="Accent3 14" xfId="365"/>
    <cellStyle name="Accent3 15" xfId="366"/>
    <cellStyle name="Accent3 16" xfId="367"/>
    <cellStyle name="Accent3 2" xfId="368"/>
    <cellStyle name="Accent3 2 10" xfId="2153"/>
    <cellStyle name="Accent3 2 2" xfId="369"/>
    <cellStyle name="Accent3 2 2 2" xfId="2154"/>
    <cellStyle name="Accent3 2 3" xfId="2155"/>
    <cellStyle name="Accent3 2 4" xfId="2156"/>
    <cellStyle name="Accent3 2 5" xfId="2157"/>
    <cellStyle name="Accent3 2 6" xfId="2158"/>
    <cellStyle name="Accent3 2 7" xfId="2159"/>
    <cellStyle name="Accent3 2 8" xfId="2160"/>
    <cellStyle name="Accent3 2 9" xfId="2161"/>
    <cellStyle name="Accent3 3" xfId="370"/>
    <cellStyle name="Accent3 4" xfId="371"/>
    <cellStyle name="Accent3 5" xfId="372"/>
    <cellStyle name="Accent3 6" xfId="373"/>
    <cellStyle name="Accent3 7" xfId="374"/>
    <cellStyle name="Accent3 8" xfId="375"/>
    <cellStyle name="Accent3 9" xfId="376"/>
    <cellStyle name="Accent4 10" xfId="377"/>
    <cellStyle name="Accent4 11" xfId="378"/>
    <cellStyle name="Accent4 12" xfId="379"/>
    <cellStyle name="Accent4 13" xfId="380"/>
    <cellStyle name="Accent4 14" xfId="381"/>
    <cellStyle name="Accent4 15" xfId="382"/>
    <cellStyle name="Accent4 16" xfId="383"/>
    <cellStyle name="Accent4 2" xfId="384"/>
    <cellStyle name="Accent4 2 10" xfId="2162"/>
    <cellStyle name="Accent4 2 2" xfId="385"/>
    <cellStyle name="Accent4 2 2 2" xfId="2163"/>
    <cellStyle name="Accent4 2 3" xfId="2164"/>
    <cellStyle name="Accent4 2 4" xfId="2165"/>
    <cellStyle name="Accent4 2 5" xfId="2166"/>
    <cellStyle name="Accent4 2 6" xfId="2167"/>
    <cellStyle name="Accent4 2 7" xfId="2168"/>
    <cellStyle name="Accent4 2 8" xfId="2169"/>
    <cellStyle name="Accent4 2 9" xfId="2170"/>
    <cellStyle name="Accent4 3" xfId="386"/>
    <cellStyle name="Accent4 4" xfId="387"/>
    <cellStyle name="Accent4 5" xfId="388"/>
    <cellStyle name="Accent4 6" xfId="389"/>
    <cellStyle name="Accent4 7" xfId="390"/>
    <cellStyle name="Accent4 8" xfId="391"/>
    <cellStyle name="Accent4 9" xfId="392"/>
    <cellStyle name="Accent5 10" xfId="393"/>
    <cellStyle name="Accent5 11" xfId="394"/>
    <cellStyle name="Accent5 12" xfId="395"/>
    <cellStyle name="Accent5 13" xfId="396"/>
    <cellStyle name="Accent5 14" xfId="397"/>
    <cellStyle name="Accent5 15" xfId="398"/>
    <cellStyle name="Accent5 16" xfId="399"/>
    <cellStyle name="Accent5 2" xfId="400"/>
    <cellStyle name="Accent5 2 10" xfId="2171"/>
    <cellStyle name="Accent5 2 2" xfId="401"/>
    <cellStyle name="Accent5 2 2 2" xfId="2172"/>
    <cellStyle name="Accent5 2 3" xfId="2173"/>
    <cellStyle name="Accent5 2 4" xfId="2174"/>
    <cellStyle name="Accent5 2 5" xfId="2175"/>
    <cellStyle name="Accent5 2 6" xfId="2176"/>
    <cellStyle name="Accent5 2 7" xfId="2177"/>
    <cellStyle name="Accent5 2 8" xfId="2178"/>
    <cellStyle name="Accent5 2 9" xfId="2179"/>
    <cellStyle name="Accent5 3" xfId="402"/>
    <cellStyle name="Accent5 4" xfId="403"/>
    <cellStyle name="Accent5 5" xfId="404"/>
    <cellStyle name="Accent5 6" xfId="405"/>
    <cellStyle name="Accent5 7" xfId="406"/>
    <cellStyle name="Accent5 8" xfId="407"/>
    <cellStyle name="Accent5 9" xfId="408"/>
    <cellStyle name="Accent6 10" xfId="409"/>
    <cellStyle name="Accent6 11" xfId="410"/>
    <cellStyle name="Accent6 12" xfId="411"/>
    <cellStyle name="Accent6 13" xfId="412"/>
    <cellStyle name="Accent6 14" xfId="413"/>
    <cellStyle name="Accent6 15" xfId="414"/>
    <cellStyle name="Accent6 16" xfId="415"/>
    <cellStyle name="Accent6 2" xfId="416"/>
    <cellStyle name="Accent6 2 10" xfId="2180"/>
    <cellStyle name="Accent6 2 2" xfId="417"/>
    <cellStyle name="Accent6 2 2 2" xfId="2181"/>
    <cellStyle name="Accent6 2 3" xfId="2182"/>
    <cellStyle name="Accent6 2 4" xfId="2183"/>
    <cellStyle name="Accent6 2 5" xfId="2184"/>
    <cellStyle name="Accent6 2 6" xfId="2185"/>
    <cellStyle name="Accent6 2 7" xfId="2186"/>
    <cellStyle name="Accent6 2 8" xfId="2187"/>
    <cellStyle name="Accent6 2 9" xfId="2188"/>
    <cellStyle name="Accent6 3" xfId="418"/>
    <cellStyle name="Accent6 4" xfId="419"/>
    <cellStyle name="Accent6 5" xfId="420"/>
    <cellStyle name="Accent6 6" xfId="421"/>
    <cellStyle name="Accent6 7" xfId="422"/>
    <cellStyle name="Accent6 8" xfId="423"/>
    <cellStyle name="Accent6 9" xfId="424"/>
    <cellStyle name="Accounting w/$" xfId="2189"/>
    <cellStyle name="Accounting w/$ Total" xfId="2190"/>
    <cellStyle name="Accounting w/o $" xfId="2191"/>
    <cellStyle name="Acinput" xfId="2192"/>
    <cellStyle name="Acinput,," xfId="2193"/>
    <cellStyle name="Acinput_Merger Model_KN&amp;Fzio_v2.30 - Street" xfId="2194"/>
    <cellStyle name="Acoutput" xfId="2195"/>
    <cellStyle name="Acoutput,," xfId="2196"/>
    <cellStyle name="Acoutput_CAScomps02" xfId="2197"/>
    <cellStyle name="Actual Date" xfId="2198"/>
    <cellStyle name="AFE" xfId="2199"/>
    <cellStyle name="al" xfId="2200"/>
    <cellStyle name="Amount_EQU_RIGH.XLS_Equity market_Preferred Securities " xfId="2201"/>
    <cellStyle name="Apershare" xfId="2202"/>
    <cellStyle name="Aprice" xfId="2203"/>
    <cellStyle name="ar" xfId="2204"/>
    <cellStyle name="ar 2" xfId="6017"/>
    <cellStyle name="Arial 10" xfId="2205"/>
    <cellStyle name="Arial 12" xfId="2206"/>
    <cellStyle name="Availability" xfId="2207"/>
    <cellStyle name="Bad 10" xfId="425"/>
    <cellStyle name="Bad 11" xfId="426"/>
    <cellStyle name="Bad 12" xfId="427"/>
    <cellStyle name="Bad 13" xfId="428"/>
    <cellStyle name="Bad 14" xfId="429"/>
    <cellStyle name="Bad 15" xfId="430"/>
    <cellStyle name="Bad 16" xfId="431"/>
    <cellStyle name="Bad 2" xfId="432"/>
    <cellStyle name="Bad 2 10" xfId="2208"/>
    <cellStyle name="Bad 2 2" xfId="433"/>
    <cellStyle name="Bad 2 2 2" xfId="2209"/>
    <cellStyle name="Bad 2 3" xfId="2210"/>
    <cellStyle name="Bad 2 4" xfId="2211"/>
    <cellStyle name="Bad 2 5" xfId="2212"/>
    <cellStyle name="Bad 2 6" xfId="2213"/>
    <cellStyle name="Bad 2 7" xfId="2214"/>
    <cellStyle name="Bad 2 8" xfId="2215"/>
    <cellStyle name="Bad 2 9" xfId="2216"/>
    <cellStyle name="Bad 3" xfId="434"/>
    <cellStyle name="Bad 4" xfId="435"/>
    <cellStyle name="Bad 5" xfId="436"/>
    <cellStyle name="Bad 6" xfId="437"/>
    <cellStyle name="Bad 7" xfId="438"/>
    <cellStyle name="Bad 8" xfId="439"/>
    <cellStyle name="Bad 9" xfId="440"/>
    <cellStyle name="Band 2" xfId="2217"/>
    <cellStyle name="Blank" xfId="2218"/>
    <cellStyle name="Blue" xfId="2219"/>
    <cellStyle name="Bold/Border" xfId="2220"/>
    <cellStyle name="Border Heavy" xfId="2221"/>
    <cellStyle name="Border Thin" xfId="2222"/>
    <cellStyle name="Border, Bottom" xfId="2223"/>
    <cellStyle name="Border, Left" xfId="2224"/>
    <cellStyle name="Border, Right" xfId="2225"/>
    <cellStyle name="Border, Top" xfId="2226"/>
    <cellStyle name="Border, Top 2" xfId="5995"/>
    <cellStyle name="British Pound" xfId="2227"/>
    <cellStyle name="BritPound" xfId="2228"/>
    <cellStyle name="Bullet" xfId="2229"/>
    <cellStyle name="Calc Currency (0)" xfId="2230"/>
    <cellStyle name="Calc Currency (2)" xfId="2231"/>
    <cellStyle name="Calc Percent (0)" xfId="2232"/>
    <cellStyle name="Calc Percent (1)" xfId="2233"/>
    <cellStyle name="Calc Percent (2)" xfId="2234"/>
    <cellStyle name="Calc Units (0)" xfId="2235"/>
    <cellStyle name="Calc Units (1)" xfId="2236"/>
    <cellStyle name="Calc Units (2)" xfId="2237"/>
    <cellStyle name="Calculation 10" xfId="441"/>
    <cellStyle name="Calculation 11" xfId="442"/>
    <cellStyle name="Calculation 12" xfId="443"/>
    <cellStyle name="Calculation 13" xfId="444"/>
    <cellStyle name="Calculation 14" xfId="445"/>
    <cellStyle name="Calculation 15" xfId="446"/>
    <cellStyle name="Calculation 16" xfId="447"/>
    <cellStyle name="Calculation 16 2" xfId="6130"/>
    <cellStyle name="Calculation 2" xfId="448"/>
    <cellStyle name="Calculation 2 10" xfId="2238"/>
    <cellStyle name="Calculation 2 11" xfId="6016"/>
    <cellStyle name="Calculation 2 2" xfId="449"/>
    <cellStyle name="Calculation 2 2 2" xfId="2240"/>
    <cellStyle name="Calculation 2 2 3" xfId="2239"/>
    <cellStyle name="Calculation 2 2 4" xfId="6015"/>
    <cellStyle name="Calculation 2 3" xfId="2241"/>
    <cellStyle name="Calculation 2 4" xfId="2242"/>
    <cellStyle name="Calculation 2 5" xfId="2243"/>
    <cellStyle name="Calculation 2 6" xfId="2244"/>
    <cellStyle name="Calculation 2 7" xfId="2245"/>
    <cellStyle name="Calculation 2 8" xfId="2246"/>
    <cellStyle name="Calculation 2 9" xfId="2247"/>
    <cellStyle name="Calculation 3" xfId="450"/>
    <cellStyle name="Calculation 4" xfId="451"/>
    <cellStyle name="Calculation 5" xfId="452"/>
    <cellStyle name="Calculation 6" xfId="453"/>
    <cellStyle name="Calculation 7" xfId="454"/>
    <cellStyle name="Calculation 8" xfId="455"/>
    <cellStyle name="Calculation 9" xfId="456"/>
    <cellStyle name="Case" xfId="2248"/>
    <cellStyle name="Check" xfId="2249"/>
    <cellStyle name="Check Cell 10" xfId="457"/>
    <cellStyle name="Check Cell 11" xfId="458"/>
    <cellStyle name="Check Cell 12" xfId="459"/>
    <cellStyle name="Check Cell 13" xfId="460"/>
    <cellStyle name="Check Cell 14" xfId="461"/>
    <cellStyle name="Check Cell 15" xfId="462"/>
    <cellStyle name="Check Cell 16" xfId="463"/>
    <cellStyle name="Check Cell 2" xfId="464"/>
    <cellStyle name="Check Cell 2 10" xfId="2250"/>
    <cellStyle name="Check Cell 2 2" xfId="465"/>
    <cellStyle name="Check Cell 2 2 2" xfId="2251"/>
    <cellStyle name="Check Cell 2 3" xfId="2252"/>
    <cellStyle name="Check Cell 2 4" xfId="2253"/>
    <cellStyle name="Check Cell 2 5" xfId="2254"/>
    <cellStyle name="Check Cell 2 6" xfId="2255"/>
    <cellStyle name="Check Cell 2 7" xfId="2256"/>
    <cellStyle name="Check Cell 2 8" xfId="2257"/>
    <cellStyle name="Check Cell 2 9" xfId="2258"/>
    <cellStyle name="Check Cell 3" xfId="466"/>
    <cellStyle name="Check Cell 4" xfId="467"/>
    <cellStyle name="Check Cell 5" xfId="468"/>
    <cellStyle name="Check Cell 6" xfId="469"/>
    <cellStyle name="Check Cell 7" xfId="470"/>
    <cellStyle name="Check Cell 8" xfId="471"/>
    <cellStyle name="Check Cell 9" xfId="472"/>
    <cellStyle name="Chiffre" xfId="2259"/>
    <cellStyle name="Colhead_left" xfId="2260"/>
    <cellStyle name="ColHeading" xfId="2261"/>
    <cellStyle name="Column Title" xfId="2262"/>
    <cellStyle name="ColumnHeadings" xfId="2263"/>
    <cellStyle name="ColumnHeadings2" xfId="2264"/>
    <cellStyle name="Comma" xfId="1" builtinId="3"/>
    <cellStyle name="Comma  - Style1" xfId="2265"/>
    <cellStyle name="Comma  - Style2" xfId="2266"/>
    <cellStyle name="Comma  - Style3" xfId="2267"/>
    <cellStyle name="Comma  - Style4" xfId="2268"/>
    <cellStyle name="Comma  - Style5" xfId="2269"/>
    <cellStyle name="Comma  - Style6" xfId="2270"/>
    <cellStyle name="Comma  - Style7" xfId="2271"/>
    <cellStyle name="Comma  - Style8" xfId="2272"/>
    <cellStyle name="Comma ," xfId="2273"/>
    <cellStyle name="Comma [00]" xfId="2274"/>
    <cellStyle name="Comma [1]" xfId="2275"/>
    <cellStyle name="Comma [2]" xfId="2276"/>
    <cellStyle name="Comma [3]" xfId="2277"/>
    <cellStyle name="Comma 0" xfId="2278"/>
    <cellStyle name="Comma 0*" xfId="2279"/>
    <cellStyle name="Comma 0_Merger Model_KN&amp;Fzio_v2.30 - Street" xfId="2280"/>
    <cellStyle name="Comma 10" xfId="473"/>
    <cellStyle name="Comma 10 2" xfId="2282"/>
    <cellStyle name="Comma 10 3" xfId="2283"/>
    <cellStyle name="Comma 10 4" xfId="2284"/>
    <cellStyle name="Comma 10 5" xfId="2285"/>
    <cellStyle name="Comma 10 6" xfId="2281"/>
    <cellStyle name="Comma 10 7" xfId="6055"/>
    <cellStyle name="Comma 11" xfId="474"/>
    <cellStyle name="Comma 11 2" xfId="2286"/>
    <cellStyle name="Comma 12" xfId="1514"/>
    <cellStyle name="Comma 12 2" xfId="2287"/>
    <cellStyle name="Comma 13" xfId="1526"/>
    <cellStyle name="Comma 14" xfId="5502"/>
    <cellStyle name="Comma 15" xfId="6023"/>
    <cellStyle name="Comma 16" xfId="5986"/>
    <cellStyle name="Comma 2" xfId="5"/>
    <cellStyle name="Comma 2 10" xfId="2289"/>
    <cellStyle name="Comma 2 11" xfId="2290"/>
    <cellStyle name="Comma 2 11 2" xfId="2291"/>
    <cellStyle name="Comma 2 11 2 2" xfId="2292"/>
    <cellStyle name="Comma 2 11 3" xfId="2293"/>
    <cellStyle name="Comma 2 12" xfId="2294"/>
    <cellStyle name="Comma 2 12 2" xfId="2295"/>
    <cellStyle name="Comma 2 13" xfId="2296"/>
    <cellStyle name="Comma 2 14" xfId="2297"/>
    <cellStyle name="Comma 2 15" xfId="2298"/>
    <cellStyle name="Comma 2 16" xfId="2299"/>
    <cellStyle name="Comma 2 17" xfId="2300"/>
    <cellStyle name="Comma 2 18" xfId="2301"/>
    <cellStyle name="Comma 2 19" xfId="2302"/>
    <cellStyle name="Comma 2 2" xfId="475"/>
    <cellStyle name="Comma 2 2 10" xfId="2304"/>
    <cellStyle name="Comma 2 2 11" xfId="2305"/>
    <cellStyle name="Comma 2 2 12" xfId="2303"/>
    <cellStyle name="Comma 2 2 13" xfId="6051"/>
    <cellStyle name="Comma 2 2 2" xfId="476"/>
    <cellStyle name="Comma 2 2 2 2" xfId="2307"/>
    <cellStyle name="Comma 2 2 2 3" xfId="2306"/>
    <cellStyle name="Comma 2 2 3" xfId="2308"/>
    <cellStyle name="Comma 2 2 3 2" xfId="6069"/>
    <cellStyle name="Comma 2 2 4" xfId="2309"/>
    <cellStyle name="Comma 2 2 5" xfId="2310"/>
    <cellStyle name="Comma 2 2 6" xfId="2311"/>
    <cellStyle name="Comma 2 2 7" xfId="2312"/>
    <cellStyle name="Comma 2 2 8" xfId="2313"/>
    <cellStyle name="Comma 2 2 9" xfId="2314"/>
    <cellStyle name="Comma 2 20" xfId="2288"/>
    <cellStyle name="Comma 2 3" xfId="477"/>
    <cellStyle name="Comma 2 3 10" xfId="6095"/>
    <cellStyle name="Comma 2 3 2" xfId="2316"/>
    <cellStyle name="Comma 2 3 3" xfId="2317"/>
    <cellStyle name="Comma 2 3 4" xfId="2318"/>
    <cellStyle name="Comma 2 3 5" xfId="2319"/>
    <cellStyle name="Comma 2 3 6" xfId="2320"/>
    <cellStyle name="Comma 2 3 7" xfId="2321"/>
    <cellStyle name="Comma 2 3 8" xfId="2322"/>
    <cellStyle name="Comma 2 3 9" xfId="2315"/>
    <cellStyle name="Comma 2 4" xfId="478"/>
    <cellStyle name="Comma 2 4 2" xfId="2324"/>
    <cellStyle name="Comma 2 4 2 2" xfId="8334"/>
    <cellStyle name="Comma 2 4 2 2 2" xfId="11231"/>
    <cellStyle name="Comma 2 4 2 3" xfId="9791"/>
    <cellStyle name="Comma 2 4 2 4" xfId="6855"/>
    <cellStyle name="Comma 2 4 3" xfId="2325"/>
    <cellStyle name="Comma 2 4 3 2" xfId="10573"/>
    <cellStyle name="Comma 2 4 3 3" xfId="7673"/>
    <cellStyle name="Comma 2 4 4" xfId="2323"/>
    <cellStyle name="Comma 2 4 4 2" xfId="9133"/>
    <cellStyle name="Comma 2 4 5" xfId="6147"/>
    <cellStyle name="Comma 2 5" xfId="479"/>
    <cellStyle name="Comma 2 5 2" xfId="2327"/>
    <cellStyle name="Comma 2 5 2 2" xfId="2328"/>
    <cellStyle name="Comma 2 5 2 2 2" xfId="2329"/>
    <cellStyle name="Comma 2 5 2 2 2 2" xfId="2330"/>
    <cellStyle name="Comma 2 5 2 2 3" xfId="2331"/>
    <cellStyle name="Comma 2 5 2 3" xfId="2332"/>
    <cellStyle name="Comma 2 5 2 3 2" xfId="2333"/>
    <cellStyle name="Comma 2 5 2 4" xfId="2334"/>
    <cellStyle name="Comma 2 5 3" xfId="2335"/>
    <cellStyle name="Comma 2 5 3 2" xfId="2336"/>
    <cellStyle name="Comma 2 5 3 2 2" xfId="2337"/>
    <cellStyle name="Comma 2 5 3 2 2 2" xfId="2338"/>
    <cellStyle name="Comma 2 5 3 2 3" xfId="2339"/>
    <cellStyle name="Comma 2 5 3 3" xfId="2340"/>
    <cellStyle name="Comma 2 5 3 3 2" xfId="2341"/>
    <cellStyle name="Comma 2 5 3 4" xfId="2342"/>
    <cellStyle name="Comma 2 5 4" xfId="2343"/>
    <cellStyle name="Comma 2 5 4 2" xfId="2344"/>
    <cellStyle name="Comma 2 5 4 2 2" xfId="2345"/>
    <cellStyle name="Comma 2 5 4 3" xfId="2346"/>
    <cellStyle name="Comma 2 5 5" xfId="2347"/>
    <cellStyle name="Comma 2 5 5 2" xfId="2348"/>
    <cellStyle name="Comma 2 5 6" xfId="2349"/>
    <cellStyle name="Comma 2 5 7" xfId="2326"/>
    <cellStyle name="Comma 2 6" xfId="2350"/>
    <cellStyle name="Comma 2 6 2" xfId="2351"/>
    <cellStyle name="Comma 2 6 2 2" xfId="2352"/>
    <cellStyle name="Comma 2 6 2 2 2" xfId="2353"/>
    <cellStyle name="Comma 2 6 2 3" xfId="2354"/>
    <cellStyle name="Comma 2 6 3" xfId="2355"/>
    <cellStyle name="Comma 2 6 3 2" xfId="2356"/>
    <cellStyle name="Comma 2 6 4" xfId="2357"/>
    <cellStyle name="Comma 2 7" xfId="2358"/>
    <cellStyle name="Comma 2 7 2" xfId="2359"/>
    <cellStyle name="Comma 2 7 2 2" xfId="2360"/>
    <cellStyle name="Comma 2 7 2 2 2" xfId="2361"/>
    <cellStyle name="Comma 2 7 2 3" xfId="2362"/>
    <cellStyle name="Comma 2 7 3" xfId="2363"/>
    <cellStyle name="Comma 2 7 3 2" xfId="2364"/>
    <cellStyle name="Comma 2 7 4" xfId="2365"/>
    <cellStyle name="Comma 2 8" xfId="2366"/>
    <cellStyle name="Comma 2 9" xfId="2367"/>
    <cellStyle name="Comma 2 9 2" xfId="2368"/>
    <cellStyle name="Comma 2 9 2 2" xfId="2369"/>
    <cellStyle name="Comma 2 9 3" xfId="2370"/>
    <cellStyle name="Comma 2*" xfId="2371"/>
    <cellStyle name="Comma 3" xfId="6"/>
    <cellStyle name="Comma 3 10" xfId="2372"/>
    <cellStyle name="Comma 3 2" xfId="480"/>
    <cellStyle name="Comma 3 2 2" xfId="481"/>
    <cellStyle name="Comma 3 2 2 2" xfId="2374"/>
    <cellStyle name="Comma 3 2 2 2 2" xfId="6862"/>
    <cellStyle name="Comma 3 2 2 2 2 2" xfId="8340"/>
    <cellStyle name="Comma 3 2 2 2 2 2 2" xfId="11237"/>
    <cellStyle name="Comma 3 2 2 2 2 3" xfId="9797"/>
    <cellStyle name="Comma 3 2 2 2 3" xfId="7581"/>
    <cellStyle name="Comma 3 2 2 2 3 2" xfId="9039"/>
    <cellStyle name="Comma 3 2 2 2 3 2 2" xfId="11936"/>
    <cellStyle name="Comma 3 2 2 2 3 3" xfId="10496"/>
    <cellStyle name="Comma 3 2 2 2 4" xfId="7588"/>
    <cellStyle name="Comma 3 2 2 2 4 2" xfId="10500"/>
    <cellStyle name="Comma 3 2 2 2 5" xfId="9053"/>
    <cellStyle name="Comma 3 2 2 2 5 2" xfId="11940"/>
    <cellStyle name="Comma 3 2 2 2 6" xfId="9058"/>
    <cellStyle name="Comma 3 2 2 2 7" xfId="6048"/>
    <cellStyle name="Comma 3 2 2 3" xfId="7679"/>
    <cellStyle name="Comma 3 2 2 3 2" xfId="10579"/>
    <cellStyle name="Comma 3 2 2 4" xfId="9139"/>
    <cellStyle name="Comma 3 2 2 5" xfId="6154"/>
    <cellStyle name="Comma 3 2 3" xfId="482"/>
    <cellStyle name="Comma 3 2 3 2" xfId="7579"/>
    <cellStyle name="Comma 3 2 3 2 2" xfId="9037"/>
    <cellStyle name="Comma 3 2 3 2 2 2" xfId="11934"/>
    <cellStyle name="Comma 3 2 3 2 3" xfId="10494"/>
    <cellStyle name="Comma 3 2 3 3" xfId="7586"/>
    <cellStyle name="Comma 3 2 3 3 2" xfId="10498"/>
    <cellStyle name="Comma 3 2 3 4" xfId="9051"/>
    <cellStyle name="Comma 3 2 3 4 2" xfId="11938"/>
    <cellStyle name="Comma 3 2 3 5" xfId="9056"/>
    <cellStyle name="Comma 3 2 3 6" xfId="6046"/>
    <cellStyle name="Comma 3 2 4" xfId="1502"/>
    <cellStyle name="Comma 3 2 5" xfId="2373"/>
    <cellStyle name="Comma 3 3" xfId="483"/>
    <cellStyle name="Comma 3 3 2" xfId="2376"/>
    <cellStyle name="Comma 3 3 2 2" xfId="2377"/>
    <cellStyle name="Comma 3 3 2 2 2" xfId="11233"/>
    <cellStyle name="Comma 3 3 2 2 3" xfId="8336"/>
    <cellStyle name="Comma 3 3 2 3" xfId="9793"/>
    <cellStyle name="Comma 3 3 2 4" xfId="6857"/>
    <cellStyle name="Comma 3 3 3" xfId="2378"/>
    <cellStyle name="Comma 3 3 3 2" xfId="10575"/>
    <cellStyle name="Comma 3 3 3 3" xfId="7675"/>
    <cellStyle name="Comma 3 3 4" xfId="2379"/>
    <cellStyle name="Comma 3 3 4 2" xfId="9135"/>
    <cellStyle name="Comma 3 3 5" xfId="2375"/>
    <cellStyle name="Comma 3 3 6" xfId="6149"/>
    <cellStyle name="Comma 3 4" xfId="484"/>
    <cellStyle name="Comma 3 4 2" xfId="2381"/>
    <cellStyle name="Comma 3 4 2 2" xfId="8457"/>
    <cellStyle name="Comma 3 4 2 2 2" xfId="11354"/>
    <cellStyle name="Comma 3 4 2 3" xfId="9914"/>
    <cellStyle name="Comma 3 4 2 4" xfId="6980"/>
    <cellStyle name="Comma 3 4 3" xfId="2382"/>
    <cellStyle name="Comma 3 4 3 2" xfId="10696"/>
    <cellStyle name="Comma 3 4 3 3" xfId="7798"/>
    <cellStyle name="Comma 3 4 4" xfId="2380"/>
    <cellStyle name="Comma 3 4 4 2" xfId="9256"/>
    <cellStyle name="Comma 3 4 5" xfId="6295"/>
    <cellStyle name="Comma 3 5" xfId="485"/>
    <cellStyle name="Comma 3 5 2" xfId="2383"/>
    <cellStyle name="Comma 3 5 3" xfId="6056"/>
    <cellStyle name="Comma 3 6" xfId="1516"/>
    <cellStyle name="Comma 3 6 2" xfId="2384"/>
    <cellStyle name="Comma 3 7" xfId="2385"/>
    <cellStyle name="Comma 3 8" xfId="2386"/>
    <cellStyle name="Comma 3 9" xfId="2387"/>
    <cellStyle name="Comma 4" xfId="13"/>
    <cellStyle name="Comma 4 10" xfId="1503"/>
    <cellStyle name="Comma 4 10 2" xfId="2389"/>
    <cellStyle name="Comma 4 10 2 2" xfId="11884"/>
    <cellStyle name="Comma 4 10 2 3" xfId="8987"/>
    <cellStyle name="Comma 4 10 3" xfId="10444"/>
    <cellStyle name="Comma 4 10 4" xfId="7515"/>
    <cellStyle name="Comma 4 11" xfId="2390"/>
    <cellStyle name="Comma 4 11 2" xfId="8267"/>
    <cellStyle name="Comma 4 11 2 2" xfId="11164"/>
    <cellStyle name="Comma 4 11 3" xfId="9724"/>
    <cellStyle name="Comma 4 11 4" xfId="6786"/>
    <cellStyle name="Comma 4 12" xfId="2391"/>
    <cellStyle name="Comma 4 12 2" xfId="10507"/>
    <cellStyle name="Comma 4 12 3" xfId="7607"/>
    <cellStyle name="Comma 4 13" xfId="2392"/>
    <cellStyle name="Comma 4 13 2" xfId="9067"/>
    <cellStyle name="Comma 4 14" xfId="2393"/>
    <cellStyle name="Comma 4 15" xfId="2388"/>
    <cellStyle name="Comma 4 16" xfId="6070"/>
    <cellStyle name="Comma 4 2" xfId="486"/>
    <cellStyle name="Comma 4 2 10" xfId="7614"/>
    <cellStyle name="Comma 4 2 10 2" xfId="10514"/>
    <cellStyle name="Comma 4 2 11" xfId="9074"/>
    <cellStyle name="Comma 4 2 12" xfId="6079"/>
    <cellStyle name="Comma 4 2 2" xfId="487"/>
    <cellStyle name="Comma 4 2 2 10" xfId="9104"/>
    <cellStyle name="Comma 4 2 2 11" xfId="6116"/>
    <cellStyle name="Comma 4 2 2 2" xfId="488"/>
    <cellStyle name="Comma 4 2 2 2 2" xfId="489"/>
    <cellStyle name="Comma 4 2 2 2 2 2" xfId="490"/>
    <cellStyle name="Comma 4 2 2 2 2 2 2" xfId="7429"/>
    <cellStyle name="Comma 4 2 2 2 2 2 2 2" xfId="8906"/>
    <cellStyle name="Comma 4 2 2 2 2 2 2 2 2" xfId="11803"/>
    <cellStyle name="Comma 4 2 2 2 2 2 2 3" xfId="10363"/>
    <cellStyle name="Comma 4 2 2 2 2 2 3" xfId="8248"/>
    <cellStyle name="Comma 4 2 2 2 2 2 3 2" xfId="11145"/>
    <cellStyle name="Comma 4 2 2 2 2 2 4" xfId="9705"/>
    <cellStyle name="Comma 4 2 2 2 2 2 5" xfId="6753"/>
    <cellStyle name="Comma 4 2 2 2 2 3" xfId="2397"/>
    <cellStyle name="Comma 4 2 2 2 2 3 2" xfId="8673"/>
    <cellStyle name="Comma 4 2 2 2 2 3 2 2" xfId="11570"/>
    <cellStyle name="Comma 4 2 2 2 2 3 3" xfId="10130"/>
    <cellStyle name="Comma 4 2 2 2 2 3 4" xfId="7196"/>
    <cellStyle name="Comma 4 2 2 2 2 4" xfId="8015"/>
    <cellStyle name="Comma 4 2 2 2 2 4 2" xfId="10912"/>
    <cellStyle name="Comma 4 2 2 2 2 5" xfId="9472"/>
    <cellStyle name="Comma 4 2 2 2 2 6" xfId="6520"/>
    <cellStyle name="Comma 4 2 2 2 3" xfId="491"/>
    <cellStyle name="Comma 4 2 2 2 3 2" xfId="7313"/>
    <cellStyle name="Comma 4 2 2 2 3 2 2" xfId="8790"/>
    <cellStyle name="Comma 4 2 2 2 3 2 2 2" xfId="11687"/>
    <cellStyle name="Comma 4 2 2 2 3 2 3" xfId="10247"/>
    <cellStyle name="Comma 4 2 2 2 3 3" xfId="8132"/>
    <cellStyle name="Comma 4 2 2 2 3 3 2" xfId="11029"/>
    <cellStyle name="Comma 4 2 2 2 3 4" xfId="9589"/>
    <cellStyle name="Comma 4 2 2 2 3 5" xfId="6637"/>
    <cellStyle name="Comma 4 2 2 2 4" xfId="492"/>
    <cellStyle name="Comma 4 2 2 2 4 2" xfId="7080"/>
    <cellStyle name="Comma 4 2 2 2 4 2 2" xfId="8557"/>
    <cellStyle name="Comma 4 2 2 2 4 2 2 2" xfId="11454"/>
    <cellStyle name="Comma 4 2 2 2 4 2 3" xfId="10014"/>
    <cellStyle name="Comma 4 2 2 2 4 3" xfId="7898"/>
    <cellStyle name="Comma 4 2 2 2 4 3 2" xfId="10796"/>
    <cellStyle name="Comma 4 2 2 2 4 4" xfId="9356"/>
    <cellStyle name="Comma 4 2 2 2 4 5" xfId="6401"/>
    <cellStyle name="Comma 4 2 2 2 5" xfId="2396"/>
    <cellStyle name="Comma 4 2 2 2 5 2" xfId="8386"/>
    <cellStyle name="Comma 4 2 2 2 5 2 2" xfId="11283"/>
    <cellStyle name="Comma 4 2 2 2 5 3" xfId="9843"/>
    <cellStyle name="Comma 4 2 2 2 5 4" xfId="6908"/>
    <cellStyle name="Comma 4 2 2 2 6" xfId="7725"/>
    <cellStyle name="Comma 4 2 2 2 6 2" xfId="10625"/>
    <cellStyle name="Comma 4 2 2 2 7" xfId="9185"/>
    <cellStyle name="Comma 4 2 2 2 8" xfId="6204"/>
    <cellStyle name="Comma 4 2 2 3" xfId="493"/>
    <cellStyle name="Comma 4 2 2 3 2" xfId="494"/>
    <cellStyle name="Comma 4 2 2 3 2 2" xfId="7373"/>
    <cellStyle name="Comma 4 2 2 3 2 2 2" xfId="8850"/>
    <cellStyle name="Comma 4 2 2 3 2 2 2 2" xfId="11747"/>
    <cellStyle name="Comma 4 2 2 3 2 2 3" xfId="10307"/>
    <cellStyle name="Comma 4 2 2 3 2 3" xfId="8192"/>
    <cellStyle name="Comma 4 2 2 3 2 3 2" xfId="11089"/>
    <cellStyle name="Comma 4 2 2 3 2 4" xfId="9649"/>
    <cellStyle name="Comma 4 2 2 3 2 5" xfId="6697"/>
    <cellStyle name="Comma 4 2 2 3 3" xfId="495"/>
    <cellStyle name="Comma 4 2 2 3 3 2" xfId="7140"/>
    <cellStyle name="Comma 4 2 2 3 3 2 2" xfId="8617"/>
    <cellStyle name="Comma 4 2 2 3 3 2 2 2" xfId="11514"/>
    <cellStyle name="Comma 4 2 2 3 3 2 3" xfId="10074"/>
    <cellStyle name="Comma 4 2 2 3 3 3" xfId="7959"/>
    <cellStyle name="Comma 4 2 2 3 3 3 2" xfId="10856"/>
    <cellStyle name="Comma 4 2 2 3 3 4" xfId="9416"/>
    <cellStyle name="Comma 4 2 2 3 3 5" xfId="6464"/>
    <cellStyle name="Comma 4 2 2 3 4" xfId="2398"/>
    <cellStyle name="Comma 4 2 2 3 4 2" xfId="8442"/>
    <cellStyle name="Comma 4 2 2 3 4 2 2" xfId="11339"/>
    <cellStyle name="Comma 4 2 2 3 4 3" xfId="9899"/>
    <cellStyle name="Comma 4 2 2 3 4 4" xfId="6965"/>
    <cellStyle name="Comma 4 2 2 3 5" xfId="7782"/>
    <cellStyle name="Comma 4 2 2 3 5 2" xfId="10681"/>
    <cellStyle name="Comma 4 2 2 3 6" xfId="9241"/>
    <cellStyle name="Comma 4 2 2 3 7" xfId="6266"/>
    <cellStyle name="Comma 4 2 2 4" xfId="496"/>
    <cellStyle name="Comma 4 2 2 4 2" xfId="7257"/>
    <cellStyle name="Comma 4 2 2 4 2 2" xfId="8734"/>
    <cellStyle name="Comma 4 2 2 4 2 2 2" xfId="11631"/>
    <cellStyle name="Comma 4 2 2 4 2 3" xfId="10191"/>
    <cellStyle name="Comma 4 2 2 4 3" xfId="8076"/>
    <cellStyle name="Comma 4 2 2 4 3 2" xfId="10973"/>
    <cellStyle name="Comma 4 2 2 4 4" xfId="9533"/>
    <cellStyle name="Comma 4 2 2 4 5" xfId="6581"/>
    <cellStyle name="Comma 4 2 2 5" xfId="497"/>
    <cellStyle name="Comma 4 2 2 5 2" xfId="7024"/>
    <cellStyle name="Comma 4 2 2 5 2 2" xfId="8501"/>
    <cellStyle name="Comma 4 2 2 5 2 2 2" xfId="11398"/>
    <cellStyle name="Comma 4 2 2 5 2 3" xfId="9958"/>
    <cellStyle name="Comma 4 2 2 5 3" xfId="7842"/>
    <cellStyle name="Comma 4 2 2 5 3 2" xfId="10740"/>
    <cellStyle name="Comma 4 2 2 5 4" xfId="9300"/>
    <cellStyle name="Comma 4 2 2 5 5" xfId="6345"/>
    <cellStyle name="Comma 4 2 2 6" xfId="2395"/>
    <cellStyle name="Comma 4 2 2 6 2" xfId="8964"/>
    <cellStyle name="Comma 4 2 2 6 2 2" xfId="11861"/>
    <cellStyle name="Comma 4 2 2 6 3" xfId="10421"/>
    <cellStyle name="Comma 4 2 2 6 4" xfId="7490"/>
    <cellStyle name="Comma 4 2 2 7" xfId="7549"/>
    <cellStyle name="Comma 4 2 2 7 2" xfId="9021"/>
    <cellStyle name="Comma 4 2 2 7 2 2" xfId="11918"/>
    <cellStyle name="Comma 4 2 2 7 3" xfId="10478"/>
    <cellStyle name="Comma 4 2 2 8" xfId="6825"/>
    <cellStyle name="Comma 4 2 2 8 2" xfId="8305"/>
    <cellStyle name="Comma 4 2 2 8 2 2" xfId="11202"/>
    <cellStyle name="Comma 4 2 2 8 3" xfId="9762"/>
    <cellStyle name="Comma 4 2 2 9" xfId="7644"/>
    <cellStyle name="Comma 4 2 2 9 2" xfId="10544"/>
    <cellStyle name="Comma 4 2 3" xfId="498"/>
    <cellStyle name="Comma 4 2 3 2" xfId="499"/>
    <cellStyle name="Comma 4 2 3 2 2" xfId="500"/>
    <cellStyle name="Comma 4 2 3 2 2 2" xfId="7399"/>
    <cellStyle name="Comma 4 2 3 2 2 2 2" xfId="8876"/>
    <cellStyle name="Comma 4 2 3 2 2 2 2 2" xfId="11773"/>
    <cellStyle name="Comma 4 2 3 2 2 2 3" xfId="10333"/>
    <cellStyle name="Comma 4 2 3 2 2 3" xfId="8218"/>
    <cellStyle name="Comma 4 2 3 2 2 3 2" xfId="11115"/>
    <cellStyle name="Comma 4 2 3 2 2 4" xfId="9675"/>
    <cellStyle name="Comma 4 2 3 2 2 5" xfId="6723"/>
    <cellStyle name="Comma 4 2 3 2 3" xfId="2400"/>
    <cellStyle name="Comma 4 2 3 2 3 2" xfId="8643"/>
    <cellStyle name="Comma 4 2 3 2 3 2 2" xfId="11540"/>
    <cellStyle name="Comma 4 2 3 2 3 3" xfId="10100"/>
    <cellStyle name="Comma 4 2 3 2 3 4" xfId="7166"/>
    <cellStyle name="Comma 4 2 3 2 4" xfId="7985"/>
    <cellStyle name="Comma 4 2 3 2 4 2" xfId="10882"/>
    <cellStyle name="Comma 4 2 3 2 5" xfId="9442"/>
    <cellStyle name="Comma 4 2 3 2 6" xfId="6490"/>
    <cellStyle name="Comma 4 2 3 3" xfId="501"/>
    <cellStyle name="Comma 4 2 3 3 2" xfId="7283"/>
    <cellStyle name="Comma 4 2 3 3 2 2" xfId="8760"/>
    <cellStyle name="Comma 4 2 3 3 2 2 2" xfId="11657"/>
    <cellStyle name="Comma 4 2 3 3 2 3" xfId="10217"/>
    <cellStyle name="Comma 4 2 3 3 3" xfId="8102"/>
    <cellStyle name="Comma 4 2 3 3 3 2" xfId="10999"/>
    <cellStyle name="Comma 4 2 3 3 4" xfId="9559"/>
    <cellStyle name="Comma 4 2 3 3 5" xfId="6607"/>
    <cellStyle name="Comma 4 2 3 4" xfId="502"/>
    <cellStyle name="Comma 4 2 3 4 2" xfId="7050"/>
    <cellStyle name="Comma 4 2 3 4 2 2" xfId="8527"/>
    <cellStyle name="Comma 4 2 3 4 2 2 2" xfId="11424"/>
    <cellStyle name="Comma 4 2 3 4 2 3" xfId="9984"/>
    <cellStyle name="Comma 4 2 3 4 3" xfId="7868"/>
    <cellStyle name="Comma 4 2 3 4 3 2" xfId="10766"/>
    <cellStyle name="Comma 4 2 3 4 4" xfId="9326"/>
    <cellStyle name="Comma 4 2 3 4 5" xfId="6371"/>
    <cellStyle name="Comma 4 2 3 5" xfId="2399"/>
    <cellStyle name="Comma 4 2 3 5 2" xfId="8356"/>
    <cellStyle name="Comma 4 2 3 5 2 2" xfId="11253"/>
    <cellStyle name="Comma 4 2 3 5 3" xfId="9813"/>
    <cellStyle name="Comma 4 2 3 5 4" xfId="6878"/>
    <cellStyle name="Comma 4 2 3 6" xfId="7695"/>
    <cellStyle name="Comma 4 2 3 6 2" xfId="10595"/>
    <cellStyle name="Comma 4 2 3 7" xfId="9155"/>
    <cellStyle name="Comma 4 2 3 8" xfId="6173"/>
    <cellStyle name="Comma 4 2 4" xfId="503"/>
    <cellStyle name="Comma 4 2 4 2" xfId="504"/>
    <cellStyle name="Comma 4 2 4 2 2" xfId="7347"/>
    <cellStyle name="Comma 4 2 4 2 2 2" xfId="8824"/>
    <cellStyle name="Comma 4 2 4 2 2 2 2" xfId="11721"/>
    <cellStyle name="Comma 4 2 4 2 2 3" xfId="10281"/>
    <cellStyle name="Comma 4 2 4 2 3" xfId="8166"/>
    <cellStyle name="Comma 4 2 4 2 3 2" xfId="11063"/>
    <cellStyle name="Comma 4 2 4 2 4" xfId="9623"/>
    <cellStyle name="Comma 4 2 4 2 5" xfId="6671"/>
    <cellStyle name="Comma 4 2 4 3" xfId="505"/>
    <cellStyle name="Comma 4 2 4 3 2" xfId="7114"/>
    <cellStyle name="Comma 4 2 4 3 2 2" xfId="8591"/>
    <cellStyle name="Comma 4 2 4 3 2 2 2" xfId="11488"/>
    <cellStyle name="Comma 4 2 4 3 2 3" xfId="10048"/>
    <cellStyle name="Comma 4 2 4 3 3" xfId="7933"/>
    <cellStyle name="Comma 4 2 4 3 3 2" xfId="10830"/>
    <cellStyle name="Comma 4 2 4 3 4" xfId="9390"/>
    <cellStyle name="Comma 4 2 4 3 5" xfId="6438"/>
    <cellStyle name="Comma 4 2 4 4" xfId="2401"/>
    <cellStyle name="Comma 4 2 4 4 2" xfId="8412"/>
    <cellStyle name="Comma 4 2 4 4 2 2" xfId="11309"/>
    <cellStyle name="Comma 4 2 4 4 3" xfId="9869"/>
    <cellStyle name="Comma 4 2 4 4 4" xfId="6935"/>
    <cellStyle name="Comma 4 2 4 5" xfId="7752"/>
    <cellStyle name="Comma 4 2 4 5 2" xfId="10651"/>
    <cellStyle name="Comma 4 2 4 6" xfId="9211"/>
    <cellStyle name="Comma 4 2 4 7" xfId="6236"/>
    <cellStyle name="Comma 4 2 5" xfId="506"/>
    <cellStyle name="Comma 4 2 5 2" xfId="2402"/>
    <cellStyle name="Comma 4 2 5 2 2" xfId="8708"/>
    <cellStyle name="Comma 4 2 5 2 2 2" xfId="11605"/>
    <cellStyle name="Comma 4 2 5 2 3" xfId="10165"/>
    <cellStyle name="Comma 4 2 5 2 4" xfId="7231"/>
    <cellStyle name="Comma 4 2 5 3" xfId="8050"/>
    <cellStyle name="Comma 4 2 5 3 2" xfId="10947"/>
    <cellStyle name="Comma 4 2 5 4" xfId="9507"/>
    <cellStyle name="Comma 4 2 5 5" xfId="6555"/>
    <cellStyle name="Comma 4 2 6" xfId="507"/>
    <cellStyle name="Comma 4 2 6 2" xfId="6998"/>
    <cellStyle name="Comma 4 2 6 2 2" xfId="8475"/>
    <cellStyle name="Comma 4 2 6 2 2 2" xfId="11372"/>
    <cellStyle name="Comma 4 2 6 2 3" xfId="9932"/>
    <cellStyle name="Comma 4 2 6 3" xfId="7816"/>
    <cellStyle name="Comma 4 2 6 3 2" xfId="10714"/>
    <cellStyle name="Comma 4 2 6 4" xfId="9274"/>
    <cellStyle name="Comma 4 2 6 5" xfId="6319"/>
    <cellStyle name="Comma 4 2 7" xfId="2394"/>
    <cellStyle name="Comma 4 2 7 2" xfId="8938"/>
    <cellStyle name="Comma 4 2 7 2 2" xfId="11835"/>
    <cellStyle name="Comma 4 2 7 3" xfId="10395"/>
    <cellStyle name="Comma 4 2 7 4" xfId="7464"/>
    <cellStyle name="Comma 4 2 8" xfId="7523"/>
    <cellStyle name="Comma 4 2 8 2" xfId="8995"/>
    <cellStyle name="Comma 4 2 8 2 2" xfId="11892"/>
    <cellStyle name="Comma 4 2 8 3" xfId="10452"/>
    <cellStyle name="Comma 4 2 9" xfId="6794"/>
    <cellStyle name="Comma 4 2 9 2" xfId="8275"/>
    <cellStyle name="Comma 4 2 9 2 2" xfId="11172"/>
    <cellStyle name="Comma 4 2 9 3" xfId="9732"/>
    <cellStyle name="Comma 4 3" xfId="508"/>
    <cellStyle name="Comma 4 3 10" xfId="7622"/>
    <cellStyle name="Comma 4 3 10 2" xfId="10522"/>
    <cellStyle name="Comma 4 3 11" xfId="9082"/>
    <cellStyle name="Comma 4 3 12" xfId="6087"/>
    <cellStyle name="Comma 4 3 2" xfId="509"/>
    <cellStyle name="Comma 4 3 2 10" xfId="9112"/>
    <cellStyle name="Comma 4 3 2 11" xfId="6124"/>
    <cellStyle name="Comma 4 3 2 2" xfId="510"/>
    <cellStyle name="Comma 4 3 2 2 2" xfId="511"/>
    <cellStyle name="Comma 4 3 2 2 2 2" xfId="512"/>
    <cellStyle name="Comma 4 3 2 2 2 2 2" xfId="7437"/>
    <cellStyle name="Comma 4 3 2 2 2 2 2 2" xfId="8914"/>
    <cellStyle name="Comma 4 3 2 2 2 2 2 2 2" xfId="11811"/>
    <cellStyle name="Comma 4 3 2 2 2 2 2 3" xfId="10371"/>
    <cellStyle name="Comma 4 3 2 2 2 2 3" xfId="8256"/>
    <cellStyle name="Comma 4 3 2 2 2 2 3 2" xfId="11153"/>
    <cellStyle name="Comma 4 3 2 2 2 2 4" xfId="9713"/>
    <cellStyle name="Comma 4 3 2 2 2 2 5" xfId="6761"/>
    <cellStyle name="Comma 4 3 2 2 2 3" xfId="2406"/>
    <cellStyle name="Comma 4 3 2 2 2 3 2" xfId="8681"/>
    <cellStyle name="Comma 4 3 2 2 2 3 2 2" xfId="11578"/>
    <cellStyle name="Comma 4 3 2 2 2 3 3" xfId="10138"/>
    <cellStyle name="Comma 4 3 2 2 2 3 4" xfId="7204"/>
    <cellStyle name="Comma 4 3 2 2 2 4" xfId="8023"/>
    <cellStyle name="Comma 4 3 2 2 2 4 2" xfId="10920"/>
    <cellStyle name="Comma 4 3 2 2 2 5" xfId="9480"/>
    <cellStyle name="Comma 4 3 2 2 2 6" xfId="6528"/>
    <cellStyle name="Comma 4 3 2 2 3" xfId="513"/>
    <cellStyle name="Comma 4 3 2 2 3 2" xfId="7321"/>
    <cellStyle name="Comma 4 3 2 2 3 2 2" xfId="8798"/>
    <cellStyle name="Comma 4 3 2 2 3 2 2 2" xfId="11695"/>
    <cellStyle name="Comma 4 3 2 2 3 2 3" xfId="10255"/>
    <cellStyle name="Comma 4 3 2 2 3 3" xfId="8140"/>
    <cellStyle name="Comma 4 3 2 2 3 3 2" xfId="11037"/>
    <cellStyle name="Comma 4 3 2 2 3 4" xfId="9597"/>
    <cellStyle name="Comma 4 3 2 2 3 5" xfId="6645"/>
    <cellStyle name="Comma 4 3 2 2 4" xfId="514"/>
    <cellStyle name="Comma 4 3 2 2 4 2" xfId="7088"/>
    <cellStyle name="Comma 4 3 2 2 4 2 2" xfId="8565"/>
    <cellStyle name="Comma 4 3 2 2 4 2 2 2" xfId="11462"/>
    <cellStyle name="Comma 4 3 2 2 4 2 3" xfId="10022"/>
    <cellStyle name="Comma 4 3 2 2 4 3" xfId="7906"/>
    <cellStyle name="Comma 4 3 2 2 4 3 2" xfId="10804"/>
    <cellStyle name="Comma 4 3 2 2 4 4" xfId="9364"/>
    <cellStyle name="Comma 4 3 2 2 4 5" xfId="6409"/>
    <cellStyle name="Comma 4 3 2 2 5" xfId="2405"/>
    <cellStyle name="Comma 4 3 2 2 5 2" xfId="8394"/>
    <cellStyle name="Comma 4 3 2 2 5 2 2" xfId="11291"/>
    <cellStyle name="Comma 4 3 2 2 5 3" xfId="9851"/>
    <cellStyle name="Comma 4 3 2 2 5 4" xfId="6916"/>
    <cellStyle name="Comma 4 3 2 2 6" xfId="7733"/>
    <cellStyle name="Comma 4 3 2 2 6 2" xfId="10633"/>
    <cellStyle name="Comma 4 3 2 2 7" xfId="9193"/>
    <cellStyle name="Comma 4 3 2 2 8" xfId="6212"/>
    <cellStyle name="Comma 4 3 2 3" xfId="515"/>
    <cellStyle name="Comma 4 3 2 3 2" xfId="516"/>
    <cellStyle name="Comma 4 3 2 3 2 2" xfId="7381"/>
    <cellStyle name="Comma 4 3 2 3 2 2 2" xfId="8858"/>
    <cellStyle name="Comma 4 3 2 3 2 2 2 2" xfId="11755"/>
    <cellStyle name="Comma 4 3 2 3 2 2 3" xfId="10315"/>
    <cellStyle name="Comma 4 3 2 3 2 3" xfId="8200"/>
    <cellStyle name="Comma 4 3 2 3 2 3 2" xfId="11097"/>
    <cellStyle name="Comma 4 3 2 3 2 4" xfId="9657"/>
    <cellStyle name="Comma 4 3 2 3 2 5" xfId="6705"/>
    <cellStyle name="Comma 4 3 2 3 3" xfId="517"/>
    <cellStyle name="Comma 4 3 2 3 3 2" xfId="7148"/>
    <cellStyle name="Comma 4 3 2 3 3 2 2" xfId="8625"/>
    <cellStyle name="Comma 4 3 2 3 3 2 2 2" xfId="11522"/>
    <cellStyle name="Comma 4 3 2 3 3 2 3" xfId="10082"/>
    <cellStyle name="Comma 4 3 2 3 3 3" xfId="7967"/>
    <cellStyle name="Comma 4 3 2 3 3 3 2" xfId="10864"/>
    <cellStyle name="Comma 4 3 2 3 3 4" xfId="9424"/>
    <cellStyle name="Comma 4 3 2 3 3 5" xfId="6472"/>
    <cellStyle name="Comma 4 3 2 3 4" xfId="2407"/>
    <cellStyle name="Comma 4 3 2 3 4 2" xfId="8450"/>
    <cellStyle name="Comma 4 3 2 3 4 2 2" xfId="11347"/>
    <cellStyle name="Comma 4 3 2 3 4 3" xfId="9907"/>
    <cellStyle name="Comma 4 3 2 3 4 4" xfId="6973"/>
    <cellStyle name="Comma 4 3 2 3 5" xfId="7790"/>
    <cellStyle name="Comma 4 3 2 3 5 2" xfId="10689"/>
    <cellStyle name="Comma 4 3 2 3 6" xfId="9249"/>
    <cellStyle name="Comma 4 3 2 3 7" xfId="6274"/>
    <cellStyle name="Comma 4 3 2 4" xfId="518"/>
    <cellStyle name="Comma 4 3 2 4 2" xfId="7265"/>
    <cellStyle name="Comma 4 3 2 4 2 2" xfId="8742"/>
    <cellStyle name="Comma 4 3 2 4 2 2 2" xfId="11639"/>
    <cellStyle name="Comma 4 3 2 4 2 3" xfId="10199"/>
    <cellStyle name="Comma 4 3 2 4 3" xfId="8084"/>
    <cellStyle name="Comma 4 3 2 4 3 2" xfId="10981"/>
    <cellStyle name="Comma 4 3 2 4 4" xfId="9541"/>
    <cellStyle name="Comma 4 3 2 4 5" xfId="6589"/>
    <cellStyle name="Comma 4 3 2 5" xfId="519"/>
    <cellStyle name="Comma 4 3 2 5 2" xfId="7032"/>
    <cellStyle name="Comma 4 3 2 5 2 2" xfId="8509"/>
    <cellStyle name="Comma 4 3 2 5 2 2 2" xfId="11406"/>
    <cellStyle name="Comma 4 3 2 5 2 3" xfId="9966"/>
    <cellStyle name="Comma 4 3 2 5 3" xfId="7850"/>
    <cellStyle name="Comma 4 3 2 5 3 2" xfId="10748"/>
    <cellStyle name="Comma 4 3 2 5 4" xfId="9308"/>
    <cellStyle name="Comma 4 3 2 5 5" xfId="6353"/>
    <cellStyle name="Comma 4 3 2 6" xfId="2404"/>
    <cellStyle name="Comma 4 3 2 6 2" xfId="8972"/>
    <cellStyle name="Comma 4 3 2 6 2 2" xfId="11869"/>
    <cellStyle name="Comma 4 3 2 6 3" xfId="10429"/>
    <cellStyle name="Comma 4 3 2 6 4" xfId="7498"/>
    <cellStyle name="Comma 4 3 2 7" xfId="7557"/>
    <cellStyle name="Comma 4 3 2 7 2" xfId="9029"/>
    <cellStyle name="Comma 4 3 2 7 2 2" xfId="11926"/>
    <cellStyle name="Comma 4 3 2 7 3" xfId="10486"/>
    <cellStyle name="Comma 4 3 2 8" xfId="6833"/>
    <cellStyle name="Comma 4 3 2 8 2" xfId="8313"/>
    <cellStyle name="Comma 4 3 2 8 2 2" xfId="11210"/>
    <cellStyle name="Comma 4 3 2 8 3" xfId="9770"/>
    <cellStyle name="Comma 4 3 2 9" xfId="7652"/>
    <cellStyle name="Comma 4 3 2 9 2" xfId="10552"/>
    <cellStyle name="Comma 4 3 3" xfId="520"/>
    <cellStyle name="Comma 4 3 3 2" xfId="521"/>
    <cellStyle name="Comma 4 3 3 2 2" xfId="522"/>
    <cellStyle name="Comma 4 3 3 2 2 2" xfId="7407"/>
    <cellStyle name="Comma 4 3 3 2 2 2 2" xfId="8884"/>
    <cellStyle name="Comma 4 3 3 2 2 2 2 2" xfId="11781"/>
    <cellStyle name="Comma 4 3 3 2 2 2 3" xfId="10341"/>
    <cellStyle name="Comma 4 3 3 2 2 3" xfId="8226"/>
    <cellStyle name="Comma 4 3 3 2 2 3 2" xfId="11123"/>
    <cellStyle name="Comma 4 3 3 2 2 4" xfId="9683"/>
    <cellStyle name="Comma 4 3 3 2 2 5" xfId="6731"/>
    <cellStyle name="Comma 4 3 3 2 3" xfId="2409"/>
    <cellStyle name="Comma 4 3 3 2 3 2" xfId="8651"/>
    <cellStyle name="Comma 4 3 3 2 3 2 2" xfId="11548"/>
    <cellStyle name="Comma 4 3 3 2 3 3" xfId="10108"/>
    <cellStyle name="Comma 4 3 3 2 3 4" xfId="7174"/>
    <cellStyle name="Comma 4 3 3 2 4" xfId="7993"/>
    <cellStyle name="Comma 4 3 3 2 4 2" xfId="10890"/>
    <cellStyle name="Comma 4 3 3 2 5" xfId="9450"/>
    <cellStyle name="Comma 4 3 3 2 6" xfId="6498"/>
    <cellStyle name="Comma 4 3 3 3" xfId="523"/>
    <cellStyle name="Comma 4 3 3 3 2" xfId="7291"/>
    <cellStyle name="Comma 4 3 3 3 2 2" xfId="8768"/>
    <cellStyle name="Comma 4 3 3 3 2 2 2" xfId="11665"/>
    <cellStyle name="Comma 4 3 3 3 2 3" xfId="10225"/>
    <cellStyle name="Comma 4 3 3 3 3" xfId="8110"/>
    <cellStyle name="Comma 4 3 3 3 3 2" xfId="11007"/>
    <cellStyle name="Comma 4 3 3 3 4" xfId="9567"/>
    <cellStyle name="Comma 4 3 3 3 5" xfId="6615"/>
    <cellStyle name="Comma 4 3 3 4" xfId="524"/>
    <cellStyle name="Comma 4 3 3 4 2" xfId="7058"/>
    <cellStyle name="Comma 4 3 3 4 2 2" xfId="8535"/>
    <cellStyle name="Comma 4 3 3 4 2 2 2" xfId="11432"/>
    <cellStyle name="Comma 4 3 3 4 2 3" xfId="9992"/>
    <cellStyle name="Comma 4 3 3 4 3" xfId="7876"/>
    <cellStyle name="Comma 4 3 3 4 3 2" xfId="10774"/>
    <cellStyle name="Comma 4 3 3 4 4" xfId="9334"/>
    <cellStyle name="Comma 4 3 3 4 5" xfId="6379"/>
    <cellStyle name="Comma 4 3 3 5" xfId="2408"/>
    <cellStyle name="Comma 4 3 3 5 2" xfId="8364"/>
    <cellStyle name="Comma 4 3 3 5 2 2" xfId="11261"/>
    <cellStyle name="Comma 4 3 3 5 3" xfId="9821"/>
    <cellStyle name="Comma 4 3 3 5 4" xfId="6886"/>
    <cellStyle name="Comma 4 3 3 6" xfId="7703"/>
    <cellStyle name="Comma 4 3 3 6 2" xfId="10603"/>
    <cellStyle name="Comma 4 3 3 7" xfId="9163"/>
    <cellStyle name="Comma 4 3 3 8" xfId="6181"/>
    <cellStyle name="Comma 4 3 4" xfId="525"/>
    <cellStyle name="Comma 4 3 4 2" xfId="526"/>
    <cellStyle name="Comma 4 3 4 2 2" xfId="7355"/>
    <cellStyle name="Comma 4 3 4 2 2 2" xfId="8832"/>
    <cellStyle name="Comma 4 3 4 2 2 2 2" xfId="11729"/>
    <cellStyle name="Comma 4 3 4 2 2 3" xfId="10289"/>
    <cellStyle name="Comma 4 3 4 2 3" xfId="8174"/>
    <cellStyle name="Comma 4 3 4 2 3 2" xfId="11071"/>
    <cellStyle name="Comma 4 3 4 2 4" xfId="9631"/>
    <cellStyle name="Comma 4 3 4 2 5" xfId="6679"/>
    <cellStyle name="Comma 4 3 4 3" xfId="527"/>
    <cellStyle name="Comma 4 3 4 3 2" xfId="7122"/>
    <cellStyle name="Comma 4 3 4 3 2 2" xfId="8599"/>
    <cellStyle name="Comma 4 3 4 3 2 2 2" xfId="11496"/>
    <cellStyle name="Comma 4 3 4 3 2 3" xfId="10056"/>
    <cellStyle name="Comma 4 3 4 3 3" xfId="7941"/>
    <cellStyle name="Comma 4 3 4 3 3 2" xfId="10838"/>
    <cellStyle name="Comma 4 3 4 3 4" xfId="9398"/>
    <cellStyle name="Comma 4 3 4 3 5" xfId="6446"/>
    <cellStyle name="Comma 4 3 4 4" xfId="2410"/>
    <cellStyle name="Comma 4 3 4 4 2" xfId="8420"/>
    <cellStyle name="Comma 4 3 4 4 2 2" xfId="11317"/>
    <cellStyle name="Comma 4 3 4 4 3" xfId="9877"/>
    <cellStyle name="Comma 4 3 4 4 4" xfId="6943"/>
    <cellStyle name="Comma 4 3 4 5" xfId="7760"/>
    <cellStyle name="Comma 4 3 4 5 2" xfId="10659"/>
    <cellStyle name="Comma 4 3 4 6" xfId="9219"/>
    <cellStyle name="Comma 4 3 4 7" xfId="6244"/>
    <cellStyle name="Comma 4 3 5" xfId="528"/>
    <cellStyle name="Comma 4 3 5 2" xfId="7239"/>
    <cellStyle name="Comma 4 3 5 2 2" xfId="8716"/>
    <cellStyle name="Comma 4 3 5 2 2 2" xfId="11613"/>
    <cellStyle name="Comma 4 3 5 2 3" xfId="10173"/>
    <cellStyle name="Comma 4 3 5 3" xfId="8058"/>
    <cellStyle name="Comma 4 3 5 3 2" xfId="10955"/>
    <cellStyle name="Comma 4 3 5 4" xfId="9515"/>
    <cellStyle name="Comma 4 3 5 5" xfId="6563"/>
    <cellStyle name="Comma 4 3 6" xfId="529"/>
    <cellStyle name="Comma 4 3 6 2" xfId="7006"/>
    <cellStyle name="Comma 4 3 6 2 2" xfId="8483"/>
    <cellStyle name="Comma 4 3 6 2 2 2" xfId="11380"/>
    <cellStyle name="Comma 4 3 6 2 3" xfId="9940"/>
    <cellStyle name="Comma 4 3 6 3" xfId="7824"/>
    <cellStyle name="Comma 4 3 6 3 2" xfId="10722"/>
    <cellStyle name="Comma 4 3 6 4" xfId="9282"/>
    <cellStyle name="Comma 4 3 6 5" xfId="6327"/>
    <cellStyle name="Comma 4 3 7" xfId="2403"/>
    <cellStyle name="Comma 4 3 7 2" xfId="8946"/>
    <cellStyle name="Comma 4 3 7 2 2" xfId="11843"/>
    <cellStyle name="Comma 4 3 7 3" xfId="10403"/>
    <cellStyle name="Comma 4 3 7 4" xfId="7472"/>
    <cellStyle name="Comma 4 3 8" xfId="7531"/>
    <cellStyle name="Comma 4 3 8 2" xfId="9003"/>
    <cellStyle name="Comma 4 3 8 2 2" xfId="11900"/>
    <cellStyle name="Comma 4 3 8 3" xfId="10460"/>
    <cellStyle name="Comma 4 3 9" xfId="6802"/>
    <cellStyle name="Comma 4 3 9 2" xfId="8283"/>
    <cellStyle name="Comma 4 3 9 2 2" xfId="11180"/>
    <cellStyle name="Comma 4 3 9 3" xfId="9740"/>
    <cellStyle name="Comma 4 4" xfId="530"/>
    <cellStyle name="Comma 4 4 10" xfId="9096"/>
    <cellStyle name="Comma 4 4 11" xfId="6108"/>
    <cellStyle name="Comma 4 4 2" xfId="531"/>
    <cellStyle name="Comma 4 4 2 2" xfId="532"/>
    <cellStyle name="Comma 4 4 2 2 2" xfId="533"/>
    <cellStyle name="Comma 4 4 2 2 2 2" xfId="2414"/>
    <cellStyle name="Comma 4 4 2 2 2 2 2" xfId="8898"/>
    <cellStyle name="Comma 4 4 2 2 2 2 2 2" xfId="11795"/>
    <cellStyle name="Comma 4 4 2 2 2 2 3" xfId="10355"/>
    <cellStyle name="Comma 4 4 2 2 2 2 4" xfId="7421"/>
    <cellStyle name="Comma 4 4 2 2 2 3" xfId="8240"/>
    <cellStyle name="Comma 4 4 2 2 2 3 2" xfId="11137"/>
    <cellStyle name="Comma 4 4 2 2 2 4" xfId="9697"/>
    <cellStyle name="Comma 4 4 2 2 2 5" xfId="6745"/>
    <cellStyle name="Comma 4 4 2 2 3" xfId="2413"/>
    <cellStyle name="Comma 4 4 2 2 3 2" xfId="8665"/>
    <cellStyle name="Comma 4 4 2 2 3 2 2" xfId="11562"/>
    <cellStyle name="Comma 4 4 2 2 3 3" xfId="10122"/>
    <cellStyle name="Comma 4 4 2 2 3 4" xfId="7188"/>
    <cellStyle name="Comma 4 4 2 2 4" xfId="8007"/>
    <cellStyle name="Comma 4 4 2 2 4 2" xfId="10904"/>
    <cellStyle name="Comma 4 4 2 2 5" xfId="9464"/>
    <cellStyle name="Comma 4 4 2 2 6" xfId="6512"/>
    <cellStyle name="Comma 4 4 2 3" xfId="534"/>
    <cellStyle name="Comma 4 4 2 3 2" xfId="2415"/>
    <cellStyle name="Comma 4 4 2 3 2 2" xfId="8782"/>
    <cellStyle name="Comma 4 4 2 3 2 2 2" xfId="11679"/>
    <cellStyle name="Comma 4 4 2 3 2 3" xfId="10239"/>
    <cellStyle name="Comma 4 4 2 3 2 4" xfId="7305"/>
    <cellStyle name="Comma 4 4 2 3 3" xfId="8124"/>
    <cellStyle name="Comma 4 4 2 3 3 2" xfId="11021"/>
    <cellStyle name="Comma 4 4 2 3 4" xfId="9581"/>
    <cellStyle name="Comma 4 4 2 3 5" xfId="6629"/>
    <cellStyle name="Comma 4 4 2 4" xfId="535"/>
    <cellStyle name="Comma 4 4 2 4 2" xfId="7072"/>
    <cellStyle name="Comma 4 4 2 4 2 2" xfId="8549"/>
    <cellStyle name="Comma 4 4 2 4 2 2 2" xfId="11446"/>
    <cellStyle name="Comma 4 4 2 4 2 3" xfId="10006"/>
    <cellStyle name="Comma 4 4 2 4 3" xfId="7890"/>
    <cellStyle name="Comma 4 4 2 4 3 2" xfId="10788"/>
    <cellStyle name="Comma 4 4 2 4 4" xfId="9348"/>
    <cellStyle name="Comma 4 4 2 4 5" xfId="6393"/>
    <cellStyle name="Comma 4 4 2 5" xfId="2412"/>
    <cellStyle name="Comma 4 4 2 5 2" xfId="8378"/>
    <cellStyle name="Comma 4 4 2 5 2 2" xfId="11275"/>
    <cellStyle name="Comma 4 4 2 5 3" xfId="9835"/>
    <cellStyle name="Comma 4 4 2 5 4" xfId="6900"/>
    <cellStyle name="Comma 4 4 2 6" xfId="7717"/>
    <cellStyle name="Comma 4 4 2 6 2" xfId="10617"/>
    <cellStyle name="Comma 4 4 2 7" xfId="9177"/>
    <cellStyle name="Comma 4 4 2 8" xfId="6196"/>
    <cellStyle name="Comma 4 4 3" xfId="536"/>
    <cellStyle name="Comma 4 4 3 2" xfId="537"/>
    <cellStyle name="Comma 4 4 3 2 2" xfId="2417"/>
    <cellStyle name="Comma 4 4 3 2 2 2" xfId="8842"/>
    <cellStyle name="Comma 4 4 3 2 2 2 2" xfId="11739"/>
    <cellStyle name="Comma 4 4 3 2 2 3" xfId="10299"/>
    <cellStyle name="Comma 4 4 3 2 2 4" xfId="7365"/>
    <cellStyle name="Comma 4 4 3 2 3" xfId="8184"/>
    <cellStyle name="Comma 4 4 3 2 3 2" xfId="11081"/>
    <cellStyle name="Comma 4 4 3 2 4" xfId="9641"/>
    <cellStyle name="Comma 4 4 3 2 5" xfId="6689"/>
    <cellStyle name="Comma 4 4 3 3" xfId="538"/>
    <cellStyle name="Comma 4 4 3 3 2" xfId="7132"/>
    <cellStyle name="Comma 4 4 3 3 2 2" xfId="8609"/>
    <cellStyle name="Comma 4 4 3 3 2 2 2" xfId="11506"/>
    <cellStyle name="Comma 4 4 3 3 2 3" xfId="10066"/>
    <cellStyle name="Comma 4 4 3 3 3" xfId="7951"/>
    <cellStyle name="Comma 4 4 3 3 3 2" xfId="10848"/>
    <cellStyle name="Comma 4 4 3 3 4" xfId="9408"/>
    <cellStyle name="Comma 4 4 3 3 5" xfId="6456"/>
    <cellStyle name="Comma 4 4 3 4" xfId="2416"/>
    <cellStyle name="Comma 4 4 3 4 2" xfId="8434"/>
    <cellStyle name="Comma 4 4 3 4 2 2" xfId="11331"/>
    <cellStyle name="Comma 4 4 3 4 3" xfId="9891"/>
    <cellStyle name="Comma 4 4 3 4 4" xfId="6957"/>
    <cellStyle name="Comma 4 4 3 5" xfId="7774"/>
    <cellStyle name="Comma 4 4 3 5 2" xfId="10673"/>
    <cellStyle name="Comma 4 4 3 6" xfId="9233"/>
    <cellStyle name="Comma 4 4 3 7" xfId="6258"/>
    <cellStyle name="Comma 4 4 4" xfId="539"/>
    <cellStyle name="Comma 4 4 4 2" xfId="2418"/>
    <cellStyle name="Comma 4 4 4 2 2" xfId="8726"/>
    <cellStyle name="Comma 4 4 4 2 2 2" xfId="11623"/>
    <cellStyle name="Comma 4 4 4 2 3" xfId="10183"/>
    <cellStyle name="Comma 4 4 4 2 4" xfId="7249"/>
    <cellStyle name="Comma 4 4 4 3" xfId="8068"/>
    <cellStyle name="Comma 4 4 4 3 2" xfId="10965"/>
    <cellStyle name="Comma 4 4 4 4" xfId="9525"/>
    <cellStyle name="Comma 4 4 4 5" xfId="6573"/>
    <cellStyle name="Comma 4 4 5" xfId="540"/>
    <cellStyle name="Comma 4 4 5 2" xfId="7016"/>
    <cellStyle name="Comma 4 4 5 2 2" xfId="8493"/>
    <cellStyle name="Comma 4 4 5 2 2 2" xfId="11390"/>
    <cellStyle name="Comma 4 4 5 2 3" xfId="9950"/>
    <cellStyle name="Comma 4 4 5 3" xfId="7834"/>
    <cellStyle name="Comma 4 4 5 3 2" xfId="10732"/>
    <cellStyle name="Comma 4 4 5 4" xfId="9292"/>
    <cellStyle name="Comma 4 4 5 5" xfId="6337"/>
    <cellStyle name="Comma 4 4 6" xfId="2411"/>
    <cellStyle name="Comma 4 4 6 2" xfId="8956"/>
    <cellStyle name="Comma 4 4 6 2 2" xfId="11853"/>
    <cellStyle name="Comma 4 4 6 3" xfId="10413"/>
    <cellStyle name="Comma 4 4 6 4" xfId="7482"/>
    <cellStyle name="Comma 4 4 7" xfId="7541"/>
    <cellStyle name="Comma 4 4 7 2" xfId="9013"/>
    <cellStyle name="Comma 4 4 7 2 2" xfId="11910"/>
    <cellStyle name="Comma 4 4 7 3" xfId="10470"/>
    <cellStyle name="Comma 4 4 8" xfId="6817"/>
    <cellStyle name="Comma 4 4 8 2" xfId="8297"/>
    <cellStyle name="Comma 4 4 8 2 2" xfId="11194"/>
    <cellStyle name="Comma 4 4 8 3" xfId="9754"/>
    <cellStyle name="Comma 4 4 9" xfId="7636"/>
    <cellStyle name="Comma 4 4 9 2" xfId="10536"/>
    <cellStyle name="Comma 4 5" xfId="541"/>
    <cellStyle name="Comma 4 5 2" xfId="542"/>
    <cellStyle name="Comma 4 5 2 2" xfId="543"/>
    <cellStyle name="Comma 4 5 2 2 2" xfId="2421"/>
    <cellStyle name="Comma 4 5 2 2 2 2" xfId="8868"/>
    <cellStyle name="Comma 4 5 2 2 2 2 2" xfId="11765"/>
    <cellStyle name="Comma 4 5 2 2 2 3" xfId="10325"/>
    <cellStyle name="Comma 4 5 2 2 2 4" xfId="7391"/>
    <cellStyle name="Comma 4 5 2 2 3" xfId="8210"/>
    <cellStyle name="Comma 4 5 2 2 3 2" xfId="11107"/>
    <cellStyle name="Comma 4 5 2 2 4" xfId="9667"/>
    <cellStyle name="Comma 4 5 2 2 5" xfId="6715"/>
    <cellStyle name="Comma 4 5 2 3" xfId="2420"/>
    <cellStyle name="Comma 4 5 2 3 2" xfId="8635"/>
    <cellStyle name="Comma 4 5 2 3 2 2" xfId="11532"/>
    <cellStyle name="Comma 4 5 2 3 3" xfId="10092"/>
    <cellStyle name="Comma 4 5 2 3 4" xfId="7158"/>
    <cellStyle name="Comma 4 5 2 4" xfId="7977"/>
    <cellStyle name="Comma 4 5 2 4 2" xfId="10874"/>
    <cellStyle name="Comma 4 5 2 5" xfId="9434"/>
    <cellStyle name="Comma 4 5 2 6" xfId="6482"/>
    <cellStyle name="Comma 4 5 3" xfId="544"/>
    <cellStyle name="Comma 4 5 3 2" xfId="2422"/>
    <cellStyle name="Comma 4 5 3 2 2" xfId="8752"/>
    <cellStyle name="Comma 4 5 3 2 2 2" xfId="11649"/>
    <cellStyle name="Comma 4 5 3 2 3" xfId="10209"/>
    <cellStyle name="Comma 4 5 3 2 4" xfId="7275"/>
    <cellStyle name="Comma 4 5 3 3" xfId="8094"/>
    <cellStyle name="Comma 4 5 3 3 2" xfId="10991"/>
    <cellStyle name="Comma 4 5 3 4" xfId="9551"/>
    <cellStyle name="Comma 4 5 3 5" xfId="6599"/>
    <cellStyle name="Comma 4 5 4" xfId="545"/>
    <cellStyle name="Comma 4 5 4 2" xfId="7042"/>
    <cellStyle name="Comma 4 5 4 2 2" xfId="8519"/>
    <cellStyle name="Comma 4 5 4 2 2 2" xfId="11416"/>
    <cellStyle name="Comma 4 5 4 2 3" xfId="9976"/>
    <cellStyle name="Comma 4 5 4 3" xfId="7860"/>
    <cellStyle name="Comma 4 5 4 3 2" xfId="10758"/>
    <cellStyle name="Comma 4 5 4 4" xfId="9318"/>
    <cellStyle name="Comma 4 5 4 5" xfId="6363"/>
    <cellStyle name="Comma 4 5 5" xfId="2419"/>
    <cellStyle name="Comma 4 5 5 2" xfId="8346"/>
    <cellStyle name="Comma 4 5 5 2 2" xfId="11243"/>
    <cellStyle name="Comma 4 5 5 3" xfId="9803"/>
    <cellStyle name="Comma 4 5 5 4" xfId="6868"/>
    <cellStyle name="Comma 4 5 6" xfId="7685"/>
    <cellStyle name="Comma 4 5 6 2" xfId="10585"/>
    <cellStyle name="Comma 4 5 7" xfId="9145"/>
    <cellStyle name="Comma 4 5 8" xfId="6163"/>
    <cellStyle name="Comma 4 6" xfId="546"/>
    <cellStyle name="Comma 4 6 2" xfId="547"/>
    <cellStyle name="Comma 4 6 2 2" xfId="2425"/>
    <cellStyle name="Comma 4 6 2 2 2" xfId="8816"/>
    <cellStyle name="Comma 4 6 2 2 2 2" xfId="11713"/>
    <cellStyle name="Comma 4 6 2 2 3" xfId="10273"/>
    <cellStyle name="Comma 4 6 2 2 4" xfId="7339"/>
    <cellStyle name="Comma 4 6 2 3" xfId="2424"/>
    <cellStyle name="Comma 4 6 2 3 2" xfId="11055"/>
    <cellStyle name="Comma 4 6 2 3 3" xfId="8158"/>
    <cellStyle name="Comma 4 6 2 4" xfId="9615"/>
    <cellStyle name="Comma 4 6 2 5" xfId="6663"/>
    <cellStyle name="Comma 4 6 3" xfId="548"/>
    <cellStyle name="Comma 4 6 3 2" xfId="2426"/>
    <cellStyle name="Comma 4 6 3 2 2" xfId="8583"/>
    <cellStyle name="Comma 4 6 3 2 2 2" xfId="11480"/>
    <cellStyle name="Comma 4 6 3 2 3" xfId="10040"/>
    <cellStyle name="Comma 4 6 3 2 4" xfId="7106"/>
    <cellStyle name="Comma 4 6 3 3" xfId="7925"/>
    <cellStyle name="Comma 4 6 3 3 2" xfId="10822"/>
    <cellStyle name="Comma 4 6 3 4" xfId="9382"/>
    <cellStyle name="Comma 4 6 3 5" xfId="6430"/>
    <cellStyle name="Comma 4 6 4" xfId="2423"/>
    <cellStyle name="Comma 4 6 4 2" xfId="8404"/>
    <cellStyle name="Comma 4 6 4 2 2" xfId="11301"/>
    <cellStyle name="Comma 4 6 4 3" xfId="9861"/>
    <cellStyle name="Comma 4 6 4 4" xfId="6927"/>
    <cellStyle name="Comma 4 6 5" xfId="7744"/>
    <cellStyle name="Comma 4 6 5 2" xfId="10643"/>
    <cellStyle name="Comma 4 6 6" xfId="9203"/>
    <cellStyle name="Comma 4 6 7" xfId="6228"/>
    <cellStyle name="Comma 4 7" xfId="549"/>
    <cellStyle name="Comma 4 7 2" xfId="2428"/>
    <cellStyle name="Comma 4 7 2 2" xfId="8700"/>
    <cellStyle name="Comma 4 7 2 2 2" xfId="11597"/>
    <cellStyle name="Comma 4 7 2 3" xfId="10157"/>
    <cellStyle name="Comma 4 7 2 4" xfId="7223"/>
    <cellStyle name="Comma 4 7 3" xfId="2427"/>
    <cellStyle name="Comma 4 7 3 2" xfId="10939"/>
    <cellStyle name="Comma 4 7 3 3" xfId="8042"/>
    <cellStyle name="Comma 4 7 4" xfId="9499"/>
    <cellStyle name="Comma 4 7 5" xfId="6547"/>
    <cellStyle name="Comma 4 8" xfId="550"/>
    <cellStyle name="Comma 4 8 2" xfId="2429"/>
    <cellStyle name="Comma 4 8 2 2" xfId="8467"/>
    <cellStyle name="Comma 4 8 2 2 2" xfId="11364"/>
    <cellStyle name="Comma 4 8 2 3" xfId="9924"/>
    <cellStyle name="Comma 4 8 2 4" xfId="6990"/>
    <cellStyle name="Comma 4 8 3" xfId="7808"/>
    <cellStyle name="Comma 4 8 3 2" xfId="10706"/>
    <cellStyle name="Comma 4 8 4" xfId="9266"/>
    <cellStyle name="Comma 4 8 5" xfId="6311"/>
    <cellStyle name="Comma 4 9" xfId="551"/>
    <cellStyle name="Comma 4 9 2" xfId="2430"/>
    <cellStyle name="Comma 4 9 2 2" xfId="11827"/>
    <cellStyle name="Comma 4 9 2 3" xfId="8930"/>
    <cellStyle name="Comma 4 9 3" xfId="10387"/>
    <cellStyle name="Comma 4 9 4" xfId="7456"/>
    <cellStyle name="Comma 5" xfId="552"/>
    <cellStyle name="Comma 5 10" xfId="2432"/>
    <cellStyle name="Comma 5 11" xfId="2433"/>
    <cellStyle name="Comma 5 12" xfId="2434"/>
    <cellStyle name="Comma 5 13" xfId="2431"/>
    <cellStyle name="Comma 5 14" xfId="6102"/>
    <cellStyle name="Comma 5 2" xfId="553"/>
    <cellStyle name="Comma 5 2 2" xfId="2436"/>
    <cellStyle name="Comma 5 2 2 2" xfId="2437"/>
    <cellStyle name="Comma 5 2 2 2 2" xfId="2438"/>
    <cellStyle name="Comma 5 2 2 3" xfId="2439"/>
    <cellStyle name="Comma 5 2 3" xfId="2440"/>
    <cellStyle name="Comma 5 2 3 2" xfId="2441"/>
    <cellStyle name="Comma 5 2 4" xfId="2442"/>
    <cellStyle name="Comma 5 2 5" xfId="2435"/>
    <cellStyle name="Comma 5 3" xfId="1504"/>
    <cellStyle name="Comma 5 3 2" xfId="2444"/>
    <cellStyle name="Comma 5 3 2 2" xfId="2445"/>
    <cellStyle name="Comma 5 3 2 2 2" xfId="2446"/>
    <cellStyle name="Comma 5 3 2 3" xfId="2447"/>
    <cellStyle name="Comma 5 3 3" xfId="2448"/>
    <cellStyle name="Comma 5 3 3 2" xfId="2449"/>
    <cellStyle name="Comma 5 3 4" xfId="2450"/>
    <cellStyle name="Comma 5 3 5" xfId="2443"/>
    <cellStyle name="Comma 5 4" xfId="2451"/>
    <cellStyle name="Comma 5 4 2" xfId="2452"/>
    <cellStyle name="Comma 5 4 2 2" xfId="2453"/>
    <cellStyle name="Comma 5 4 3" xfId="2454"/>
    <cellStyle name="Comma 5 5" xfId="2455"/>
    <cellStyle name="Comma 5 5 2" xfId="2456"/>
    <cellStyle name="Comma 5 5 2 2" xfId="2457"/>
    <cellStyle name="Comma 5 5 3" xfId="2458"/>
    <cellStyle name="Comma 5 6" xfId="2459"/>
    <cellStyle name="Comma 5 6 2" xfId="2460"/>
    <cellStyle name="Comma 5 7" xfId="2461"/>
    <cellStyle name="Comma 5 8" xfId="2462"/>
    <cellStyle name="Comma 5 9" xfId="2463"/>
    <cellStyle name="Comma 6" xfId="554"/>
    <cellStyle name="Comma 6 2" xfId="555"/>
    <cellStyle name="Comma 6 2 2" xfId="556"/>
    <cellStyle name="Comma 6 2 2 2" xfId="557"/>
    <cellStyle name="Comma 6 2 2 2 2" xfId="7443"/>
    <cellStyle name="Comma 6 2 2 2 2 2" xfId="8920"/>
    <cellStyle name="Comma 6 2 2 2 2 2 2" xfId="11817"/>
    <cellStyle name="Comma 6 2 2 2 2 3" xfId="10377"/>
    <cellStyle name="Comma 6 2 2 2 3" xfId="8262"/>
    <cellStyle name="Comma 6 2 2 2 3 2" xfId="11159"/>
    <cellStyle name="Comma 6 2 2 2 4" xfId="9719"/>
    <cellStyle name="Comma 6 2 2 2 5" xfId="6767"/>
    <cellStyle name="Comma 6 2 2 3" xfId="7210"/>
    <cellStyle name="Comma 6 2 2 3 2" xfId="8687"/>
    <cellStyle name="Comma 6 2 2 3 2 2" xfId="11584"/>
    <cellStyle name="Comma 6 2 2 3 3" xfId="10144"/>
    <cellStyle name="Comma 6 2 2 4" xfId="8029"/>
    <cellStyle name="Comma 6 2 2 4 2" xfId="10926"/>
    <cellStyle name="Comma 6 2 2 5" xfId="9486"/>
    <cellStyle name="Comma 6 2 2 6" xfId="6534"/>
    <cellStyle name="Comma 6 2 3" xfId="558"/>
    <cellStyle name="Comma 6 2 3 2" xfId="7327"/>
    <cellStyle name="Comma 6 2 3 2 2" xfId="8804"/>
    <cellStyle name="Comma 6 2 3 2 2 2" xfId="11701"/>
    <cellStyle name="Comma 6 2 3 2 3" xfId="10261"/>
    <cellStyle name="Comma 6 2 3 3" xfId="8146"/>
    <cellStyle name="Comma 6 2 3 3 2" xfId="11043"/>
    <cellStyle name="Comma 6 2 3 4" xfId="9603"/>
    <cellStyle name="Comma 6 2 3 5" xfId="6651"/>
    <cellStyle name="Comma 6 2 4" xfId="559"/>
    <cellStyle name="Comma 6 2 4 2" xfId="7094"/>
    <cellStyle name="Comma 6 2 4 2 2" xfId="8571"/>
    <cellStyle name="Comma 6 2 4 2 2 2" xfId="11468"/>
    <cellStyle name="Comma 6 2 4 2 3" xfId="10028"/>
    <cellStyle name="Comma 6 2 4 3" xfId="7912"/>
    <cellStyle name="Comma 6 2 4 3 2" xfId="10810"/>
    <cellStyle name="Comma 6 2 4 4" xfId="9370"/>
    <cellStyle name="Comma 6 2 4 5" xfId="6415"/>
    <cellStyle name="Comma 6 2 5" xfId="2465"/>
    <cellStyle name="Comma 6 2 5 2" xfId="8372"/>
    <cellStyle name="Comma 6 2 5 2 2" xfId="11269"/>
    <cellStyle name="Comma 6 2 5 3" xfId="9829"/>
    <cellStyle name="Comma 6 2 5 4" xfId="6894"/>
    <cellStyle name="Comma 6 2 6" xfId="7711"/>
    <cellStyle name="Comma 6 2 6 2" xfId="10611"/>
    <cellStyle name="Comma 6 2 7" xfId="9171"/>
    <cellStyle name="Comma 6 2 8" xfId="6190"/>
    <cellStyle name="Comma 6 3" xfId="19"/>
    <cellStyle name="Comma 6 3 2" xfId="560"/>
    <cellStyle name="Comma 6 3 2 2" xfId="7415"/>
    <cellStyle name="Comma 6 3 2 2 2" xfId="8892"/>
    <cellStyle name="Comma 6 3 2 2 2 2" xfId="11789"/>
    <cellStyle name="Comma 6 3 2 2 3" xfId="10349"/>
    <cellStyle name="Comma 6 3 2 3" xfId="8234"/>
    <cellStyle name="Comma 6 3 2 3 2" xfId="11131"/>
    <cellStyle name="Comma 6 3 2 4" xfId="9691"/>
    <cellStyle name="Comma 6 3 2 5" xfId="6739"/>
    <cellStyle name="Comma 6 3 3" xfId="561"/>
    <cellStyle name="Comma 6 3 3 2" xfId="7182"/>
    <cellStyle name="Comma 6 3 3 2 2" xfId="8659"/>
    <cellStyle name="Comma 6 3 3 2 2 2" xfId="11556"/>
    <cellStyle name="Comma 6 3 3 2 3" xfId="10116"/>
    <cellStyle name="Comma 6 3 3 3" xfId="8001"/>
    <cellStyle name="Comma 6 3 3 3 2" xfId="10898"/>
    <cellStyle name="Comma 6 3 3 4" xfId="9458"/>
    <cellStyle name="Comma 6 3 3 5" xfId="6506"/>
    <cellStyle name="Comma 6 3 4" xfId="2466"/>
    <cellStyle name="Comma 6 3 4 2" xfId="8428"/>
    <cellStyle name="Comma 6 3 4 2 2" xfId="11325"/>
    <cellStyle name="Comma 6 3 4 3" xfId="9885"/>
    <cellStyle name="Comma 6 3 4 4" xfId="6951"/>
    <cellStyle name="Comma 6 3 5" xfId="7768"/>
    <cellStyle name="Comma 6 3 5 2" xfId="10667"/>
    <cellStyle name="Comma 6 3 6" xfId="9227"/>
    <cellStyle name="Comma 6 3 7" xfId="6252"/>
    <cellStyle name="Comma 6 4" xfId="562"/>
    <cellStyle name="Comma 6 4 2" xfId="2467"/>
    <cellStyle name="Comma 6 4 2 2" xfId="8776"/>
    <cellStyle name="Comma 6 4 2 2 2" xfId="11673"/>
    <cellStyle name="Comma 6 4 2 3" xfId="10233"/>
    <cellStyle name="Comma 6 4 2 4" xfId="7299"/>
    <cellStyle name="Comma 6 4 3" xfId="8118"/>
    <cellStyle name="Comma 6 4 3 2" xfId="11015"/>
    <cellStyle name="Comma 6 4 4" xfId="9575"/>
    <cellStyle name="Comma 6 4 5" xfId="6623"/>
    <cellStyle name="Comma 6 5" xfId="563"/>
    <cellStyle name="Comma 6 5 2" xfId="2468"/>
    <cellStyle name="Comma 6 5 2 2" xfId="8543"/>
    <cellStyle name="Comma 6 5 2 2 2" xfId="11440"/>
    <cellStyle name="Comma 6 5 2 3" xfId="10000"/>
    <cellStyle name="Comma 6 5 2 4" xfId="7066"/>
    <cellStyle name="Comma 6 5 3" xfId="7884"/>
    <cellStyle name="Comma 6 5 3 2" xfId="10782"/>
    <cellStyle name="Comma 6 5 4" xfId="9342"/>
    <cellStyle name="Comma 6 5 5" xfId="6387"/>
    <cellStyle name="Comma 6 6" xfId="2469"/>
    <cellStyle name="Comma 6 6 2" xfId="8291"/>
    <cellStyle name="Comma 6 6 2 2" xfId="11188"/>
    <cellStyle name="Comma 6 6 3" xfId="9748"/>
    <cellStyle name="Comma 6 6 4" xfId="6810"/>
    <cellStyle name="Comma 6 7" xfId="2464"/>
    <cellStyle name="Comma 6 7 2" xfId="10530"/>
    <cellStyle name="Comma 6 7 3" xfId="7630"/>
    <cellStyle name="Comma 6 8" xfId="9090"/>
    <cellStyle name="Comma 6 9" xfId="6099"/>
    <cellStyle name="Comma 7" xfId="564"/>
    <cellStyle name="Comma 7 2" xfId="565"/>
    <cellStyle name="Comma 7 2 2" xfId="2472"/>
    <cellStyle name="Comma 7 2 2 2" xfId="2473"/>
    <cellStyle name="Comma 7 2 3" xfId="2474"/>
    <cellStyle name="Comma 7 2 4" xfId="2471"/>
    <cellStyle name="Comma 7 2 5" xfId="6418"/>
    <cellStyle name="Comma 7 3" xfId="2475"/>
    <cellStyle name="Comma 7 3 2" xfId="2476"/>
    <cellStyle name="Comma 7 4" xfId="2477"/>
    <cellStyle name="Comma 7 5" xfId="2478"/>
    <cellStyle name="Comma 7 6" xfId="2479"/>
    <cellStyle name="Comma 7 7" xfId="2480"/>
    <cellStyle name="Comma 7 8" xfId="2481"/>
    <cellStyle name="Comma 7 9" xfId="2470"/>
    <cellStyle name="Comma 8" xfId="566"/>
    <cellStyle name="Comma 8 2" xfId="567"/>
    <cellStyle name="Comma 8 2 2" xfId="2484"/>
    <cellStyle name="Comma 8 2 2 2" xfId="8805"/>
    <cellStyle name="Comma 8 2 2 2 2" xfId="11702"/>
    <cellStyle name="Comma 8 2 2 3" xfId="10262"/>
    <cellStyle name="Comma 8 2 2 4" xfId="7328"/>
    <cellStyle name="Comma 8 2 3" xfId="2483"/>
    <cellStyle name="Comma 8 2 3 2" xfId="11044"/>
    <cellStyle name="Comma 8 2 3 3" xfId="8147"/>
    <cellStyle name="Comma 8 2 4" xfId="9604"/>
    <cellStyle name="Comma 8 2 5" xfId="6652"/>
    <cellStyle name="Comma 8 3" xfId="2485"/>
    <cellStyle name="Comma 8 3 2" xfId="8575"/>
    <cellStyle name="Comma 8 3 2 2" xfId="11472"/>
    <cellStyle name="Comma 8 3 3" xfId="10032"/>
    <cellStyle name="Comma 8 3 4" xfId="7098"/>
    <cellStyle name="Comma 8 4" xfId="2486"/>
    <cellStyle name="Comma 8 4 2" xfId="10814"/>
    <cellStyle name="Comma 8 4 3" xfId="7917"/>
    <cellStyle name="Comma 8 5" xfId="2487"/>
    <cellStyle name="Comma 8 5 2" xfId="9374"/>
    <cellStyle name="Comma 8 6" xfId="2488"/>
    <cellStyle name="Comma 8 7" xfId="2489"/>
    <cellStyle name="Comma 8 8" xfId="2482"/>
    <cellStyle name="Comma 8 9" xfId="6422"/>
    <cellStyle name="Comma 9" xfId="568"/>
    <cellStyle name="Comma 9 2" xfId="2491"/>
    <cellStyle name="Comma 9 2 2" xfId="8689"/>
    <cellStyle name="Comma 9 2 2 2" xfId="11586"/>
    <cellStyle name="Comma 9 2 3" xfId="10146"/>
    <cellStyle name="Comma 9 2 4" xfId="7212"/>
    <cellStyle name="Comma 9 3" xfId="2492"/>
    <cellStyle name="Comma 9 3 2" xfId="10928"/>
    <cellStyle name="Comma 9 3 3" xfId="8031"/>
    <cellStyle name="Comma 9 4" xfId="2493"/>
    <cellStyle name="Comma 9 4 2" xfId="9488"/>
    <cellStyle name="Comma 9 5" xfId="2494"/>
    <cellStyle name="Comma 9 6" xfId="2490"/>
    <cellStyle name="Comma 9 7" xfId="6536"/>
    <cellStyle name="Comma_CDM monthly amounts 2" xfId="1513"/>
    <cellStyle name="Comma_Horizon 2011 Load Forecast Model  June 25, 2010" xfId="11"/>
    <cellStyle name="Comma0" xfId="7"/>
    <cellStyle name="Comma0 2" xfId="2495"/>
    <cellStyle name="Comma2 (0)" xfId="2496"/>
    <cellStyle name="Comment" xfId="2497"/>
    <cellStyle name="Company" xfId="2498"/>
    <cellStyle name="CurRatio" xfId="2499"/>
    <cellStyle name="Currency--" xfId="2500"/>
    <cellStyle name="Currency [00]" xfId="2501"/>
    <cellStyle name="Currency [1]" xfId="2502"/>
    <cellStyle name="Currency [2]" xfId="2503"/>
    <cellStyle name="Currency [2] 2" xfId="6012"/>
    <cellStyle name="Currency [3]" xfId="2504"/>
    <cellStyle name="Currency 0" xfId="2505"/>
    <cellStyle name="Currency 10" xfId="2506"/>
    <cellStyle name="Currency 10 2" xfId="2507"/>
    <cellStyle name="Currency 10 2 2" xfId="2508"/>
    <cellStyle name="Currency 10 2 2 2" xfId="2509"/>
    <cellStyle name="Currency 10 2 2 2 2" xfId="2510"/>
    <cellStyle name="Currency 10 2 2 3" xfId="2511"/>
    <cellStyle name="Currency 10 2 3" xfId="2512"/>
    <cellStyle name="Currency 10 2 3 2" xfId="2513"/>
    <cellStyle name="Currency 10 2 4" xfId="2514"/>
    <cellStyle name="Currency 10 3" xfId="2515"/>
    <cellStyle name="Currency 10 3 2" xfId="2516"/>
    <cellStyle name="Currency 10 3 2 2" xfId="2517"/>
    <cellStyle name="Currency 10 3 2 2 2" xfId="2518"/>
    <cellStyle name="Currency 10 3 2 3" xfId="2519"/>
    <cellStyle name="Currency 10 3 3" xfId="2520"/>
    <cellStyle name="Currency 10 3 3 2" xfId="2521"/>
    <cellStyle name="Currency 10 3 4" xfId="2522"/>
    <cellStyle name="Currency 10 4" xfId="2523"/>
    <cellStyle name="Currency 10 4 2" xfId="2524"/>
    <cellStyle name="Currency 10 4 2 2" xfId="2525"/>
    <cellStyle name="Currency 10 4 3" xfId="2526"/>
    <cellStyle name="Currency 10 5" xfId="2527"/>
    <cellStyle name="Currency 10 5 2" xfId="2528"/>
    <cellStyle name="Currency 10 6" xfId="2529"/>
    <cellStyle name="Currency 11" xfId="2530"/>
    <cellStyle name="Currency 11 2" xfId="2531"/>
    <cellStyle name="Currency 11 2 2" xfId="2532"/>
    <cellStyle name="Currency 11 2 2 2" xfId="2533"/>
    <cellStyle name="Currency 11 2 2 2 2" xfId="2534"/>
    <cellStyle name="Currency 11 2 2 3" xfId="2535"/>
    <cellStyle name="Currency 11 2 3" xfId="2536"/>
    <cellStyle name="Currency 11 2 3 2" xfId="2537"/>
    <cellStyle name="Currency 11 2 4" xfId="2538"/>
    <cellStyle name="Currency 11 3" xfId="2539"/>
    <cellStyle name="Currency 11 3 2" xfId="2540"/>
    <cellStyle name="Currency 11 3 2 2" xfId="2541"/>
    <cellStyle name="Currency 11 3 2 2 2" xfId="2542"/>
    <cellStyle name="Currency 11 3 2 3" xfId="2543"/>
    <cellStyle name="Currency 11 3 3" xfId="2544"/>
    <cellStyle name="Currency 11 3 3 2" xfId="2545"/>
    <cellStyle name="Currency 11 3 4" xfId="2546"/>
    <cellStyle name="Currency 11 4" xfId="2547"/>
    <cellStyle name="Currency 11 4 2" xfId="2548"/>
    <cellStyle name="Currency 11 4 2 2" xfId="2549"/>
    <cellStyle name="Currency 11 4 3" xfId="2550"/>
    <cellStyle name="Currency 11 5" xfId="2551"/>
    <cellStyle name="Currency 11 5 2" xfId="2552"/>
    <cellStyle name="Currency 11 6" xfId="2553"/>
    <cellStyle name="Currency 12" xfId="2554"/>
    <cellStyle name="Currency 13" xfId="2555"/>
    <cellStyle name="Currency 14" xfId="2556"/>
    <cellStyle name="Currency 14 2" xfId="2557"/>
    <cellStyle name="Currency 14 2 2" xfId="2558"/>
    <cellStyle name="Currency 14 2 2 2" xfId="2559"/>
    <cellStyle name="Currency 14 2 2 2 2" xfId="2560"/>
    <cellStyle name="Currency 14 2 2 3" xfId="2561"/>
    <cellStyle name="Currency 14 2 3" xfId="2562"/>
    <cellStyle name="Currency 14 2 3 2" xfId="2563"/>
    <cellStyle name="Currency 14 2 4" xfId="2564"/>
    <cellStyle name="Currency 14 3" xfId="2565"/>
    <cellStyle name="Currency 14 3 2" xfId="2566"/>
    <cellStyle name="Currency 14 3 2 2" xfId="2567"/>
    <cellStyle name="Currency 14 3 2 2 2" xfId="2568"/>
    <cellStyle name="Currency 14 3 2 3" xfId="2569"/>
    <cellStyle name="Currency 14 3 3" xfId="2570"/>
    <cellStyle name="Currency 14 3 3 2" xfId="2571"/>
    <cellStyle name="Currency 14 3 4" xfId="2572"/>
    <cellStyle name="Currency 14 4" xfId="2573"/>
    <cellStyle name="Currency 14 4 2" xfId="2574"/>
    <cellStyle name="Currency 14 4 2 2" xfId="2575"/>
    <cellStyle name="Currency 14 4 2 2 2" xfId="2576"/>
    <cellStyle name="Currency 14 4 2 3" xfId="2577"/>
    <cellStyle name="Currency 14 4 3" xfId="2578"/>
    <cellStyle name="Currency 14 4 3 2" xfId="2579"/>
    <cellStyle name="Currency 14 4 4" xfId="2580"/>
    <cellStyle name="Currency 14 5" xfId="2581"/>
    <cellStyle name="Currency 14 5 2" xfId="2582"/>
    <cellStyle name="Currency 14 5 2 2" xfId="2583"/>
    <cellStyle name="Currency 14 5 3" xfId="2584"/>
    <cellStyle name="Currency 14 6" xfId="2585"/>
    <cellStyle name="Currency 14 6 2" xfId="2586"/>
    <cellStyle name="Currency 14 7" xfId="2587"/>
    <cellStyle name="Currency 15" xfId="2588"/>
    <cellStyle name="Currency 15 2" xfId="2589"/>
    <cellStyle name="Currency 15 2 2" xfId="2590"/>
    <cellStyle name="Currency 15 2 2 2" xfId="2591"/>
    <cellStyle name="Currency 15 2 3" xfId="2592"/>
    <cellStyle name="Currency 15 3" xfId="2593"/>
    <cellStyle name="Currency 15 3 2" xfId="2594"/>
    <cellStyle name="Currency 15 4" xfId="2595"/>
    <cellStyle name="Currency 16" xfId="2596"/>
    <cellStyle name="Currency 16 2" xfId="2597"/>
    <cellStyle name="Currency 17" xfId="2598"/>
    <cellStyle name="Currency 18" xfId="2599"/>
    <cellStyle name="Currency 19" xfId="2600"/>
    <cellStyle name="Currency 19 2" xfId="2601"/>
    <cellStyle name="Currency 19 2 2" xfId="2602"/>
    <cellStyle name="Currency 19 2 2 2" xfId="2603"/>
    <cellStyle name="Currency 19 2 2 2 2" xfId="2604"/>
    <cellStyle name="Currency 19 2 2 3" xfId="2605"/>
    <cellStyle name="Currency 19 2 3" xfId="2606"/>
    <cellStyle name="Currency 19 2 3 2" xfId="2607"/>
    <cellStyle name="Currency 19 2 4" xfId="2608"/>
    <cellStyle name="Currency 19 3" xfId="2609"/>
    <cellStyle name="Currency 19 3 2" xfId="2610"/>
    <cellStyle name="Currency 19 3 2 2" xfId="2611"/>
    <cellStyle name="Currency 19 3 2 2 2" xfId="2612"/>
    <cellStyle name="Currency 19 3 2 3" xfId="2613"/>
    <cellStyle name="Currency 19 3 3" xfId="2614"/>
    <cellStyle name="Currency 19 3 3 2" xfId="2615"/>
    <cellStyle name="Currency 19 3 4" xfId="2616"/>
    <cellStyle name="Currency 19 4" xfId="2617"/>
    <cellStyle name="Currency 19 4 2" xfId="2618"/>
    <cellStyle name="Currency 19 4 2 2" xfId="2619"/>
    <cellStyle name="Currency 19 4 3" xfId="2620"/>
    <cellStyle name="Currency 19 5" xfId="2621"/>
    <cellStyle name="Currency 19 5 2" xfId="2622"/>
    <cellStyle name="Currency 19 6" xfId="2623"/>
    <cellStyle name="Currency 2" xfId="569"/>
    <cellStyle name="Currency 2 10" xfId="2624"/>
    <cellStyle name="Currency 2 10 2" xfId="2625"/>
    <cellStyle name="Currency 2 10 2 2" xfId="2626"/>
    <cellStyle name="Currency 2 10 3" xfId="2627"/>
    <cellStyle name="Currency 2 11" xfId="2628"/>
    <cellStyle name="Currency 2 12" xfId="2629"/>
    <cellStyle name="Currency 2 13" xfId="2630"/>
    <cellStyle name="Currency 2 14" xfId="2631"/>
    <cellStyle name="Currency 2 15" xfId="2632"/>
    <cellStyle name="Currency 2 16" xfId="2633"/>
    <cellStyle name="Currency 2 17" xfId="2634"/>
    <cellStyle name="Currency 2 18" xfId="2635"/>
    <cellStyle name="Currency 2 2" xfId="570"/>
    <cellStyle name="Currency 2 2 10" xfId="2637"/>
    <cellStyle name="Currency 2 2 11" xfId="2638"/>
    <cellStyle name="Currency 2 2 12" xfId="2636"/>
    <cellStyle name="Currency 2 2 2" xfId="2639"/>
    <cellStyle name="Currency 2 2 3" xfId="2640"/>
    <cellStyle name="Currency 2 2 4" xfId="2641"/>
    <cellStyle name="Currency 2 2 5" xfId="2642"/>
    <cellStyle name="Currency 2 2 6" xfId="2643"/>
    <cellStyle name="Currency 2 2 7" xfId="2644"/>
    <cellStyle name="Currency 2 2 8" xfId="2645"/>
    <cellStyle name="Currency 2 2 9" xfId="2646"/>
    <cellStyle name="Currency 2 3" xfId="571"/>
    <cellStyle name="Currency 2 3 2" xfId="2648"/>
    <cellStyle name="Currency 2 3 3" xfId="2649"/>
    <cellStyle name="Currency 2 3 4" xfId="2650"/>
    <cellStyle name="Currency 2 3 5" xfId="2651"/>
    <cellStyle name="Currency 2 3 6" xfId="2647"/>
    <cellStyle name="Currency 2 4" xfId="572"/>
    <cellStyle name="Currency 2 4 2" xfId="2652"/>
    <cellStyle name="Currency 2 4 2 2" xfId="8348"/>
    <cellStyle name="Currency 2 4 2 2 2" xfId="11245"/>
    <cellStyle name="Currency 2 4 2 3" xfId="9805"/>
    <cellStyle name="Currency 2 4 2 4" xfId="6870"/>
    <cellStyle name="Currency 2 4 3" xfId="7687"/>
    <cellStyle name="Currency 2 4 3 2" xfId="10587"/>
    <cellStyle name="Currency 2 4 4" xfId="9147"/>
    <cellStyle name="Currency 2 4 5" xfId="6165"/>
    <cellStyle name="Currency 2 5" xfId="573"/>
    <cellStyle name="Currency 2 5 2" xfId="2653"/>
    <cellStyle name="Currency 2 6" xfId="574"/>
    <cellStyle name="Currency 2 6 2" xfId="2654"/>
    <cellStyle name="Currency 2 6 3" xfId="6057"/>
    <cellStyle name="Currency 2 7" xfId="1505"/>
    <cellStyle name="Currency 2 7 2" xfId="2655"/>
    <cellStyle name="Currency 2 8" xfId="2656"/>
    <cellStyle name="Currency 2 9" xfId="2657"/>
    <cellStyle name="Currency 2*" xfId="2658"/>
    <cellStyle name="Currency 2_CLdcfmodel" xfId="2659"/>
    <cellStyle name="Currency 20" xfId="2660"/>
    <cellStyle name="Currency 20 2" xfId="2661"/>
    <cellStyle name="Currency 20 2 2" xfId="2662"/>
    <cellStyle name="Currency 20 2 2 2" xfId="2663"/>
    <cellStyle name="Currency 20 2 2 2 2" xfId="2664"/>
    <cellStyle name="Currency 20 2 2 3" xfId="2665"/>
    <cellStyle name="Currency 20 2 3" xfId="2666"/>
    <cellStyle name="Currency 20 2 3 2" xfId="2667"/>
    <cellStyle name="Currency 20 2 4" xfId="2668"/>
    <cellStyle name="Currency 20 3" xfId="2669"/>
    <cellStyle name="Currency 20 3 2" xfId="2670"/>
    <cellStyle name="Currency 20 3 2 2" xfId="2671"/>
    <cellStyle name="Currency 20 3 2 2 2" xfId="2672"/>
    <cellStyle name="Currency 20 3 2 3" xfId="2673"/>
    <cellStyle name="Currency 20 3 3" xfId="2674"/>
    <cellStyle name="Currency 20 3 3 2" xfId="2675"/>
    <cellStyle name="Currency 20 3 4" xfId="2676"/>
    <cellStyle name="Currency 20 4" xfId="2677"/>
    <cellStyle name="Currency 20 4 2" xfId="2678"/>
    <cellStyle name="Currency 20 4 2 2" xfId="2679"/>
    <cellStyle name="Currency 20 4 3" xfId="2680"/>
    <cellStyle name="Currency 20 5" xfId="2681"/>
    <cellStyle name="Currency 20 5 2" xfId="2682"/>
    <cellStyle name="Currency 20 6" xfId="2683"/>
    <cellStyle name="Currency 21" xfId="2684"/>
    <cellStyle name="Currency 21 2" xfId="2685"/>
    <cellStyle name="Currency 21 2 2" xfId="2686"/>
    <cellStyle name="Currency 21 2 2 2" xfId="2687"/>
    <cellStyle name="Currency 21 2 2 2 2" xfId="2688"/>
    <cellStyle name="Currency 21 2 2 3" xfId="2689"/>
    <cellStyle name="Currency 21 2 3" xfId="2690"/>
    <cellStyle name="Currency 21 2 3 2" xfId="2691"/>
    <cellStyle name="Currency 21 2 4" xfId="2692"/>
    <cellStyle name="Currency 21 3" xfId="2693"/>
    <cellStyle name="Currency 21 3 2" xfId="2694"/>
    <cellStyle name="Currency 21 3 2 2" xfId="2695"/>
    <cellStyle name="Currency 21 3 2 2 2" xfId="2696"/>
    <cellStyle name="Currency 21 3 2 3" xfId="2697"/>
    <cellStyle name="Currency 21 3 3" xfId="2698"/>
    <cellStyle name="Currency 21 3 3 2" xfId="2699"/>
    <cellStyle name="Currency 21 3 4" xfId="2700"/>
    <cellStyle name="Currency 21 4" xfId="2701"/>
    <cellStyle name="Currency 21 4 2" xfId="2702"/>
    <cellStyle name="Currency 21 4 2 2" xfId="2703"/>
    <cellStyle name="Currency 21 4 3" xfId="2704"/>
    <cellStyle name="Currency 21 5" xfId="2705"/>
    <cellStyle name="Currency 21 5 2" xfId="2706"/>
    <cellStyle name="Currency 21 6" xfId="2707"/>
    <cellStyle name="Currency 22" xfId="2708"/>
    <cellStyle name="Currency 22 2" xfId="2709"/>
    <cellStyle name="Currency 22 2 2" xfId="2710"/>
    <cellStyle name="Currency 22 2 2 2" xfId="2711"/>
    <cellStyle name="Currency 22 2 2 2 2" xfId="2712"/>
    <cellStyle name="Currency 22 2 2 3" xfId="2713"/>
    <cellStyle name="Currency 22 2 3" xfId="2714"/>
    <cellStyle name="Currency 22 2 3 2" xfId="2715"/>
    <cellStyle name="Currency 22 2 4" xfId="2716"/>
    <cellStyle name="Currency 22 3" xfId="2717"/>
    <cellStyle name="Currency 22 3 2" xfId="2718"/>
    <cellStyle name="Currency 22 3 2 2" xfId="2719"/>
    <cellStyle name="Currency 22 3 2 2 2" xfId="2720"/>
    <cellStyle name="Currency 22 3 2 3" xfId="2721"/>
    <cellStyle name="Currency 22 3 3" xfId="2722"/>
    <cellStyle name="Currency 22 3 3 2" xfId="2723"/>
    <cellStyle name="Currency 22 3 4" xfId="2724"/>
    <cellStyle name="Currency 22 4" xfId="2725"/>
    <cellStyle name="Currency 22 4 2" xfId="2726"/>
    <cellStyle name="Currency 22 4 2 2" xfId="2727"/>
    <cellStyle name="Currency 22 4 3" xfId="2728"/>
    <cellStyle name="Currency 22 5" xfId="2729"/>
    <cellStyle name="Currency 22 5 2" xfId="2730"/>
    <cellStyle name="Currency 22 6" xfId="2731"/>
    <cellStyle name="Currency 23" xfId="2732"/>
    <cellStyle name="Currency 23 2" xfId="2733"/>
    <cellStyle name="Currency 23 2 2" xfId="2734"/>
    <cellStyle name="Currency 23 2 2 2" xfId="2735"/>
    <cellStyle name="Currency 23 2 2 2 2" xfId="2736"/>
    <cellStyle name="Currency 23 2 2 3" xfId="2737"/>
    <cellStyle name="Currency 23 2 3" xfId="2738"/>
    <cellStyle name="Currency 23 2 3 2" xfId="2739"/>
    <cellStyle name="Currency 23 2 4" xfId="2740"/>
    <cellStyle name="Currency 23 3" xfId="2741"/>
    <cellStyle name="Currency 23 3 2" xfId="2742"/>
    <cellStyle name="Currency 23 3 2 2" xfId="2743"/>
    <cellStyle name="Currency 23 3 2 2 2" xfId="2744"/>
    <cellStyle name="Currency 23 3 2 3" xfId="2745"/>
    <cellStyle name="Currency 23 3 3" xfId="2746"/>
    <cellStyle name="Currency 23 3 3 2" xfId="2747"/>
    <cellStyle name="Currency 23 3 4" xfId="2748"/>
    <cellStyle name="Currency 23 4" xfId="2749"/>
    <cellStyle name="Currency 23 4 2" xfId="2750"/>
    <cellStyle name="Currency 23 4 2 2" xfId="2751"/>
    <cellStyle name="Currency 23 4 3" xfId="2752"/>
    <cellStyle name="Currency 23 5" xfId="2753"/>
    <cellStyle name="Currency 23 5 2" xfId="2754"/>
    <cellStyle name="Currency 23 6" xfId="2755"/>
    <cellStyle name="Currency 24" xfId="2756"/>
    <cellStyle name="Currency 24 2" xfId="2757"/>
    <cellStyle name="Currency 24 2 2" xfId="2758"/>
    <cellStyle name="Currency 24 2 2 2" xfId="2759"/>
    <cellStyle name="Currency 24 2 2 2 2" xfId="2760"/>
    <cellStyle name="Currency 24 2 2 3" xfId="2761"/>
    <cellStyle name="Currency 24 2 3" xfId="2762"/>
    <cellStyle name="Currency 24 2 3 2" xfId="2763"/>
    <cellStyle name="Currency 24 2 4" xfId="2764"/>
    <cellStyle name="Currency 24 3" xfId="2765"/>
    <cellStyle name="Currency 24 3 2" xfId="2766"/>
    <cellStyle name="Currency 24 3 2 2" xfId="2767"/>
    <cellStyle name="Currency 24 3 2 2 2" xfId="2768"/>
    <cellStyle name="Currency 24 3 2 3" xfId="2769"/>
    <cellStyle name="Currency 24 3 3" xfId="2770"/>
    <cellStyle name="Currency 24 3 3 2" xfId="2771"/>
    <cellStyle name="Currency 24 3 4" xfId="2772"/>
    <cellStyle name="Currency 24 4" xfId="2773"/>
    <cellStyle name="Currency 24 4 2" xfId="2774"/>
    <cellStyle name="Currency 24 4 2 2" xfId="2775"/>
    <cellStyle name="Currency 24 4 3" xfId="2776"/>
    <cellStyle name="Currency 24 5" xfId="2777"/>
    <cellStyle name="Currency 24 5 2" xfId="2778"/>
    <cellStyle name="Currency 24 6" xfId="2779"/>
    <cellStyle name="Currency 25" xfId="5985"/>
    <cellStyle name="Currency 26" xfId="2780"/>
    <cellStyle name="Currency 26 2" xfId="2781"/>
    <cellStyle name="Currency 26 2 2" xfId="2782"/>
    <cellStyle name="Currency 26 2 2 2" xfId="2783"/>
    <cellStyle name="Currency 26 2 2 2 2" xfId="2784"/>
    <cellStyle name="Currency 26 2 2 3" xfId="2785"/>
    <cellStyle name="Currency 26 2 3" xfId="2786"/>
    <cellStyle name="Currency 26 2 3 2" xfId="2787"/>
    <cellStyle name="Currency 26 2 4" xfId="2788"/>
    <cellStyle name="Currency 26 3" xfId="2789"/>
    <cellStyle name="Currency 26 3 2" xfId="2790"/>
    <cellStyle name="Currency 26 3 2 2" xfId="2791"/>
    <cellStyle name="Currency 26 3 2 2 2" xfId="2792"/>
    <cellStyle name="Currency 26 3 2 3" xfId="2793"/>
    <cellStyle name="Currency 26 3 3" xfId="2794"/>
    <cellStyle name="Currency 26 3 3 2" xfId="2795"/>
    <cellStyle name="Currency 26 3 4" xfId="2796"/>
    <cellStyle name="Currency 26 4" xfId="2797"/>
    <cellStyle name="Currency 26 4 2" xfId="2798"/>
    <cellStyle name="Currency 26 4 2 2" xfId="2799"/>
    <cellStyle name="Currency 26 4 3" xfId="2800"/>
    <cellStyle name="Currency 26 5" xfId="2801"/>
    <cellStyle name="Currency 26 5 2" xfId="2802"/>
    <cellStyle name="Currency 26 6" xfId="2803"/>
    <cellStyle name="Currency 27" xfId="2804"/>
    <cellStyle name="Currency 27 2" xfId="2805"/>
    <cellStyle name="Currency 27 2 2" xfId="2806"/>
    <cellStyle name="Currency 27 2 2 2" xfId="2807"/>
    <cellStyle name="Currency 27 2 2 2 2" xfId="2808"/>
    <cellStyle name="Currency 27 2 2 3" xfId="2809"/>
    <cellStyle name="Currency 27 2 3" xfId="2810"/>
    <cellStyle name="Currency 27 2 3 2" xfId="2811"/>
    <cellStyle name="Currency 27 2 4" xfId="2812"/>
    <cellStyle name="Currency 27 3" xfId="2813"/>
    <cellStyle name="Currency 27 3 2" xfId="2814"/>
    <cellStyle name="Currency 27 3 2 2" xfId="2815"/>
    <cellStyle name="Currency 27 3 2 2 2" xfId="2816"/>
    <cellStyle name="Currency 27 3 2 3" xfId="2817"/>
    <cellStyle name="Currency 27 3 3" xfId="2818"/>
    <cellStyle name="Currency 27 3 3 2" xfId="2819"/>
    <cellStyle name="Currency 27 3 4" xfId="2820"/>
    <cellStyle name="Currency 27 4" xfId="2821"/>
    <cellStyle name="Currency 27 4 2" xfId="2822"/>
    <cellStyle name="Currency 27 4 2 2" xfId="2823"/>
    <cellStyle name="Currency 27 4 3" xfId="2824"/>
    <cellStyle name="Currency 27 5" xfId="2825"/>
    <cellStyle name="Currency 27 5 2" xfId="2826"/>
    <cellStyle name="Currency 27 6" xfId="2827"/>
    <cellStyle name="Currency 28" xfId="2828"/>
    <cellStyle name="Currency 28 2" xfId="2829"/>
    <cellStyle name="Currency 28 2 2" xfId="2830"/>
    <cellStyle name="Currency 28 2 2 2" xfId="2831"/>
    <cellStyle name="Currency 28 2 2 2 2" xfId="2832"/>
    <cellStyle name="Currency 28 2 2 3" xfId="2833"/>
    <cellStyle name="Currency 28 2 3" xfId="2834"/>
    <cellStyle name="Currency 28 2 3 2" xfId="2835"/>
    <cellStyle name="Currency 28 2 4" xfId="2836"/>
    <cellStyle name="Currency 28 3" xfId="2837"/>
    <cellStyle name="Currency 28 3 2" xfId="2838"/>
    <cellStyle name="Currency 28 3 2 2" xfId="2839"/>
    <cellStyle name="Currency 28 3 2 2 2" xfId="2840"/>
    <cellStyle name="Currency 28 3 2 3" xfId="2841"/>
    <cellStyle name="Currency 28 3 3" xfId="2842"/>
    <cellStyle name="Currency 28 3 3 2" xfId="2843"/>
    <cellStyle name="Currency 28 3 4" xfId="2844"/>
    <cellStyle name="Currency 28 4" xfId="2845"/>
    <cellStyle name="Currency 28 4 2" xfId="2846"/>
    <cellStyle name="Currency 28 4 2 2" xfId="2847"/>
    <cellStyle name="Currency 28 4 3" xfId="2848"/>
    <cellStyle name="Currency 28 5" xfId="2849"/>
    <cellStyle name="Currency 28 5 2" xfId="2850"/>
    <cellStyle name="Currency 28 6" xfId="2851"/>
    <cellStyle name="Currency 29" xfId="2852"/>
    <cellStyle name="Currency 29 2" xfId="2853"/>
    <cellStyle name="Currency 29 2 2" xfId="2854"/>
    <cellStyle name="Currency 29 2 2 2" xfId="2855"/>
    <cellStyle name="Currency 29 2 2 2 2" xfId="2856"/>
    <cellStyle name="Currency 29 2 2 3" xfId="2857"/>
    <cellStyle name="Currency 29 2 3" xfId="2858"/>
    <cellStyle name="Currency 29 2 3 2" xfId="2859"/>
    <cellStyle name="Currency 29 2 4" xfId="2860"/>
    <cellStyle name="Currency 29 3" xfId="2861"/>
    <cellStyle name="Currency 29 3 2" xfId="2862"/>
    <cellStyle name="Currency 29 3 2 2" xfId="2863"/>
    <cellStyle name="Currency 29 3 2 2 2" xfId="2864"/>
    <cellStyle name="Currency 29 3 2 3" xfId="2865"/>
    <cellStyle name="Currency 29 3 3" xfId="2866"/>
    <cellStyle name="Currency 29 3 3 2" xfId="2867"/>
    <cellStyle name="Currency 29 3 4" xfId="2868"/>
    <cellStyle name="Currency 29 4" xfId="2869"/>
    <cellStyle name="Currency 29 4 2" xfId="2870"/>
    <cellStyle name="Currency 29 4 2 2" xfId="2871"/>
    <cellStyle name="Currency 29 4 3" xfId="2872"/>
    <cellStyle name="Currency 29 5" xfId="2873"/>
    <cellStyle name="Currency 29 5 2" xfId="2874"/>
    <cellStyle name="Currency 29 6" xfId="2875"/>
    <cellStyle name="Currency 3" xfId="575"/>
    <cellStyle name="Currency 3 2" xfId="576"/>
    <cellStyle name="Currency 3 2 2" xfId="2878"/>
    <cellStyle name="Currency 3 2 2 2" xfId="2879"/>
    <cellStyle name="Currency 3 2 3" xfId="2880"/>
    <cellStyle name="Currency 3 2 4" xfId="2881"/>
    <cellStyle name="Currency 3 2 5" xfId="2882"/>
    <cellStyle name="Currency 3 2 6" xfId="2877"/>
    <cellStyle name="Currency 3 3" xfId="577"/>
    <cellStyle name="Currency 3 3 2" xfId="2883"/>
    <cellStyle name="Currency 3 4" xfId="578"/>
    <cellStyle name="Currency 3 4 2" xfId="2884"/>
    <cellStyle name="Currency 3 5" xfId="2885"/>
    <cellStyle name="Currency 3 6" xfId="2886"/>
    <cellStyle name="Currency 3 7" xfId="2876"/>
    <cellStyle name="Currency 30" xfId="6025"/>
    <cellStyle name="Currency 31" xfId="6026"/>
    <cellStyle name="Currency 4" xfId="579"/>
    <cellStyle name="Currency 4 10" xfId="2888"/>
    <cellStyle name="Currency 4 11" xfId="2887"/>
    <cellStyle name="Currency 4 12" xfId="6304"/>
    <cellStyle name="Currency 4 2" xfId="2889"/>
    <cellStyle name="Currency 4 2 2" xfId="2890"/>
    <cellStyle name="Currency 4 2 2 2" xfId="2891"/>
    <cellStyle name="Currency 4 2 2 2 2" xfId="2892"/>
    <cellStyle name="Currency 4 2 2 3" xfId="2893"/>
    <cellStyle name="Currency 4 2 3" xfId="2894"/>
    <cellStyle name="Currency 4 2 3 2" xfId="2895"/>
    <cellStyle name="Currency 4 2 4" xfId="2896"/>
    <cellStyle name="Currency 4 3" xfId="2897"/>
    <cellStyle name="Currency 4 3 2" xfId="2898"/>
    <cellStyle name="Currency 4 3 2 2" xfId="2899"/>
    <cellStyle name="Currency 4 3 2 2 2" xfId="2900"/>
    <cellStyle name="Currency 4 3 2 3" xfId="2901"/>
    <cellStyle name="Currency 4 3 3" xfId="2902"/>
    <cellStyle name="Currency 4 3 3 2" xfId="2903"/>
    <cellStyle name="Currency 4 3 4" xfId="2904"/>
    <cellStyle name="Currency 4 4" xfId="2905"/>
    <cellStyle name="Currency 4 4 2" xfId="2906"/>
    <cellStyle name="Currency 4 4 2 2" xfId="2907"/>
    <cellStyle name="Currency 4 4 3" xfId="2908"/>
    <cellStyle name="Currency 4 5" xfId="2909"/>
    <cellStyle name="Currency 4 5 2" xfId="2910"/>
    <cellStyle name="Currency 4 5 2 2" xfId="2911"/>
    <cellStyle name="Currency 4 5 3" xfId="2912"/>
    <cellStyle name="Currency 4 6" xfId="2913"/>
    <cellStyle name="Currency 4 6 2" xfId="2914"/>
    <cellStyle name="Currency 4 6 2 2" xfId="2915"/>
    <cellStyle name="Currency 4 6 3" xfId="2916"/>
    <cellStyle name="Currency 4 7" xfId="2917"/>
    <cellStyle name="Currency 4 7 2" xfId="2918"/>
    <cellStyle name="Currency 4 8" xfId="2919"/>
    <cellStyle name="Currency 4 9" xfId="2920"/>
    <cellStyle name="Currency 5" xfId="580"/>
    <cellStyle name="Currency 5 2" xfId="2922"/>
    <cellStyle name="Currency 5 2 2" xfId="2923"/>
    <cellStyle name="Currency 5 2 2 2" xfId="2924"/>
    <cellStyle name="Currency 5 2 2 2 2" xfId="2925"/>
    <cellStyle name="Currency 5 2 2 3" xfId="2926"/>
    <cellStyle name="Currency 5 2 3" xfId="2927"/>
    <cellStyle name="Currency 5 2 3 2" xfId="2928"/>
    <cellStyle name="Currency 5 2 4" xfId="2929"/>
    <cellStyle name="Currency 5 3" xfId="2930"/>
    <cellStyle name="Currency 5 3 2" xfId="2931"/>
    <cellStyle name="Currency 5 3 2 2" xfId="2932"/>
    <cellStyle name="Currency 5 3 2 2 2" xfId="2933"/>
    <cellStyle name="Currency 5 3 2 3" xfId="2934"/>
    <cellStyle name="Currency 5 3 3" xfId="2935"/>
    <cellStyle name="Currency 5 3 3 2" xfId="2936"/>
    <cellStyle name="Currency 5 3 4" xfId="2937"/>
    <cellStyle name="Currency 5 4" xfId="2938"/>
    <cellStyle name="Currency 5 4 2" xfId="2939"/>
    <cellStyle name="Currency 5 4 2 2" xfId="2940"/>
    <cellStyle name="Currency 5 4 3" xfId="2941"/>
    <cellStyle name="Currency 5 5" xfId="2942"/>
    <cellStyle name="Currency 5 5 2" xfId="2943"/>
    <cellStyle name="Currency 5 6" xfId="2944"/>
    <cellStyle name="Currency 5 7" xfId="2921"/>
    <cellStyle name="Currency 6" xfId="2945"/>
    <cellStyle name="Currency 6 2" xfId="2946"/>
    <cellStyle name="Currency 6 2 2" xfId="2947"/>
    <cellStyle name="Currency 6 2 2 2" xfId="2948"/>
    <cellStyle name="Currency 6 2 2 2 2" xfId="2949"/>
    <cellStyle name="Currency 6 2 2 3" xfId="2950"/>
    <cellStyle name="Currency 6 2 3" xfId="2951"/>
    <cellStyle name="Currency 6 2 3 2" xfId="2952"/>
    <cellStyle name="Currency 6 2 4" xfId="2953"/>
    <cellStyle name="Currency 6 3" xfId="2954"/>
    <cellStyle name="Currency 6 3 2" xfId="2955"/>
    <cellStyle name="Currency 6 3 2 2" xfId="2956"/>
    <cellStyle name="Currency 6 3 2 2 2" xfId="2957"/>
    <cellStyle name="Currency 6 3 2 3" xfId="2958"/>
    <cellStyle name="Currency 6 3 3" xfId="2959"/>
    <cellStyle name="Currency 6 3 3 2" xfId="2960"/>
    <cellStyle name="Currency 6 3 4" xfId="2961"/>
    <cellStyle name="Currency 6 4" xfId="2962"/>
    <cellStyle name="Currency 6 4 2" xfId="2963"/>
    <cellStyle name="Currency 6 4 2 2" xfId="2964"/>
    <cellStyle name="Currency 6 4 3" xfId="2965"/>
    <cellStyle name="Currency 6 5" xfId="2966"/>
    <cellStyle name="Currency 6 5 2" xfId="2967"/>
    <cellStyle name="Currency 6 6" xfId="2968"/>
    <cellStyle name="Currency 7" xfId="2969"/>
    <cellStyle name="Currency 7 2" xfId="2970"/>
    <cellStyle name="Currency 8" xfId="2971"/>
    <cellStyle name="Currency 8 2" xfId="2972"/>
    <cellStyle name="Currency 8 2 2" xfId="2973"/>
    <cellStyle name="Currency 8 2 2 2" xfId="2974"/>
    <cellStyle name="Currency 8 2 2 2 2" xfId="2975"/>
    <cellStyle name="Currency 8 2 2 3" xfId="2976"/>
    <cellStyle name="Currency 8 2 3" xfId="2977"/>
    <cellStyle name="Currency 8 2 3 2" xfId="2978"/>
    <cellStyle name="Currency 8 2 4" xfId="2979"/>
    <cellStyle name="Currency 8 3" xfId="2980"/>
    <cellStyle name="Currency 8 3 2" xfId="2981"/>
    <cellStyle name="Currency 8 3 2 2" xfId="2982"/>
    <cellStyle name="Currency 8 3 2 2 2" xfId="2983"/>
    <cellStyle name="Currency 8 3 2 3" xfId="2984"/>
    <cellStyle name="Currency 8 3 3" xfId="2985"/>
    <cellStyle name="Currency 8 3 3 2" xfId="2986"/>
    <cellStyle name="Currency 8 3 4" xfId="2987"/>
    <cellStyle name="Currency 8 4" xfId="2988"/>
    <cellStyle name="Currency 8 4 2" xfId="2989"/>
    <cellStyle name="Currency 8 4 2 2" xfId="2990"/>
    <cellStyle name="Currency 8 4 3" xfId="2991"/>
    <cellStyle name="Currency 8 5" xfId="2992"/>
    <cellStyle name="Currency 8 5 2" xfId="2993"/>
    <cellStyle name="Currency 8 6" xfId="2994"/>
    <cellStyle name="Currency 8 7" xfId="2995"/>
    <cellStyle name="Currency 9" xfId="2996"/>
    <cellStyle name="Currency 9 2" xfId="2997"/>
    <cellStyle name="Currency 9 2 2" xfId="2998"/>
    <cellStyle name="Currency 9 2 2 2" xfId="2999"/>
    <cellStyle name="Currency 9 2 2 2 2" xfId="3000"/>
    <cellStyle name="Currency 9 2 2 3" xfId="3001"/>
    <cellStyle name="Currency 9 2 3" xfId="3002"/>
    <cellStyle name="Currency 9 2 3 2" xfId="3003"/>
    <cellStyle name="Currency 9 2 4" xfId="3004"/>
    <cellStyle name="Currency 9 3" xfId="3005"/>
    <cellStyle name="Currency 9 3 2" xfId="3006"/>
    <cellStyle name="Currency 9 3 2 2" xfId="3007"/>
    <cellStyle name="Currency 9 3 2 2 2" xfId="3008"/>
    <cellStyle name="Currency 9 3 2 3" xfId="3009"/>
    <cellStyle name="Currency 9 3 3" xfId="3010"/>
    <cellStyle name="Currency 9 3 3 2" xfId="3011"/>
    <cellStyle name="Currency 9 3 4" xfId="3012"/>
    <cellStyle name="Currency 9 4" xfId="3013"/>
    <cellStyle name="Currency 9 4 2" xfId="3014"/>
    <cellStyle name="Currency 9 4 2 2" xfId="3015"/>
    <cellStyle name="Currency 9 4 3" xfId="3016"/>
    <cellStyle name="Currency 9 5" xfId="3017"/>
    <cellStyle name="Currency 9 5 2" xfId="3018"/>
    <cellStyle name="Currency 9 6" xfId="3019"/>
    <cellStyle name="Currency Per Share" xfId="3020"/>
    <cellStyle name="Currency0" xfId="8"/>
    <cellStyle name="Currency0 2" xfId="3021"/>
    <cellStyle name="Currency2" xfId="3022"/>
    <cellStyle name="CUS.Work.Area" xfId="3023"/>
    <cellStyle name="Dash" xfId="3024"/>
    <cellStyle name="Data" xfId="3025"/>
    <cellStyle name="Data 2" xfId="3026"/>
    <cellStyle name="Data 3" xfId="3027"/>
    <cellStyle name="Date" xfId="9"/>
    <cellStyle name="Date [mm-dd-yyyy]" xfId="3029"/>
    <cellStyle name="Date [mm-dd-yyyy] 2" xfId="3030"/>
    <cellStyle name="Date [mm-d-yyyy]" xfId="3031"/>
    <cellStyle name="Date [mmm-yyyy]" xfId="3032"/>
    <cellStyle name="Date 2" xfId="3028"/>
    <cellStyle name="Date 3" xfId="5999"/>
    <cellStyle name="Date 4" xfId="6010"/>
    <cellStyle name="Date Aligned" xfId="3033"/>
    <cellStyle name="Date Aligned*" xfId="3034"/>
    <cellStyle name="Date Aligned_comp_Integrateds" xfId="3035"/>
    <cellStyle name="Date Short" xfId="3036"/>
    <cellStyle name="date_ Pies " xfId="3037"/>
    <cellStyle name="DblLineDollarAcct" xfId="3038"/>
    <cellStyle name="DblLinePercent" xfId="3039"/>
    <cellStyle name="Dezimal [0]_A17 - 31.03.1998" xfId="3040"/>
    <cellStyle name="Dezimal_A17 - 31.03.1998" xfId="3041"/>
    <cellStyle name="Dia" xfId="3042"/>
    <cellStyle name="Dollar_ Pies " xfId="3043"/>
    <cellStyle name="DollarAccounting" xfId="3044"/>
    <cellStyle name="Dotted Line" xfId="3045"/>
    <cellStyle name="Dotted Line 2" xfId="3046"/>
    <cellStyle name="Dotted Line 3" xfId="3047"/>
    <cellStyle name="Double Accounting" xfId="3048"/>
    <cellStyle name="Duizenden" xfId="3049"/>
    <cellStyle name="Encabez1" xfId="3050"/>
    <cellStyle name="Encabez2" xfId="3051"/>
    <cellStyle name="Enter Currency (0)" xfId="3052"/>
    <cellStyle name="Enter Currency (2)" xfId="3053"/>
    <cellStyle name="Enter Units (0)" xfId="3054"/>
    <cellStyle name="Enter Units (1)" xfId="3055"/>
    <cellStyle name="Enter Units (2)" xfId="3056"/>
    <cellStyle name="Euro" xfId="3057"/>
    <cellStyle name="Explanatory Text 10" xfId="581"/>
    <cellStyle name="Explanatory Text 11" xfId="582"/>
    <cellStyle name="Explanatory Text 12" xfId="583"/>
    <cellStyle name="Explanatory Text 13" xfId="584"/>
    <cellStyle name="Explanatory Text 14" xfId="585"/>
    <cellStyle name="Explanatory Text 15" xfId="586"/>
    <cellStyle name="Explanatory Text 16" xfId="587"/>
    <cellStyle name="Explanatory Text 2" xfId="588"/>
    <cellStyle name="Explanatory Text 2 10" xfId="3058"/>
    <cellStyle name="Explanatory Text 2 2" xfId="589"/>
    <cellStyle name="Explanatory Text 2 2 2" xfId="3059"/>
    <cellStyle name="Explanatory Text 2 3" xfId="3060"/>
    <cellStyle name="Explanatory Text 2 4" xfId="3061"/>
    <cellStyle name="Explanatory Text 2 5" xfId="3062"/>
    <cellStyle name="Explanatory Text 2 6" xfId="3063"/>
    <cellStyle name="Explanatory Text 2 7" xfId="3064"/>
    <cellStyle name="Explanatory Text 2 8" xfId="3065"/>
    <cellStyle name="Explanatory Text 2 9" xfId="3066"/>
    <cellStyle name="Explanatory Text 3" xfId="590"/>
    <cellStyle name="Explanatory Text 4" xfId="591"/>
    <cellStyle name="Explanatory Text 5" xfId="592"/>
    <cellStyle name="Explanatory Text 6" xfId="593"/>
    <cellStyle name="Explanatory Text 7" xfId="594"/>
    <cellStyle name="Explanatory Text 8" xfId="595"/>
    <cellStyle name="Explanatory Text 9" xfId="596"/>
    <cellStyle name="fact" xfId="3067"/>
    <cellStyle name="FieldName" xfId="3068"/>
    <cellStyle name="FieldName 2" xfId="6008"/>
    <cellStyle name="Fijo" xfId="3069"/>
    <cellStyle name="Financiero" xfId="3070"/>
    <cellStyle name="Fixed" xfId="10"/>
    <cellStyle name="Fixed 2" xfId="3071"/>
    <cellStyle name="Footnote" xfId="3072"/>
    <cellStyle name="Good 10" xfId="597"/>
    <cellStyle name="Good 11" xfId="598"/>
    <cellStyle name="Good 12" xfId="599"/>
    <cellStyle name="Good 13" xfId="600"/>
    <cellStyle name="Good 14" xfId="601"/>
    <cellStyle name="Good 15" xfId="602"/>
    <cellStyle name="Good 16" xfId="603"/>
    <cellStyle name="Good 2" xfId="604"/>
    <cellStyle name="Good 2 10" xfId="3073"/>
    <cellStyle name="Good 2 2" xfId="605"/>
    <cellStyle name="Good 2 2 2" xfId="3074"/>
    <cellStyle name="Good 2 3" xfId="3075"/>
    <cellStyle name="Good 2 4" xfId="3076"/>
    <cellStyle name="Good 2 5" xfId="3077"/>
    <cellStyle name="Good 2 6" xfId="3078"/>
    <cellStyle name="Good 2 7" xfId="3079"/>
    <cellStyle name="Good 2 8" xfId="3080"/>
    <cellStyle name="Good 2 9" xfId="3081"/>
    <cellStyle name="Good 3" xfId="606"/>
    <cellStyle name="Good 4" xfId="607"/>
    <cellStyle name="Good 5" xfId="608"/>
    <cellStyle name="Good 6" xfId="609"/>
    <cellStyle name="Good 7" xfId="610"/>
    <cellStyle name="Good 8" xfId="611"/>
    <cellStyle name="Good 9" xfId="612"/>
    <cellStyle name="Grey" xfId="613"/>
    <cellStyle name="GWN Table Body" xfId="3082"/>
    <cellStyle name="GWN Table Header" xfId="3083"/>
    <cellStyle name="GWN Table Left Header" xfId="3084"/>
    <cellStyle name="GWN Table Note" xfId="3085"/>
    <cellStyle name="GWN Table Title" xfId="3086"/>
    <cellStyle name="hard no" xfId="3087"/>
    <cellStyle name="Hard Percent" xfId="3088"/>
    <cellStyle name="hardno" xfId="3089"/>
    <cellStyle name="Header" xfId="3090"/>
    <cellStyle name="Header1" xfId="3091"/>
    <cellStyle name="Header2" xfId="3092"/>
    <cellStyle name="Heading" xfId="3093"/>
    <cellStyle name="Heading 1 10" xfId="614"/>
    <cellStyle name="Heading 1 11" xfId="615"/>
    <cellStyle name="Heading 1 12" xfId="616"/>
    <cellStyle name="Heading 1 13" xfId="617"/>
    <cellStyle name="Heading 1 14" xfId="618"/>
    <cellStyle name="Heading 1 15" xfId="619"/>
    <cellStyle name="Heading 1 16" xfId="620"/>
    <cellStyle name="Heading 1 2" xfId="621"/>
    <cellStyle name="Heading 1 2 2" xfId="622"/>
    <cellStyle name="Heading 1 2 2 2" xfId="3095"/>
    <cellStyle name="Heading 1 2 3" xfId="3096"/>
    <cellStyle name="Heading 1 2 4" xfId="3097"/>
    <cellStyle name="Heading 1 2 5" xfId="3098"/>
    <cellStyle name="Heading 1 2 6" xfId="3099"/>
    <cellStyle name="Heading 1 2 7" xfId="3094"/>
    <cellStyle name="Heading 1 3" xfId="623"/>
    <cellStyle name="Heading 1 3 2" xfId="3100"/>
    <cellStyle name="Heading 1 4" xfId="624"/>
    <cellStyle name="Heading 1 5" xfId="625"/>
    <cellStyle name="Heading 1 6" xfId="626"/>
    <cellStyle name="Heading 1 7" xfId="627"/>
    <cellStyle name="Heading 1 8" xfId="628"/>
    <cellStyle name="Heading 1 9" xfId="629"/>
    <cellStyle name="Heading 2 10" xfId="630"/>
    <cellStyle name="Heading 2 11" xfId="631"/>
    <cellStyle name="Heading 2 12" xfId="632"/>
    <cellStyle name="Heading 2 13" xfId="633"/>
    <cellStyle name="Heading 2 14" xfId="634"/>
    <cellStyle name="Heading 2 15" xfId="635"/>
    <cellStyle name="Heading 2 16" xfId="636"/>
    <cellStyle name="Heading 2 2" xfId="637"/>
    <cellStyle name="Heading 2 2 2" xfId="638"/>
    <cellStyle name="Heading 2 2 2 2" xfId="3102"/>
    <cellStyle name="Heading 2 2 3" xfId="3103"/>
    <cellStyle name="Heading 2 2 4" xfId="3104"/>
    <cellStyle name="Heading 2 2 5" xfId="3105"/>
    <cellStyle name="Heading 2 2 6" xfId="3106"/>
    <cellStyle name="Heading 2 2 7" xfId="3101"/>
    <cellStyle name="Heading 2 3" xfId="639"/>
    <cellStyle name="Heading 2 3 2" xfId="3107"/>
    <cellStyle name="Heading 2 4" xfId="640"/>
    <cellStyle name="Heading 2 5" xfId="641"/>
    <cellStyle name="Heading 2 6" xfId="642"/>
    <cellStyle name="Heading 2 7" xfId="643"/>
    <cellStyle name="Heading 2 8" xfId="644"/>
    <cellStyle name="Heading 2 9" xfId="645"/>
    <cellStyle name="Heading 3 10" xfId="646"/>
    <cellStyle name="Heading 3 11" xfId="647"/>
    <cellStyle name="Heading 3 12" xfId="648"/>
    <cellStyle name="Heading 3 13" xfId="649"/>
    <cellStyle name="Heading 3 14" xfId="650"/>
    <cellStyle name="Heading 3 15" xfId="651"/>
    <cellStyle name="Heading 3 16" xfId="652"/>
    <cellStyle name="Heading 3 2" xfId="653"/>
    <cellStyle name="Heading 3 2 2" xfId="654"/>
    <cellStyle name="Heading 3 2 2 2" xfId="3109"/>
    <cellStyle name="Heading 3 2 3" xfId="3110"/>
    <cellStyle name="Heading 3 2 4" xfId="3111"/>
    <cellStyle name="Heading 3 2 5" xfId="3112"/>
    <cellStyle name="Heading 3 2 6" xfId="3113"/>
    <cellStyle name="Heading 3 2 7" xfId="3114"/>
    <cellStyle name="Heading 3 2 8" xfId="3108"/>
    <cellStyle name="Heading 3 3" xfId="655"/>
    <cellStyle name="Heading 3 3 2" xfId="3115"/>
    <cellStyle name="Heading 3 4" xfId="656"/>
    <cellStyle name="Heading 3 5" xfId="657"/>
    <cellStyle name="Heading 3 6" xfId="658"/>
    <cellStyle name="Heading 3 7" xfId="659"/>
    <cellStyle name="Heading 3 8" xfId="660"/>
    <cellStyle name="Heading 3 9" xfId="661"/>
    <cellStyle name="Heading 4 10" xfId="662"/>
    <cellStyle name="Heading 4 11" xfId="663"/>
    <cellStyle name="Heading 4 12" xfId="664"/>
    <cellStyle name="Heading 4 13" xfId="665"/>
    <cellStyle name="Heading 4 14" xfId="666"/>
    <cellStyle name="Heading 4 15" xfId="667"/>
    <cellStyle name="Heading 4 16" xfId="668"/>
    <cellStyle name="Heading 4 2" xfId="669"/>
    <cellStyle name="Heading 4 2 2" xfId="670"/>
    <cellStyle name="Heading 4 2 3" xfId="3116"/>
    <cellStyle name="Heading 4 3" xfId="671"/>
    <cellStyle name="Heading 4 4" xfId="672"/>
    <cellStyle name="Heading 4 5" xfId="673"/>
    <cellStyle name="Heading 4 6" xfId="674"/>
    <cellStyle name="Heading 4 7" xfId="675"/>
    <cellStyle name="Heading 4 8" xfId="676"/>
    <cellStyle name="Heading 4 9" xfId="677"/>
    <cellStyle name="Heading2" xfId="3117"/>
    <cellStyle name="Heading3" xfId="3118"/>
    <cellStyle name="HeadingColumn" xfId="3119"/>
    <cellStyle name="HeadingS" xfId="3120"/>
    <cellStyle name="HeadingYear" xfId="3121"/>
    <cellStyle name="HeadlineStyle" xfId="3122"/>
    <cellStyle name="HeadlineStyleJustified" xfId="3123"/>
    <cellStyle name="Hed Side_Sheet1" xfId="3124"/>
    <cellStyle name="Hed Top" xfId="3125"/>
    <cellStyle name="Hyperlink 2" xfId="678"/>
    <cellStyle name="Hyperlink 2 10" xfId="3127"/>
    <cellStyle name="Hyperlink 2 11" xfId="3128"/>
    <cellStyle name="Hyperlink 2 12" xfId="3129"/>
    <cellStyle name="Hyperlink 2 13" xfId="3130"/>
    <cellStyle name="Hyperlink 2 14" xfId="3126"/>
    <cellStyle name="Hyperlink 2 2" xfId="679"/>
    <cellStyle name="Hyperlink 2 2 2" xfId="3132"/>
    <cellStyle name="Hyperlink 2 2 3" xfId="3131"/>
    <cellStyle name="Hyperlink 2 3" xfId="3133"/>
    <cellStyle name="Hyperlink 2 3 2" xfId="3134"/>
    <cellStyle name="Hyperlink 2 4" xfId="3135"/>
    <cellStyle name="Hyperlink 2 5" xfId="3136"/>
    <cellStyle name="Hyperlink 2 6" xfId="3137"/>
    <cellStyle name="Hyperlink 2 7" xfId="3138"/>
    <cellStyle name="Hyperlink 2 8" xfId="3139"/>
    <cellStyle name="Hyperlink 2 9" xfId="3140"/>
    <cellStyle name="Hyperlink 3" xfId="680"/>
    <cellStyle name="Hyperlink 3 10" xfId="3142"/>
    <cellStyle name="Hyperlink 3 11" xfId="3143"/>
    <cellStyle name="Hyperlink 3 12" xfId="3144"/>
    <cellStyle name="Hyperlink 3 13" xfId="3141"/>
    <cellStyle name="Hyperlink 3 2" xfId="3145"/>
    <cellStyle name="Hyperlink 3 3" xfId="3146"/>
    <cellStyle name="Hyperlink 3 4" xfId="3147"/>
    <cellStyle name="Hyperlink 3 5" xfId="3148"/>
    <cellStyle name="Hyperlink 3 6" xfId="3149"/>
    <cellStyle name="Hyperlink 3 7" xfId="3150"/>
    <cellStyle name="Hyperlink 3 8" xfId="3151"/>
    <cellStyle name="Hyperlink 3 9" xfId="3152"/>
    <cellStyle name="Hyperlink 4" xfId="3153"/>
    <cellStyle name="Hyperlink 4 2" xfId="6774"/>
    <cellStyle name="Hyperlink 5" xfId="3154"/>
    <cellStyle name="InLink_Acquis_CapitalCost " xfId="3155"/>
    <cellStyle name="Input (1dp#)_ Pies " xfId="3156"/>
    <cellStyle name="Input [yellow]" xfId="681"/>
    <cellStyle name="Input [yellow] 2" xfId="3157"/>
    <cellStyle name="Input [yellow] 3" xfId="6152"/>
    <cellStyle name="Input 10" xfId="682"/>
    <cellStyle name="Input 11" xfId="683"/>
    <cellStyle name="Input 12" xfId="684"/>
    <cellStyle name="Input 13" xfId="685"/>
    <cellStyle name="Input 14" xfId="686"/>
    <cellStyle name="Input 15" xfId="687"/>
    <cellStyle name="Input 16" xfId="688"/>
    <cellStyle name="Input 16 2" xfId="6159"/>
    <cellStyle name="Input 17" xfId="689"/>
    <cellStyle name="Input 17 2" xfId="6220"/>
    <cellStyle name="Input 18" xfId="690"/>
    <cellStyle name="Input 18 2" xfId="6219"/>
    <cellStyle name="Input 19" xfId="691"/>
    <cellStyle name="Input 19 2" xfId="6218"/>
    <cellStyle name="Input 2" xfId="692"/>
    <cellStyle name="Input 2 10" xfId="3158"/>
    <cellStyle name="Input 2 11" xfId="6007"/>
    <cellStyle name="Input 2 2" xfId="693"/>
    <cellStyle name="Input 2 2 2" xfId="3160"/>
    <cellStyle name="Input 2 2 3" xfId="3159"/>
    <cellStyle name="Input 2 2 4" xfId="6006"/>
    <cellStyle name="Input 2 3" xfId="3161"/>
    <cellStyle name="Input 2 4" xfId="3162"/>
    <cellStyle name="Input 2 5" xfId="3163"/>
    <cellStyle name="Input 2 6" xfId="3164"/>
    <cellStyle name="Input 2 7" xfId="3165"/>
    <cellStyle name="Input 2 8" xfId="3166"/>
    <cellStyle name="Input 2 9" xfId="3167"/>
    <cellStyle name="Input 20" xfId="694"/>
    <cellStyle name="Input 20 2" xfId="6221"/>
    <cellStyle name="Input 21" xfId="695"/>
    <cellStyle name="Input 22" xfId="696"/>
    <cellStyle name="Input 23" xfId="697"/>
    <cellStyle name="Input 24" xfId="698"/>
    <cellStyle name="Input 25" xfId="699"/>
    <cellStyle name="Input 26" xfId="700"/>
    <cellStyle name="Input 3" xfId="701"/>
    <cellStyle name="Input 3 2" xfId="3168"/>
    <cellStyle name="Input 4" xfId="702"/>
    <cellStyle name="Input 5" xfId="703"/>
    <cellStyle name="Input 6" xfId="704"/>
    <cellStyle name="Input 7" xfId="705"/>
    <cellStyle name="Input 8" xfId="706"/>
    <cellStyle name="Input 9" xfId="707"/>
    <cellStyle name="InputBlueFont" xfId="3169"/>
    <cellStyle name="InputGen" xfId="3170"/>
    <cellStyle name="InputKeepColour" xfId="3171"/>
    <cellStyle name="InputKeepPale" xfId="3172"/>
    <cellStyle name="InputVariColour" xfId="3173"/>
    <cellStyle name="Integer" xfId="3174"/>
    <cellStyle name="Invisible" xfId="3175"/>
    <cellStyle name="Item" xfId="3176"/>
    <cellStyle name="Items_Obligatory" xfId="3177"/>
    <cellStyle name="ItemTypeClass" xfId="3178"/>
    <cellStyle name="ItemTypeClass 2" xfId="6005"/>
    <cellStyle name="KP_Normal" xfId="3179"/>
    <cellStyle name="Lien hypertexte visité_index" xfId="3180"/>
    <cellStyle name="Lien hypertexte_index" xfId="3181"/>
    <cellStyle name="ligne_detail" xfId="3182"/>
    <cellStyle name="Line" xfId="3183"/>
    <cellStyle name="Link Currency (0)" xfId="3184"/>
    <cellStyle name="Link Currency (2)" xfId="3185"/>
    <cellStyle name="Link Units (0)" xfId="3186"/>
    <cellStyle name="Link Units (1)" xfId="3187"/>
    <cellStyle name="Link Units (2)" xfId="3188"/>
    <cellStyle name="Linked Cell 10" xfId="708"/>
    <cellStyle name="Linked Cell 11" xfId="709"/>
    <cellStyle name="Linked Cell 12" xfId="710"/>
    <cellStyle name="Linked Cell 13" xfId="711"/>
    <cellStyle name="Linked Cell 14" xfId="712"/>
    <cellStyle name="Linked Cell 15" xfId="713"/>
    <cellStyle name="Linked Cell 16" xfId="714"/>
    <cellStyle name="Linked Cell 2" xfId="715"/>
    <cellStyle name="Linked Cell 2 10" xfId="3189"/>
    <cellStyle name="Linked Cell 2 2" xfId="716"/>
    <cellStyle name="Linked Cell 2 2 2" xfId="3190"/>
    <cellStyle name="Linked Cell 2 3" xfId="3191"/>
    <cellStyle name="Linked Cell 2 4" xfId="3192"/>
    <cellStyle name="Linked Cell 2 5" xfId="3193"/>
    <cellStyle name="Linked Cell 2 6" xfId="3194"/>
    <cellStyle name="Linked Cell 2 7" xfId="3195"/>
    <cellStyle name="Linked Cell 2 8" xfId="3196"/>
    <cellStyle name="Linked Cell 2 9" xfId="3197"/>
    <cellStyle name="Linked Cell 3" xfId="717"/>
    <cellStyle name="Linked Cell 4" xfId="718"/>
    <cellStyle name="Linked Cell 5" xfId="719"/>
    <cellStyle name="Linked Cell 6" xfId="720"/>
    <cellStyle name="Linked Cell 7" xfId="721"/>
    <cellStyle name="Linked Cell 8" xfId="722"/>
    <cellStyle name="Linked Cell 9" xfId="723"/>
    <cellStyle name="M" xfId="724"/>
    <cellStyle name="M.00" xfId="725"/>
    <cellStyle name="m/d/yy" xfId="3198"/>
    <cellStyle name="M_9. Rev2Cost_GDPIPI" xfId="726"/>
    <cellStyle name="M_lists" xfId="727"/>
    <cellStyle name="M_lists_4. Current Monthly Fixed Charge" xfId="728"/>
    <cellStyle name="M_Sheet4" xfId="729"/>
    <cellStyle name="m1" xfId="3199"/>
    <cellStyle name="Major item" xfId="3200"/>
    <cellStyle name="Margin" xfId="3201"/>
    <cellStyle name="Migliaia (0)_Sheet1" xfId="3202"/>
    <cellStyle name="Migliaia_piv_polio" xfId="3203"/>
    <cellStyle name="Millares [0]_Asset Mgmt " xfId="3204"/>
    <cellStyle name="Millares_2AV_M_M " xfId="3205"/>
    <cellStyle name="Milliers [0]_CANADA1" xfId="3206"/>
    <cellStyle name="Milliers 2" xfId="3207"/>
    <cellStyle name="Milliers_CANADA1" xfId="3208"/>
    <cellStyle name="mm/dd/yy" xfId="3209"/>
    <cellStyle name="mod1" xfId="3210"/>
    <cellStyle name="modelo1" xfId="3211"/>
    <cellStyle name="Moneda [0]_2AV_M_M " xfId="3212"/>
    <cellStyle name="Moneda_2AV_M_M " xfId="3213"/>
    <cellStyle name="Monétaire [0]_CANADA1" xfId="3214"/>
    <cellStyle name="Monétaire 2" xfId="3215"/>
    <cellStyle name="Monétaire_CANADA1" xfId="3216"/>
    <cellStyle name="Monetario" xfId="3217"/>
    <cellStyle name="MonthYears" xfId="3218"/>
    <cellStyle name="Multiple" xfId="3219"/>
    <cellStyle name="Multiple (no x)" xfId="3220"/>
    <cellStyle name="Multiple (x)" xfId="3221"/>
    <cellStyle name="Multiple [0]" xfId="3222"/>
    <cellStyle name="Multiple [1]" xfId="3223"/>
    <cellStyle name="Multiple [2]" xfId="3224"/>
    <cellStyle name="Multiple [3]" xfId="3225"/>
    <cellStyle name="Multiple_1030171N" xfId="3226"/>
    <cellStyle name="neg0.0_CapitalCost " xfId="3227"/>
    <cellStyle name="Neutral 10" xfId="730"/>
    <cellStyle name="Neutral 11" xfId="731"/>
    <cellStyle name="Neutral 12" xfId="732"/>
    <cellStyle name="Neutral 13" xfId="733"/>
    <cellStyle name="Neutral 14" xfId="734"/>
    <cellStyle name="Neutral 15" xfId="735"/>
    <cellStyle name="Neutral 16" xfId="736"/>
    <cellStyle name="Neutral 2" xfId="737"/>
    <cellStyle name="Neutral 2 10" xfId="3228"/>
    <cellStyle name="Neutral 2 2" xfId="738"/>
    <cellStyle name="Neutral 2 2 2" xfId="3229"/>
    <cellStyle name="Neutral 2 3" xfId="3230"/>
    <cellStyle name="Neutral 2 4" xfId="3231"/>
    <cellStyle name="Neutral 2 5" xfId="3232"/>
    <cellStyle name="Neutral 2 6" xfId="3233"/>
    <cellStyle name="Neutral 2 7" xfId="3234"/>
    <cellStyle name="Neutral 2 8" xfId="3235"/>
    <cellStyle name="Neutral 2 9" xfId="3236"/>
    <cellStyle name="Neutral 3" xfId="739"/>
    <cellStyle name="Neutral 4" xfId="740"/>
    <cellStyle name="Neutral 5" xfId="741"/>
    <cellStyle name="Neutral 6" xfId="742"/>
    <cellStyle name="Neutral 7" xfId="743"/>
    <cellStyle name="Neutral 8" xfId="744"/>
    <cellStyle name="Neutral 9" xfId="745"/>
    <cellStyle name="New" xfId="3237"/>
    <cellStyle name="Nil" xfId="3238"/>
    <cellStyle name="no dec" xfId="3239"/>
    <cellStyle name="No-definido" xfId="3240"/>
    <cellStyle name="Non_Input_Cell_Figures" xfId="3241"/>
    <cellStyle name="NonPrintingArea" xfId="3242"/>
    <cellStyle name="NORAYAS" xfId="3243"/>
    <cellStyle name="Normal" xfId="0" builtinId="0"/>
    <cellStyle name="Normal--" xfId="3244"/>
    <cellStyle name="Normal - Style1" xfId="746"/>
    <cellStyle name="Normal - Style1 2" xfId="3245"/>
    <cellStyle name="Normal [0]" xfId="3246"/>
    <cellStyle name="Normal [1]" xfId="3247"/>
    <cellStyle name="Normal [3]" xfId="3248"/>
    <cellStyle name="Normal [3] 2" xfId="3249"/>
    <cellStyle name="Normal [3] 3" xfId="3250"/>
    <cellStyle name="Normal 10" xfId="747"/>
    <cellStyle name="Normal 10 2" xfId="3252"/>
    <cellStyle name="Normal 10 3" xfId="3253"/>
    <cellStyle name="Normal 10 4" xfId="3254"/>
    <cellStyle name="Normal 10 5" xfId="3255"/>
    <cellStyle name="Normal 10 6" xfId="3256"/>
    <cellStyle name="Normal 10 7" xfId="3257"/>
    <cellStyle name="Normal 10 8" xfId="3251"/>
    <cellStyle name="Normal 100" xfId="9064"/>
    <cellStyle name="Normal 101" xfId="9061"/>
    <cellStyle name="Normal 102" xfId="11941"/>
    <cellStyle name="Normal 103" xfId="6043"/>
    <cellStyle name="Normal 104" xfId="6066"/>
    <cellStyle name="Normal 11" xfId="748"/>
    <cellStyle name="Normal 11 2" xfId="3259"/>
    <cellStyle name="Normal 11 2 2" xfId="3260"/>
    <cellStyle name="Normal 11 3" xfId="3261"/>
    <cellStyle name="Normal 11 4" xfId="3262"/>
    <cellStyle name="Normal 11 5" xfId="3263"/>
    <cellStyle name="Normal 11 6" xfId="3264"/>
    <cellStyle name="Normal 11 7" xfId="3265"/>
    <cellStyle name="Normal 11 8" xfId="3258"/>
    <cellStyle name="Normal 12" xfId="749"/>
    <cellStyle name="Normal 12 2" xfId="3267"/>
    <cellStyle name="Normal 12 3" xfId="3268"/>
    <cellStyle name="Normal 12 4" xfId="3269"/>
    <cellStyle name="Normal 12 5" xfId="3270"/>
    <cellStyle name="Normal 12 6" xfId="3266"/>
    <cellStyle name="Normal 13" xfId="750"/>
    <cellStyle name="Normal 13 2" xfId="3272"/>
    <cellStyle name="Normal 13 3" xfId="3273"/>
    <cellStyle name="Normal 13 4" xfId="3271"/>
    <cellStyle name="Normal 14" xfId="751"/>
    <cellStyle name="Normal 14 2" xfId="3275"/>
    <cellStyle name="Normal 14 3" xfId="3276"/>
    <cellStyle name="Normal 14 4" xfId="3274"/>
    <cellStyle name="Normal 15" xfId="752"/>
    <cellStyle name="Normal 15 2" xfId="3278"/>
    <cellStyle name="Normal 15 2 2" xfId="3279"/>
    <cellStyle name="Normal 15 3" xfId="3280"/>
    <cellStyle name="Normal 15 4" xfId="3281"/>
    <cellStyle name="Normal 15 5" xfId="3277"/>
    <cellStyle name="Normal 16" xfId="753"/>
    <cellStyle name="Normal 16 10" xfId="754"/>
    <cellStyle name="Normal 16 10 2" xfId="7214"/>
    <cellStyle name="Normal 16 10 2 2" xfId="8691"/>
    <cellStyle name="Normal 16 10 2 2 2" xfId="11588"/>
    <cellStyle name="Normal 16 10 2 3" xfId="10148"/>
    <cellStyle name="Normal 16 10 3" xfId="8033"/>
    <cellStyle name="Normal 16 10 3 2" xfId="10930"/>
    <cellStyle name="Normal 16 10 4" xfId="9490"/>
    <cellStyle name="Normal 16 10 5" xfId="6538"/>
    <cellStyle name="Normal 16 11" xfId="755"/>
    <cellStyle name="Normal 16 11 2" xfId="6981"/>
    <cellStyle name="Normal 16 11 2 2" xfId="8458"/>
    <cellStyle name="Normal 16 11 2 2 2" xfId="11355"/>
    <cellStyle name="Normal 16 11 2 3" xfId="9915"/>
    <cellStyle name="Normal 16 11 3" xfId="7799"/>
    <cellStyle name="Normal 16 11 3 2" xfId="10697"/>
    <cellStyle name="Normal 16 11 4" xfId="9257"/>
    <cellStyle name="Normal 16 11 5" xfId="6296"/>
    <cellStyle name="Normal 16 12" xfId="3282"/>
    <cellStyle name="Normal 16 12 2" xfId="8921"/>
    <cellStyle name="Normal 16 12 2 2" xfId="11818"/>
    <cellStyle name="Normal 16 12 3" xfId="10378"/>
    <cellStyle name="Normal 16 12 4" xfId="7445"/>
    <cellStyle name="Normal 16 13" xfId="7505"/>
    <cellStyle name="Normal 16 13 2" xfId="8978"/>
    <cellStyle name="Normal 16 13 2 2" xfId="11875"/>
    <cellStyle name="Normal 16 13 3" xfId="10435"/>
    <cellStyle name="Normal 16 14" xfId="6780"/>
    <cellStyle name="Normal 16 14 2" xfId="8263"/>
    <cellStyle name="Normal 16 14 2 2" xfId="11160"/>
    <cellStyle name="Normal 16 14 3" xfId="9720"/>
    <cellStyle name="Normal 16 15" xfId="7602"/>
    <cellStyle name="Normal 16 15 2" xfId="10503"/>
    <cellStyle name="Normal 16 16" xfId="9062"/>
    <cellStyle name="Normal 16 17" xfId="11942"/>
    <cellStyle name="Normal 16 18" xfId="6058"/>
    <cellStyle name="Normal 16 2" xfId="756"/>
    <cellStyle name="Normal 16 2 10" xfId="3283"/>
    <cellStyle name="Normal 16 2 10 2" xfId="8924"/>
    <cellStyle name="Normal 16 2 10 2 2" xfId="11821"/>
    <cellStyle name="Normal 16 2 10 3" xfId="10381"/>
    <cellStyle name="Normal 16 2 10 4" xfId="7450"/>
    <cellStyle name="Normal 16 2 11" xfId="7509"/>
    <cellStyle name="Normal 16 2 11 2" xfId="8981"/>
    <cellStyle name="Normal 16 2 11 2 2" xfId="11878"/>
    <cellStyle name="Normal 16 2 11 3" xfId="10438"/>
    <cellStyle name="Normal 16 2 12" xfId="6787"/>
    <cellStyle name="Normal 16 2 12 2" xfId="8268"/>
    <cellStyle name="Normal 16 2 12 2 2" xfId="11165"/>
    <cellStyle name="Normal 16 2 12 3" xfId="9725"/>
    <cellStyle name="Normal 16 2 13" xfId="7608"/>
    <cellStyle name="Normal 16 2 13 2" xfId="10508"/>
    <cellStyle name="Normal 16 2 14" xfId="9068"/>
    <cellStyle name="Normal 16 2 15" xfId="6071"/>
    <cellStyle name="Normal 16 2 2" xfId="757"/>
    <cellStyle name="Normal 16 2 2 10" xfId="7615"/>
    <cellStyle name="Normal 16 2 2 10 2" xfId="10515"/>
    <cellStyle name="Normal 16 2 2 11" xfId="9075"/>
    <cellStyle name="Normal 16 2 2 12" xfId="6080"/>
    <cellStyle name="Normal 16 2 2 2" xfId="758"/>
    <cellStyle name="Normal 16 2 2 2 10" xfId="9105"/>
    <cellStyle name="Normal 16 2 2 2 11" xfId="6117"/>
    <cellStyle name="Normal 16 2 2 2 2" xfId="759"/>
    <cellStyle name="Normal 16 2 2 2 2 2" xfId="760"/>
    <cellStyle name="Normal 16 2 2 2 2 2 2" xfId="761"/>
    <cellStyle name="Normal 16 2 2 2 2 2 2 2" xfId="7430"/>
    <cellStyle name="Normal 16 2 2 2 2 2 2 2 2" xfId="8907"/>
    <cellStyle name="Normal 16 2 2 2 2 2 2 2 2 2" xfId="11804"/>
    <cellStyle name="Normal 16 2 2 2 2 2 2 2 3" xfId="10364"/>
    <cellStyle name="Normal 16 2 2 2 2 2 2 3" xfId="8249"/>
    <cellStyle name="Normal 16 2 2 2 2 2 2 3 2" xfId="11146"/>
    <cellStyle name="Normal 16 2 2 2 2 2 2 4" xfId="9706"/>
    <cellStyle name="Normal 16 2 2 2 2 2 2 5" xfId="6754"/>
    <cellStyle name="Normal 16 2 2 2 2 2 3" xfId="7197"/>
    <cellStyle name="Normal 16 2 2 2 2 2 3 2" xfId="8674"/>
    <cellStyle name="Normal 16 2 2 2 2 2 3 2 2" xfId="11571"/>
    <cellStyle name="Normal 16 2 2 2 2 2 3 3" xfId="10131"/>
    <cellStyle name="Normal 16 2 2 2 2 2 4" xfId="8016"/>
    <cellStyle name="Normal 16 2 2 2 2 2 4 2" xfId="10913"/>
    <cellStyle name="Normal 16 2 2 2 2 2 5" xfId="9473"/>
    <cellStyle name="Normal 16 2 2 2 2 2 6" xfId="6521"/>
    <cellStyle name="Normal 16 2 2 2 2 3" xfId="762"/>
    <cellStyle name="Normal 16 2 2 2 2 3 2" xfId="7314"/>
    <cellStyle name="Normal 16 2 2 2 2 3 2 2" xfId="8791"/>
    <cellStyle name="Normal 16 2 2 2 2 3 2 2 2" xfId="11688"/>
    <cellStyle name="Normal 16 2 2 2 2 3 2 3" xfId="10248"/>
    <cellStyle name="Normal 16 2 2 2 2 3 3" xfId="8133"/>
    <cellStyle name="Normal 16 2 2 2 2 3 3 2" xfId="11030"/>
    <cellStyle name="Normal 16 2 2 2 2 3 4" xfId="9590"/>
    <cellStyle name="Normal 16 2 2 2 2 3 5" xfId="6638"/>
    <cellStyle name="Normal 16 2 2 2 2 4" xfId="763"/>
    <cellStyle name="Normal 16 2 2 2 2 4 2" xfId="7081"/>
    <cellStyle name="Normal 16 2 2 2 2 4 2 2" xfId="8558"/>
    <cellStyle name="Normal 16 2 2 2 2 4 2 2 2" xfId="11455"/>
    <cellStyle name="Normal 16 2 2 2 2 4 2 3" xfId="10015"/>
    <cellStyle name="Normal 16 2 2 2 2 4 3" xfId="7899"/>
    <cellStyle name="Normal 16 2 2 2 2 4 3 2" xfId="10797"/>
    <cellStyle name="Normal 16 2 2 2 2 4 4" xfId="9357"/>
    <cellStyle name="Normal 16 2 2 2 2 4 5" xfId="6402"/>
    <cellStyle name="Normal 16 2 2 2 2 5" xfId="6909"/>
    <cellStyle name="Normal 16 2 2 2 2 5 2" xfId="8387"/>
    <cellStyle name="Normal 16 2 2 2 2 5 2 2" xfId="11284"/>
    <cellStyle name="Normal 16 2 2 2 2 5 3" xfId="9844"/>
    <cellStyle name="Normal 16 2 2 2 2 6" xfId="7726"/>
    <cellStyle name="Normal 16 2 2 2 2 6 2" xfId="10626"/>
    <cellStyle name="Normal 16 2 2 2 2 7" xfId="9186"/>
    <cellStyle name="Normal 16 2 2 2 2 8" xfId="6205"/>
    <cellStyle name="Normal 16 2 2 2 3" xfId="764"/>
    <cellStyle name="Normal 16 2 2 2 3 2" xfId="765"/>
    <cellStyle name="Normal 16 2 2 2 3 2 2" xfId="7374"/>
    <cellStyle name="Normal 16 2 2 2 3 2 2 2" xfId="8851"/>
    <cellStyle name="Normal 16 2 2 2 3 2 2 2 2" xfId="11748"/>
    <cellStyle name="Normal 16 2 2 2 3 2 2 3" xfId="10308"/>
    <cellStyle name="Normal 16 2 2 2 3 2 3" xfId="8193"/>
    <cellStyle name="Normal 16 2 2 2 3 2 3 2" xfId="11090"/>
    <cellStyle name="Normal 16 2 2 2 3 2 4" xfId="9650"/>
    <cellStyle name="Normal 16 2 2 2 3 2 5" xfId="6698"/>
    <cellStyle name="Normal 16 2 2 2 3 3" xfId="766"/>
    <cellStyle name="Normal 16 2 2 2 3 3 2" xfId="7141"/>
    <cellStyle name="Normal 16 2 2 2 3 3 2 2" xfId="8618"/>
    <cellStyle name="Normal 16 2 2 2 3 3 2 2 2" xfId="11515"/>
    <cellStyle name="Normal 16 2 2 2 3 3 2 3" xfId="10075"/>
    <cellStyle name="Normal 16 2 2 2 3 3 3" xfId="7960"/>
    <cellStyle name="Normal 16 2 2 2 3 3 3 2" xfId="10857"/>
    <cellStyle name="Normal 16 2 2 2 3 3 4" xfId="9417"/>
    <cellStyle name="Normal 16 2 2 2 3 3 5" xfId="6465"/>
    <cellStyle name="Normal 16 2 2 2 3 4" xfId="6966"/>
    <cellStyle name="Normal 16 2 2 2 3 4 2" xfId="8443"/>
    <cellStyle name="Normal 16 2 2 2 3 4 2 2" xfId="11340"/>
    <cellStyle name="Normal 16 2 2 2 3 4 3" xfId="9900"/>
    <cellStyle name="Normal 16 2 2 2 3 5" xfId="7783"/>
    <cellStyle name="Normal 16 2 2 2 3 5 2" xfId="10682"/>
    <cellStyle name="Normal 16 2 2 2 3 6" xfId="9242"/>
    <cellStyle name="Normal 16 2 2 2 3 7" xfId="6267"/>
    <cellStyle name="Normal 16 2 2 2 4" xfId="767"/>
    <cellStyle name="Normal 16 2 2 2 4 2" xfId="7258"/>
    <cellStyle name="Normal 16 2 2 2 4 2 2" xfId="8735"/>
    <cellStyle name="Normal 16 2 2 2 4 2 2 2" xfId="11632"/>
    <cellStyle name="Normal 16 2 2 2 4 2 3" xfId="10192"/>
    <cellStyle name="Normal 16 2 2 2 4 3" xfId="8077"/>
    <cellStyle name="Normal 16 2 2 2 4 3 2" xfId="10974"/>
    <cellStyle name="Normal 16 2 2 2 4 4" xfId="9534"/>
    <cellStyle name="Normal 16 2 2 2 4 5" xfId="6582"/>
    <cellStyle name="Normal 16 2 2 2 5" xfId="768"/>
    <cellStyle name="Normal 16 2 2 2 5 2" xfId="7025"/>
    <cellStyle name="Normal 16 2 2 2 5 2 2" xfId="8502"/>
    <cellStyle name="Normal 16 2 2 2 5 2 2 2" xfId="11399"/>
    <cellStyle name="Normal 16 2 2 2 5 2 3" xfId="9959"/>
    <cellStyle name="Normal 16 2 2 2 5 3" xfId="7843"/>
    <cellStyle name="Normal 16 2 2 2 5 3 2" xfId="10741"/>
    <cellStyle name="Normal 16 2 2 2 5 4" xfId="9301"/>
    <cellStyle name="Normal 16 2 2 2 5 5" xfId="6346"/>
    <cellStyle name="Normal 16 2 2 2 6" xfId="7491"/>
    <cellStyle name="Normal 16 2 2 2 6 2" xfId="8965"/>
    <cellStyle name="Normal 16 2 2 2 6 2 2" xfId="11862"/>
    <cellStyle name="Normal 16 2 2 2 6 3" xfId="10422"/>
    <cellStyle name="Normal 16 2 2 2 7" xfId="7550"/>
    <cellStyle name="Normal 16 2 2 2 7 2" xfId="9022"/>
    <cellStyle name="Normal 16 2 2 2 7 2 2" xfId="11919"/>
    <cellStyle name="Normal 16 2 2 2 7 3" xfId="10479"/>
    <cellStyle name="Normal 16 2 2 2 8" xfId="6826"/>
    <cellStyle name="Normal 16 2 2 2 8 2" xfId="8306"/>
    <cellStyle name="Normal 16 2 2 2 8 2 2" xfId="11203"/>
    <cellStyle name="Normal 16 2 2 2 8 3" xfId="9763"/>
    <cellStyle name="Normal 16 2 2 2 9" xfId="7645"/>
    <cellStyle name="Normal 16 2 2 2 9 2" xfId="10545"/>
    <cellStyle name="Normal 16 2 2 3" xfId="769"/>
    <cellStyle name="Normal 16 2 2 3 2" xfId="770"/>
    <cellStyle name="Normal 16 2 2 3 2 2" xfId="771"/>
    <cellStyle name="Normal 16 2 2 3 2 2 2" xfId="7400"/>
    <cellStyle name="Normal 16 2 2 3 2 2 2 2" xfId="8877"/>
    <cellStyle name="Normal 16 2 2 3 2 2 2 2 2" xfId="11774"/>
    <cellStyle name="Normal 16 2 2 3 2 2 2 3" xfId="10334"/>
    <cellStyle name="Normal 16 2 2 3 2 2 3" xfId="8219"/>
    <cellStyle name="Normal 16 2 2 3 2 2 3 2" xfId="11116"/>
    <cellStyle name="Normal 16 2 2 3 2 2 4" xfId="9676"/>
    <cellStyle name="Normal 16 2 2 3 2 2 5" xfId="6724"/>
    <cellStyle name="Normal 16 2 2 3 2 3" xfId="7167"/>
    <cellStyle name="Normal 16 2 2 3 2 3 2" xfId="8644"/>
    <cellStyle name="Normal 16 2 2 3 2 3 2 2" xfId="11541"/>
    <cellStyle name="Normal 16 2 2 3 2 3 3" xfId="10101"/>
    <cellStyle name="Normal 16 2 2 3 2 4" xfId="7986"/>
    <cellStyle name="Normal 16 2 2 3 2 4 2" xfId="10883"/>
    <cellStyle name="Normal 16 2 2 3 2 5" xfId="9443"/>
    <cellStyle name="Normal 16 2 2 3 2 6" xfId="6491"/>
    <cellStyle name="Normal 16 2 2 3 3" xfId="772"/>
    <cellStyle name="Normal 16 2 2 3 3 2" xfId="7284"/>
    <cellStyle name="Normal 16 2 2 3 3 2 2" xfId="8761"/>
    <cellStyle name="Normal 16 2 2 3 3 2 2 2" xfId="11658"/>
    <cellStyle name="Normal 16 2 2 3 3 2 3" xfId="10218"/>
    <cellStyle name="Normal 16 2 2 3 3 3" xfId="8103"/>
    <cellStyle name="Normal 16 2 2 3 3 3 2" xfId="11000"/>
    <cellStyle name="Normal 16 2 2 3 3 4" xfId="9560"/>
    <cellStyle name="Normal 16 2 2 3 3 5" xfId="6608"/>
    <cellStyle name="Normal 16 2 2 3 4" xfId="773"/>
    <cellStyle name="Normal 16 2 2 3 4 2" xfId="7051"/>
    <cellStyle name="Normal 16 2 2 3 4 2 2" xfId="8528"/>
    <cellStyle name="Normal 16 2 2 3 4 2 2 2" xfId="11425"/>
    <cellStyle name="Normal 16 2 2 3 4 2 3" xfId="9985"/>
    <cellStyle name="Normal 16 2 2 3 4 3" xfId="7869"/>
    <cellStyle name="Normal 16 2 2 3 4 3 2" xfId="10767"/>
    <cellStyle name="Normal 16 2 2 3 4 4" xfId="9327"/>
    <cellStyle name="Normal 16 2 2 3 4 5" xfId="6372"/>
    <cellStyle name="Normal 16 2 2 3 5" xfId="6879"/>
    <cellStyle name="Normal 16 2 2 3 5 2" xfId="8357"/>
    <cellStyle name="Normal 16 2 2 3 5 2 2" xfId="11254"/>
    <cellStyle name="Normal 16 2 2 3 5 3" xfId="9814"/>
    <cellStyle name="Normal 16 2 2 3 6" xfId="7696"/>
    <cellStyle name="Normal 16 2 2 3 6 2" xfId="10596"/>
    <cellStyle name="Normal 16 2 2 3 7" xfId="9156"/>
    <cellStyle name="Normal 16 2 2 3 8" xfId="6174"/>
    <cellStyle name="Normal 16 2 2 4" xfId="774"/>
    <cellStyle name="Normal 16 2 2 4 2" xfId="775"/>
    <cellStyle name="Normal 16 2 2 4 2 2" xfId="7348"/>
    <cellStyle name="Normal 16 2 2 4 2 2 2" xfId="8825"/>
    <cellStyle name="Normal 16 2 2 4 2 2 2 2" xfId="11722"/>
    <cellStyle name="Normal 16 2 2 4 2 2 3" xfId="10282"/>
    <cellStyle name="Normal 16 2 2 4 2 3" xfId="8167"/>
    <cellStyle name="Normal 16 2 2 4 2 3 2" xfId="11064"/>
    <cellStyle name="Normal 16 2 2 4 2 4" xfId="9624"/>
    <cellStyle name="Normal 16 2 2 4 2 5" xfId="6672"/>
    <cellStyle name="Normal 16 2 2 4 3" xfId="776"/>
    <cellStyle name="Normal 16 2 2 4 3 2" xfId="7115"/>
    <cellStyle name="Normal 16 2 2 4 3 2 2" xfId="8592"/>
    <cellStyle name="Normal 16 2 2 4 3 2 2 2" xfId="11489"/>
    <cellStyle name="Normal 16 2 2 4 3 2 3" xfId="10049"/>
    <cellStyle name="Normal 16 2 2 4 3 3" xfId="7934"/>
    <cellStyle name="Normal 16 2 2 4 3 3 2" xfId="10831"/>
    <cellStyle name="Normal 16 2 2 4 3 4" xfId="9391"/>
    <cellStyle name="Normal 16 2 2 4 3 5" xfId="6439"/>
    <cellStyle name="Normal 16 2 2 4 4" xfId="6936"/>
    <cellStyle name="Normal 16 2 2 4 4 2" xfId="8413"/>
    <cellStyle name="Normal 16 2 2 4 4 2 2" xfId="11310"/>
    <cellStyle name="Normal 16 2 2 4 4 3" xfId="9870"/>
    <cellStyle name="Normal 16 2 2 4 5" xfId="7753"/>
    <cellStyle name="Normal 16 2 2 4 5 2" xfId="10652"/>
    <cellStyle name="Normal 16 2 2 4 6" xfId="9212"/>
    <cellStyle name="Normal 16 2 2 4 7" xfId="6237"/>
    <cellStyle name="Normal 16 2 2 5" xfId="777"/>
    <cellStyle name="Normal 16 2 2 5 2" xfId="7232"/>
    <cellStyle name="Normal 16 2 2 5 2 2" xfId="8709"/>
    <cellStyle name="Normal 16 2 2 5 2 2 2" xfId="11606"/>
    <cellStyle name="Normal 16 2 2 5 2 3" xfId="10166"/>
    <cellStyle name="Normal 16 2 2 5 3" xfId="8051"/>
    <cellStyle name="Normal 16 2 2 5 3 2" xfId="10948"/>
    <cellStyle name="Normal 16 2 2 5 4" xfId="9508"/>
    <cellStyle name="Normal 16 2 2 5 5" xfId="6556"/>
    <cellStyle name="Normal 16 2 2 6" xfId="778"/>
    <cellStyle name="Normal 16 2 2 6 2" xfId="6999"/>
    <cellStyle name="Normal 16 2 2 6 2 2" xfId="8476"/>
    <cellStyle name="Normal 16 2 2 6 2 2 2" xfId="11373"/>
    <cellStyle name="Normal 16 2 2 6 2 3" xfId="9933"/>
    <cellStyle name="Normal 16 2 2 6 3" xfId="7817"/>
    <cellStyle name="Normal 16 2 2 6 3 2" xfId="10715"/>
    <cellStyle name="Normal 16 2 2 6 4" xfId="9275"/>
    <cellStyle name="Normal 16 2 2 6 5" xfId="6320"/>
    <cellStyle name="Normal 16 2 2 7" xfId="7465"/>
    <cellStyle name="Normal 16 2 2 7 2" xfId="8939"/>
    <cellStyle name="Normal 16 2 2 7 2 2" xfId="11836"/>
    <cellStyle name="Normal 16 2 2 7 3" xfId="10396"/>
    <cellStyle name="Normal 16 2 2 8" xfId="7524"/>
    <cellStyle name="Normal 16 2 2 8 2" xfId="8996"/>
    <cellStyle name="Normal 16 2 2 8 2 2" xfId="11893"/>
    <cellStyle name="Normal 16 2 2 8 3" xfId="10453"/>
    <cellStyle name="Normal 16 2 2 9" xfId="6795"/>
    <cellStyle name="Normal 16 2 2 9 2" xfId="8276"/>
    <cellStyle name="Normal 16 2 2 9 2 2" xfId="11173"/>
    <cellStyle name="Normal 16 2 2 9 3" xfId="9733"/>
    <cellStyle name="Normal 16 2 3" xfId="779"/>
    <cellStyle name="Normal 16 2 3 10" xfId="7623"/>
    <cellStyle name="Normal 16 2 3 10 2" xfId="10523"/>
    <cellStyle name="Normal 16 2 3 11" xfId="9083"/>
    <cellStyle name="Normal 16 2 3 12" xfId="6088"/>
    <cellStyle name="Normal 16 2 3 2" xfId="780"/>
    <cellStyle name="Normal 16 2 3 2 10" xfId="9113"/>
    <cellStyle name="Normal 16 2 3 2 11" xfId="6125"/>
    <cellStyle name="Normal 16 2 3 2 2" xfId="781"/>
    <cellStyle name="Normal 16 2 3 2 2 2" xfId="782"/>
    <cellStyle name="Normal 16 2 3 2 2 2 2" xfId="783"/>
    <cellStyle name="Normal 16 2 3 2 2 2 2 2" xfId="7438"/>
    <cellStyle name="Normal 16 2 3 2 2 2 2 2 2" xfId="8915"/>
    <cellStyle name="Normal 16 2 3 2 2 2 2 2 2 2" xfId="11812"/>
    <cellStyle name="Normal 16 2 3 2 2 2 2 2 3" xfId="10372"/>
    <cellStyle name="Normal 16 2 3 2 2 2 2 3" xfId="8257"/>
    <cellStyle name="Normal 16 2 3 2 2 2 2 3 2" xfId="11154"/>
    <cellStyle name="Normal 16 2 3 2 2 2 2 4" xfId="9714"/>
    <cellStyle name="Normal 16 2 3 2 2 2 2 5" xfId="6762"/>
    <cellStyle name="Normal 16 2 3 2 2 2 3" xfId="7205"/>
    <cellStyle name="Normal 16 2 3 2 2 2 3 2" xfId="8682"/>
    <cellStyle name="Normal 16 2 3 2 2 2 3 2 2" xfId="11579"/>
    <cellStyle name="Normal 16 2 3 2 2 2 3 3" xfId="10139"/>
    <cellStyle name="Normal 16 2 3 2 2 2 4" xfId="8024"/>
    <cellStyle name="Normal 16 2 3 2 2 2 4 2" xfId="10921"/>
    <cellStyle name="Normal 16 2 3 2 2 2 5" xfId="9481"/>
    <cellStyle name="Normal 16 2 3 2 2 2 6" xfId="6529"/>
    <cellStyle name="Normal 16 2 3 2 2 3" xfId="784"/>
    <cellStyle name="Normal 16 2 3 2 2 3 2" xfId="7322"/>
    <cellStyle name="Normal 16 2 3 2 2 3 2 2" xfId="8799"/>
    <cellStyle name="Normal 16 2 3 2 2 3 2 2 2" xfId="11696"/>
    <cellStyle name="Normal 16 2 3 2 2 3 2 3" xfId="10256"/>
    <cellStyle name="Normal 16 2 3 2 2 3 3" xfId="8141"/>
    <cellStyle name="Normal 16 2 3 2 2 3 3 2" xfId="11038"/>
    <cellStyle name="Normal 16 2 3 2 2 3 4" xfId="9598"/>
    <cellStyle name="Normal 16 2 3 2 2 3 5" xfId="6646"/>
    <cellStyle name="Normal 16 2 3 2 2 4" xfId="785"/>
    <cellStyle name="Normal 16 2 3 2 2 4 2" xfId="7089"/>
    <cellStyle name="Normal 16 2 3 2 2 4 2 2" xfId="8566"/>
    <cellStyle name="Normal 16 2 3 2 2 4 2 2 2" xfId="11463"/>
    <cellStyle name="Normal 16 2 3 2 2 4 2 3" xfId="10023"/>
    <cellStyle name="Normal 16 2 3 2 2 4 3" xfId="7907"/>
    <cellStyle name="Normal 16 2 3 2 2 4 3 2" xfId="10805"/>
    <cellStyle name="Normal 16 2 3 2 2 4 4" xfId="9365"/>
    <cellStyle name="Normal 16 2 3 2 2 4 5" xfId="6410"/>
    <cellStyle name="Normal 16 2 3 2 2 5" xfId="6917"/>
    <cellStyle name="Normal 16 2 3 2 2 5 2" xfId="8395"/>
    <cellStyle name="Normal 16 2 3 2 2 5 2 2" xfId="11292"/>
    <cellStyle name="Normal 16 2 3 2 2 5 3" xfId="9852"/>
    <cellStyle name="Normal 16 2 3 2 2 6" xfId="7734"/>
    <cellStyle name="Normal 16 2 3 2 2 6 2" xfId="10634"/>
    <cellStyle name="Normal 16 2 3 2 2 7" xfId="9194"/>
    <cellStyle name="Normal 16 2 3 2 2 8" xfId="6213"/>
    <cellStyle name="Normal 16 2 3 2 3" xfId="786"/>
    <cellStyle name="Normal 16 2 3 2 3 2" xfId="787"/>
    <cellStyle name="Normal 16 2 3 2 3 2 2" xfId="7382"/>
    <cellStyle name="Normal 16 2 3 2 3 2 2 2" xfId="8859"/>
    <cellStyle name="Normal 16 2 3 2 3 2 2 2 2" xfId="11756"/>
    <cellStyle name="Normal 16 2 3 2 3 2 2 3" xfId="10316"/>
    <cellStyle name="Normal 16 2 3 2 3 2 3" xfId="8201"/>
    <cellStyle name="Normal 16 2 3 2 3 2 3 2" xfId="11098"/>
    <cellStyle name="Normal 16 2 3 2 3 2 4" xfId="9658"/>
    <cellStyle name="Normal 16 2 3 2 3 2 5" xfId="6706"/>
    <cellStyle name="Normal 16 2 3 2 3 3" xfId="788"/>
    <cellStyle name="Normal 16 2 3 2 3 3 2" xfId="7149"/>
    <cellStyle name="Normal 16 2 3 2 3 3 2 2" xfId="8626"/>
    <cellStyle name="Normal 16 2 3 2 3 3 2 2 2" xfId="11523"/>
    <cellStyle name="Normal 16 2 3 2 3 3 2 3" xfId="10083"/>
    <cellStyle name="Normal 16 2 3 2 3 3 3" xfId="7968"/>
    <cellStyle name="Normal 16 2 3 2 3 3 3 2" xfId="10865"/>
    <cellStyle name="Normal 16 2 3 2 3 3 4" xfId="9425"/>
    <cellStyle name="Normal 16 2 3 2 3 3 5" xfId="6473"/>
    <cellStyle name="Normal 16 2 3 2 3 4" xfId="6974"/>
    <cellStyle name="Normal 16 2 3 2 3 4 2" xfId="8451"/>
    <cellStyle name="Normal 16 2 3 2 3 4 2 2" xfId="11348"/>
    <cellStyle name="Normal 16 2 3 2 3 4 3" xfId="9908"/>
    <cellStyle name="Normal 16 2 3 2 3 5" xfId="7791"/>
    <cellStyle name="Normal 16 2 3 2 3 5 2" xfId="10690"/>
    <cellStyle name="Normal 16 2 3 2 3 6" xfId="9250"/>
    <cellStyle name="Normal 16 2 3 2 3 7" xfId="6275"/>
    <cellStyle name="Normal 16 2 3 2 4" xfId="789"/>
    <cellStyle name="Normal 16 2 3 2 4 2" xfId="7266"/>
    <cellStyle name="Normal 16 2 3 2 4 2 2" xfId="8743"/>
    <cellStyle name="Normal 16 2 3 2 4 2 2 2" xfId="11640"/>
    <cellStyle name="Normal 16 2 3 2 4 2 3" xfId="10200"/>
    <cellStyle name="Normal 16 2 3 2 4 3" xfId="8085"/>
    <cellStyle name="Normal 16 2 3 2 4 3 2" xfId="10982"/>
    <cellStyle name="Normal 16 2 3 2 4 4" xfId="9542"/>
    <cellStyle name="Normal 16 2 3 2 4 5" xfId="6590"/>
    <cellStyle name="Normal 16 2 3 2 5" xfId="790"/>
    <cellStyle name="Normal 16 2 3 2 5 2" xfId="7033"/>
    <cellStyle name="Normal 16 2 3 2 5 2 2" xfId="8510"/>
    <cellStyle name="Normal 16 2 3 2 5 2 2 2" xfId="11407"/>
    <cellStyle name="Normal 16 2 3 2 5 2 3" xfId="9967"/>
    <cellStyle name="Normal 16 2 3 2 5 3" xfId="7851"/>
    <cellStyle name="Normal 16 2 3 2 5 3 2" xfId="10749"/>
    <cellStyle name="Normal 16 2 3 2 5 4" xfId="9309"/>
    <cellStyle name="Normal 16 2 3 2 5 5" xfId="6354"/>
    <cellStyle name="Normal 16 2 3 2 6" xfId="7499"/>
    <cellStyle name="Normal 16 2 3 2 6 2" xfId="8973"/>
    <cellStyle name="Normal 16 2 3 2 6 2 2" xfId="11870"/>
    <cellStyle name="Normal 16 2 3 2 6 3" xfId="10430"/>
    <cellStyle name="Normal 16 2 3 2 7" xfId="7558"/>
    <cellStyle name="Normal 16 2 3 2 7 2" xfId="9030"/>
    <cellStyle name="Normal 16 2 3 2 7 2 2" xfId="11927"/>
    <cellStyle name="Normal 16 2 3 2 7 3" xfId="10487"/>
    <cellStyle name="Normal 16 2 3 2 8" xfId="6834"/>
    <cellStyle name="Normal 16 2 3 2 8 2" xfId="8314"/>
    <cellStyle name="Normal 16 2 3 2 8 2 2" xfId="11211"/>
    <cellStyle name="Normal 16 2 3 2 8 3" xfId="9771"/>
    <cellStyle name="Normal 16 2 3 2 9" xfId="7653"/>
    <cellStyle name="Normal 16 2 3 2 9 2" xfId="10553"/>
    <cellStyle name="Normal 16 2 3 3" xfId="791"/>
    <cellStyle name="Normal 16 2 3 3 2" xfId="792"/>
    <cellStyle name="Normal 16 2 3 3 2 2" xfId="793"/>
    <cellStyle name="Normal 16 2 3 3 2 2 2" xfId="7408"/>
    <cellStyle name="Normal 16 2 3 3 2 2 2 2" xfId="8885"/>
    <cellStyle name="Normal 16 2 3 3 2 2 2 2 2" xfId="11782"/>
    <cellStyle name="Normal 16 2 3 3 2 2 2 3" xfId="10342"/>
    <cellStyle name="Normal 16 2 3 3 2 2 3" xfId="8227"/>
    <cellStyle name="Normal 16 2 3 3 2 2 3 2" xfId="11124"/>
    <cellStyle name="Normal 16 2 3 3 2 2 4" xfId="9684"/>
    <cellStyle name="Normal 16 2 3 3 2 2 5" xfId="6732"/>
    <cellStyle name="Normal 16 2 3 3 2 3" xfId="7175"/>
    <cellStyle name="Normal 16 2 3 3 2 3 2" xfId="8652"/>
    <cellStyle name="Normal 16 2 3 3 2 3 2 2" xfId="11549"/>
    <cellStyle name="Normal 16 2 3 3 2 3 3" xfId="10109"/>
    <cellStyle name="Normal 16 2 3 3 2 4" xfId="7994"/>
    <cellStyle name="Normal 16 2 3 3 2 4 2" xfId="10891"/>
    <cellStyle name="Normal 16 2 3 3 2 5" xfId="9451"/>
    <cellStyle name="Normal 16 2 3 3 2 6" xfId="6499"/>
    <cellStyle name="Normal 16 2 3 3 3" xfId="794"/>
    <cellStyle name="Normal 16 2 3 3 3 2" xfId="7292"/>
    <cellStyle name="Normal 16 2 3 3 3 2 2" xfId="8769"/>
    <cellStyle name="Normal 16 2 3 3 3 2 2 2" xfId="11666"/>
    <cellStyle name="Normal 16 2 3 3 3 2 3" xfId="10226"/>
    <cellStyle name="Normal 16 2 3 3 3 3" xfId="8111"/>
    <cellStyle name="Normal 16 2 3 3 3 3 2" xfId="11008"/>
    <cellStyle name="Normal 16 2 3 3 3 4" xfId="9568"/>
    <cellStyle name="Normal 16 2 3 3 3 5" xfId="6616"/>
    <cellStyle name="Normal 16 2 3 3 4" xfId="795"/>
    <cellStyle name="Normal 16 2 3 3 4 2" xfId="7059"/>
    <cellStyle name="Normal 16 2 3 3 4 2 2" xfId="8536"/>
    <cellStyle name="Normal 16 2 3 3 4 2 2 2" xfId="11433"/>
    <cellStyle name="Normal 16 2 3 3 4 2 3" xfId="9993"/>
    <cellStyle name="Normal 16 2 3 3 4 3" xfId="7877"/>
    <cellStyle name="Normal 16 2 3 3 4 3 2" xfId="10775"/>
    <cellStyle name="Normal 16 2 3 3 4 4" xfId="9335"/>
    <cellStyle name="Normal 16 2 3 3 4 5" xfId="6380"/>
    <cellStyle name="Normal 16 2 3 3 5" xfId="6887"/>
    <cellStyle name="Normal 16 2 3 3 5 2" xfId="8365"/>
    <cellStyle name="Normal 16 2 3 3 5 2 2" xfId="11262"/>
    <cellStyle name="Normal 16 2 3 3 5 3" xfId="9822"/>
    <cellStyle name="Normal 16 2 3 3 6" xfId="7704"/>
    <cellStyle name="Normal 16 2 3 3 6 2" xfId="10604"/>
    <cellStyle name="Normal 16 2 3 3 7" xfId="9164"/>
    <cellStyle name="Normal 16 2 3 3 8" xfId="6182"/>
    <cellStyle name="Normal 16 2 3 4" xfId="796"/>
    <cellStyle name="Normal 16 2 3 4 2" xfId="797"/>
    <cellStyle name="Normal 16 2 3 4 2 2" xfId="7356"/>
    <cellStyle name="Normal 16 2 3 4 2 2 2" xfId="8833"/>
    <cellStyle name="Normal 16 2 3 4 2 2 2 2" xfId="11730"/>
    <cellStyle name="Normal 16 2 3 4 2 2 3" xfId="10290"/>
    <cellStyle name="Normal 16 2 3 4 2 3" xfId="8175"/>
    <cellStyle name="Normal 16 2 3 4 2 3 2" xfId="11072"/>
    <cellStyle name="Normal 16 2 3 4 2 4" xfId="9632"/>
    <cellStyle name="Normal 16 2 3 4 2 5" xfId="6680"/>
    <cellStyle name="Normal 16 2 3 4 3" xfId="798"/>
    <cellStyle name="Normal 16 2 3 4 3 2" xfId="7123"/>
    <cellStyle name="Normal 16 2 3 4 3 2 2" xfId="8600"/>
    <cellStyle name="Normal 16 2 3 4 3 2 2 2" xfId="11497"/>
    <cellStyle name="Normal 16 2 3 4 3 2 3" xfId="10057"/>
    <cellStyle name="Normal 16 2 3 4 3 3" xfId="7942"/>
    <cellStyle name="Normal 16 2 3 4 3 3 2" xfId="10839"/>
    <cellStyle name="Normal 16 2 3 4 3 4" xfId="9399"/>
    <cellStyle name="Normal 16 2 3 4 3 5" xfId="6447"/>
    <cellStyle name="Normal 16 2 3 4 4" xfId="6944"/>
    <cellStyle name="Normal 16 2 3 4 4 2" xfId="8421"/>
    <cellStyle name="Normal 16 2 3 4 4 2 2" xfId="11318"/>
    <cellStyle name="Normal 16 2 3 4 4 3" xfId="9878"/>
    <cellStyle name="Normal 16 2 3 4 5" xfId="7761"/>
    <cellStyle name="Normal 16 2 3 4 5 2" xfId="10660"/>
    <cellStyle name="Normal 16 2 3 4 6" xfId="9220"/>
    <cellStyle name="Normal 16 2 3 4 7" xfId="6245"/>
    <cellStyle name="Normal 16 2 3 5" xfId="799"/>
    <cellStyle name="Normal 16 2 3 5 2" xfId="7240"/>
    <cellStyle name="Normal 16 2 3 5 2 2" xfId="8717"/>
    <cellStyle name="Normal 16 2 3 5 2 2 2" xfId="11614"/>
    <cellStyle name="Normal 16 2 3 5 2 3" xfId="10174"/>
    <cellStyle name="Normal 16 2 3 5 3" xfId="8059"/>
    <cellStyle name="Normal 16 2 3 5 3 2" xfId="10956"/>
    <cellStyle name="Normal 16 2 3 5 4" xfId="9516"/>
    <cellStyle name="Normal 16 2 3 5 5" xfId="6564"/>
    <cellStyle name="Normal 16 2 3 6" xfId="800"/>
    <cellStyle name="Normal 16 2 3 6 2" xfId="7007"/>
    <cellStyle name="Normal 16 2 3 6 2 2" xfId="8484"/>
    <cellStyle name="Normal 16 2 3 6 2 2 2" xfId="11381"/>
    <cellStyle name="Normal 16 2 3 6 2 3" xfId="9941"/>
    <cellStyle name="Normal 16 2 3 6 3" xfId="7825"/>
    <cellStyle name="Normal 16 2 3 6 3 2" xfId="10723"/>
    <cellStyle name="Normal 16 2 3 6 4" xfId="9283"/>
    <cellStyle name="Normal 16 2 3 6 5" xfId="6328"/>
    <cellStyle name="Normal 16 2 3 7" xfId="7473"/>
    <cellStyle name="Normal 16 2 3 7 2" xfId="8947"/>
    <cellStyle name="Normal 16 2 3 7 2 2" xfId="11844"/>
    <cellStyle name="Normal 16 2 3 7 3" xfId="10404"/>
    <cellStyle name="Normal 16 2 3 8" xfId="7532"/>
    <cellStyle name="Normal 16 2 3 8 2" xfId="9004"/>
    <cellStyle name="Normal 16 2 3 8 2 2" xfId="11901"/>
    <cellStyle name="Normal 16 2 3 8 3" xfId="10461"/>
    <cellStyle name="Normal 16 2 3 9" xfId="6803"/>
    <cellStyle name="Normal 16 2 3 9 2" xfId="8284"/>
    <cellStyle name="Normal 16 2 3 9 2 2" xfId="11181"/>
    <cellStyle name="Normal 16 2 3 9 3" xfId="9741"/>
    <cellStyle name="Normal 16 2 4" xfId="801"/>
    <cellStyle name="Normal 16 2 4 10" xfId="9097"/>
    <cellStyle name="Normal 16 2 4 11" xfId="6109"/>
    <cellStyle name="Normal 16 2 4 2" xfId="802"/>
    <cellStyle name="Normal 16 2 4 2 2" xfId="803"/>
    <cellStyle name="Normal 16 2 4 2 2 2" xfId="804"/>
    <cellStyle name="Normal 16 2 4 2 2 2 2" xfId="7422"/>
    <cellStyle name="Normal 16 2 4 2 2 2 2 2" xfId="8899"/>
    <cellStyle name="Normal 16 2 4 2 2 2 2 2 2" xfId="11796"/>
    <cellStyle name="Normal 16 2 4 2 2 2 2 3" xfId="10356"/>
    <cellStyle name="Normal 16 2 4 2 2 2 3" xfId="8241"/>
    <cellStyle name="Normal 16 2 4 2 2 2 3 2" xfId="11138"/>
    <cellStyle name="Normal 16 2 4 2 2 2 4" xfId="9698"/>
    <cellStyle name="Normal 16 2 4 2 2 2 5" xfId="6746"/>
    <cellStyle name="Normal 16 2 4 2 2 3" xfId="7189"/>
    <cellStyle name="Normal 16 2 4 2 2 3 2" xfId="8666"/>
    <cellStyle name="Normal 16 2 4 2 2 3 2 2" xfId="11563"/>
    <cellStyle name="Normal 16 2 4 2 2 3 3" xfId="10123"/>
    <cellStyle name="Normal 16 2 4 2 2 4" xfId="8008"/>
    <cellStyle name="Normal 16 2 4 2 2 4 2" xfId="10905"/>
    <cellStyle name="Normal 16 2 4 2 2 5" xfId="9465"/>
    <cellStyle name="Normal 16 2 4 2 2 6" xfId="6513"/>
    <cellStyle name="Normal 16 2 4 2 3" xfId="805"/>
    <cellStyle name="Normal 16 2 4 2 3 2" xfId="7306"/>
    <cellStyle name="Normal 16 2 4 2 3 2 2" xfId="8783"/>
    <cellStyle name="Normal 16 2 4 2 3 2 2 2" xfId="11680"/>
    <cellStyle name="Normal 16 2 4 2 3 2 3" xfId="10240"/>
    <cellStyle name="Normal 16 2 4 2 3 3" xfId="8125"/>
    <cellStyle name="Normal 16 2 4 2 3 3 2" xfId="11022"/>
    <cellStyle name="Normal 16 2 4 2 3 4" xfId="9582"/>
    <cellStyle name="Normal 16 2 4 2 3 5" xfId="6630"/>
    <cellStyle name="Normal 16 2 4 2 4" xfId="806"/>
    <cellStyle name="Normal 16 2 4 2 4 2" xfId="7073"/>
    <cellStyle name="Normal 16 2 4 2 4 2 2" xfId="8550"/>
    <cellStyle name="Normal 16 2 4 2 4 2 2 2" xfId="11447"/>
    <cellStyle name="Normal 16 2 4 2 4 2 3" xfId="10007"/>
    <cellStyle name="Normal 16 2 4 2 4 3" xfId="7891"/>
    <cellStyle name="Normal 16 2 4 2 4 3 2" xfId="10789"/>
    <cellStyle name="Normal 16 2 4 2 4 4" xfId="9349"/>
    <cellStyle name="Normal 16 2 4 2 4 5" xfId="6394"/>
    <cellStyle name="Normal 16 2 4 2 5" xfId="6901"/>
    <cellStyle name="Normal 16 2 4 2 5 2" xfId="8379"/>
    <cellStyle name="Normal 16 2 4 2 5 2 2" xfId="11276"/>
    <cellStyle name="Normal 16 2 4 2 5 3" xfId="9836"/>
    <cellStyle name="Normal 16 2 4 2 6" xfId="7718"/>
    <cellStyle name="Normal 16 2 4 2 6 2" xfId="10618"/>
    <cellStyle name="Normal 16 2 4 2 7" xfId="9178"/>
    <cellStyle name="Normal 16 2 4 2 8" xfId="6197"/>
    <cellStyle name="Normal 16 2 4 3" xfId="807"/>
    <cellStyle name="Normal 16 2 4 3 2" xfId="808"/>
    <cellStyle name="Normal 16 2 4 3 2 2" xfId="7340"/>
    <cellStyle name="Normal 16 2 4 3 2 2 2" xfId="8817"/>
    <cellStyle name="Normal 16 2 4 3 2 2 2 2" xfId="11714"/>
    <cellStyle name="Normal 16 2 4 3 2 2 3" xfId="10274"/>
    <cellStyle name="Normal 16 2 4 3 2 3" xfId="8159"/>
    <cellStyle name="Normal 16 2 4 3 2 3 2" xfId="11056"/>
    <cellStyle name="Normal 16 2 4 3 2 4" xfId="9616"/>
    <cellStyle name="Normal 16 2 4 3 2 5" xfId="6664"/>
    <cellStyle name="Normal 16 2 4 3 3" xfId="809"/>
    <cellStyle name="Normal 16 2 4 3 3 2" xfId="7107"/>
    <cellStyle name="Normal 16 2 4 3 3 2 2" xfId="8584"/>
    <cellStyle name="Normal 16 2 4 3 3 2 2 2" xfId="11481"/>
    <cellStyle name="Normal 16 2 4 3 3 2 3" xfId="10041"/>
    <cellStyle name="Normal 16 2 4 3 3 3" xfId="7926"/>
    <cellStyle name="Normal 16 2 4 3 3 3 2" xfId="10823"/>
    <cellStyle name="Normal 16 2 4 3 3 4" xfId="9383"/>
    <cellStyle name="Normal 16 2 4 3 3 5" xfId="6431"/>
    <cellStyle name="Normal 16 2 4 3 4" xfId="6958"/>
    <cellStyle name="Normal 16 2 4 3 4 2" xfId="8435"/>
    <cellStyle name="Normal 16 2 4 3 4 2 2" xfId="11332"/>
    <cellStyle name="Normal 16 2 4 3 4 3" xfId="9892"/>
    <cellStyle name="Normal 16 2 4 3 5" xfId="7775"/>
    <cellStyle name="Normal 16 2 4 3 5 2" xfId="10674"/>
    <cellStyle name="Normal 16 2 4 3 6" xfId="9234"/>
    <cellStyle name="Normal 16 2 4 3 7" xfId="6259"/>
    <cellStyle name="Normal 16 2 4 4" xfId="810"/>
    <cellStyle name="Normal 16 2 4 4 2" xfId="7224"/>
    <cellStyle name="Normal 16 2 4 4 2 2" xfId="8701"/>
    <cellStyle name="Normal 16 2 4 4 2 2 2" xfId="11598"/>
    <cellStyle name="Normal 16 2 4 4 2 3" xfId="10158"/>
    <cellStyle name="Normal 16 2 4 4 3" xfId="8043"/>
    <cellStyle name="Normal 16 2 4 4 3 2" xfId="10940"/>
    <cellStyle name="Normal 16 2 4 4 4" xfId="9500"/>
    <cellStyle name="Normal 16 2 4 4 5" xfId="6548"/>
    <cellStyle name="Normal 16 2 4 5" xfId="811"/>
    <cellStyle name="Normal 16 2 4 5 2" xfId="6991"/>
    <cellStyle name="Normal 16 2 4 5 2 2" xfId="8468"/>
    <cellStyle name="Normal 16 2 4 5 2 2 2" xfId="11365"/>
    <cellStyle name="Normal 16 2 4 5 2 3" xfId="9925"/>
    <cellStyle name="Normal 16 2 4 5 3" xfId="7809"/>
    <cellStyle name="Normal 16 2 4 5 3 2" xfId="10707"/>
    <cellStyle name="Normal 16 2 4 5 4" xfId="9267"/>
    <cellStyle name="Normal 16 2 4 5 5" xfId="6312"/>
    <cellStyle name="Normal 16 2 4 6" xfId="7457"/>
    <cellStyle name="Normal 16 2 4 6 2" xfId="8931"/>
    <cellStyle name="Normal 16 2 4 6 2 2" xfId="11828"/>
    <cellStyle name="Normal 16 2 4 6 3" xfId="10388"/>
    <cellStyle name="Normal 16 2 4 7" xfId="7516"/>
    <cellStyle name="Normal 16 2 4 7 2" xfId="8988"/>
    <cellStyle name="Normal 16 2 4 7 2 2" xfId="11885"/>
    <cellStyle name="Normal 16 2 4 7 3" xfId="10445"/>
    <cellStyle name="Normal 16 2 4 8" xfId="6818"/>
    <cellStyle name="Normal 16 2 4 8 2" xfId="8298"/>
    <cellStyle name="Normal 16 2 4 8 2 2" xfId="11195"/>
    <cellStyle name="Normal 16 2 4 8 3" xfId="9755"/>
    <cellStyle name="Normal 16 2 4 9" xfId="7637"/>
    <cellStyle name="Normal 16 2 4 9 2" xfId="10537"/>
    <cellStyle name="Normal 16 2 5" xfId="812"/>
    <cellStyle name="Normal 16 2 5 10" xfId="6166"/>
    <cellStyle name="Normal 16 2 5 2" xfId="813"/>
    <cellStyle name="Normal 16 2 5 2 2" xfId="814"/>
    <cellStyle name="Normal 16 2 5 2 2 2" xfId="7366"/>
    <cellStyle name="Normal 16 2 5 2 2 2 2" xfId="8843"/>
    <cellStyle name="Normal 16 2 5 2 2 2 2 2" xfId="11740"/>
    <cellStyle name="Normal 16 2 5 2 2 2 3" xfId="10300"/>
    <cellStyle name="Normal 16 2 5 2 2 3" xfId="8185"/>
    <cellStyle name="Normal 16 2 5 2 2 3 2" xfId="11082"/>
    <cellStyle name="Normal 16 2 5 2 2 4" xfId="9642"/>
    <cellStyle name="Normal 16 2 5 2 2 5" xfId="6690"/>
    <cellStyle name="Normal 16 2 5 2 3" xfId="7133"/>
    <cellStyle name="Normal 16 2 5 2 3 2" xfId="8610"/>
    <cellStyle name="Normal 16 2 5 2 3 2 2" xfId="11507"/>
    <cellStyle name="Normal 16 2 5 2 3 3" xfId="10067"/>
    <cellStyle name="Normal 16 2 5 2 4" xfId="7952"/>
    <cellStyle name="Normal 16 2 5 2 4 2" xfId="10849"/>
    <cellStyle name="Normal 16 2 5 2 5" xfId="9409"/>
    <cellStyle name="Normal 16 2 5 2 6" xfId="6457"/>
    <cellStyle name="Normal 16 2 5 3" xfId="815"/>
    <cellStyle name="Normal 16 2 5 3 2" xfId="7250"/>
    <cellStyle name="Normal 16 2 5 3 2 2" xfId="8727"/>
    <cellStyle name="Normal 16 2 5 3 2 2 2" xfId="11624"/>
    <cellStyle name="Normal 16 2 5 3 2 3" xfId="10184"/>
    <cellStyle name="Normal 16 2 5 3 3" xfId="8069"/>
    <cellStyle name="Normal 16 2 5 3 3 2" xfId="10966"/>
    <cellStyle name="Normal 16 2 5 3 4" xfId="9526"/>
    <cellStyle name="Normal 16 2 5 3 5" xfId="6574"/>
    <cellStyle name="Normal 16 2 5 4" xfId="816"/>
    <cellStyle name="Normal 16 2 5 4 2" xfId="7017"/>
    <cellStyle name="Normal 16 2 5 4 2 2" xfId="8494"/>
    <cellStyle name="Normal 16 2 5 4 2 2 2" xfId="11391"/>
    <cellStyle name="Normal 16 2 5 4 2 3" xfId="9951"/>
    <cellStyle name="Normal 16 2 5 4 3" xfId="7835"/>
    <cellStyle name="Normal 16 2 5 4 3 2" xfId="10733"/>
    <cellStyle name="Normal 16 2 5 4 4" xfId="9293"/>
    <cellStyle name="Normal 16 2 5 4 5" xfId="6338"/>
    <cellStyle name="Normal 16 2 5 5" xfId="7483"/>
    <cellStyle name="Normal 16 2 5 5 2" xfId="8957"/>
    <cellStyle name="Normal 16 2 5 5 2 2" xfId="11854"/>
    <cellStyle name="Normal 16 2 5 5 3" xfId="10414"/>
    <cellStyle name="Normal 16 2 5 6" xfId="7542"/>
    <cellStyle name="Normal 16 2 5 6 2" xfId="9014"/>
    <cellStyle name="Normal 16 2 5 6 2 2" xfId="11911"/>
    <cellStyle name="Normal 16 2 5 6 3" xfId="10471"/>
    <cellStyle name="Normal 16 2 5 7" xfId="6871"/>
    <cellStyle name="Normal 16 2 5 7 2" xfId="8349"/>
    <cellStyle name="Normal 16 2 5 7 2 2" xfId="11246"/>
    <cellStyle name="Normal 16 2 5 7 3" xfId="9806"/>
    <cellStyle name="Normal 16 2 5 8" xfId="7688"/>
    <cellStyle name="Normal 16 2 5 8 2" xfId="10588"/>
    <cellStyle name="Normal 16 2 5 9" xfId="9148"/>
    <cellStyle name="Normal 16 2 6" xfId="817"/>
    <cellStyle name="Normal 16 2 6 2" xfId="818"/>
    <cellStyle name="Normal 16 2 6 2 2" xfId="819"/>
    <cellStyle name="Normal 16 2 6 2 2 2" xfId="7392"/>
    <cellStyle name="Normal 16 2 6 2 2 2 2" xfId="8869"/>
    <cellStyle name="Normal 16 2 6 2 2 2 2 2" xfId="11766"/>
    <cellStyle name="Normal 16 2 6 2 2 2 3" xfId="10326"/>
    <cellStyle name="Normal 16 2 6 2 2 3" xfId="8211"/>
    <cellStyle name="Normal 16 2 6 2 2 3 2" xfId="11108"/>
    <cellStyle name="Normal 16 2 6 2 2 4" xfId="9668"/>
    <cellStyle name="Normal 16 2 6 2 2 5" xfId="6716"/>
    <cellStyle name="Normal 16 2 6 2 3" xfId="7159"/>
    <cellStyle name="Normal 16 2 6 2 3 2" xfId="8636"/>
    <cellStyle name="Normal 16 2 6 2 3 2 2" xfId="11533"/>
    <cellStyle name="Normal 16 2 6 2 3 3" xfId="10093"/>
    <cellStyle name="Normal 16 2 6 2 4" xfId="7978"/>
    <cellStyle name="Normal 16 2 6 2 4 2" xfId="10875"/>
    <cellStyle name="Normal 16 2 6 2 5" xfId="9435"/>
    <cellStyle name="Normal 16 2 6 2 6" xfId="6483"/>
    <cellStyle name="Normal 16 2 6 3" xfId="820"/>
    <cellStyle name="Normal 16 2 6 3 2" xfId="7276"/>
    <cellStyle name="Normal 16 2 6 3 2 2" xfId="8753"/>
    <cellStyle name="Normal 16 2 6 3 2 2 2" xfId="11650"/>
    <cellStyle name="Normal 16 2 6 3 2 3" xfId="10210"/>
    <cellStyle name="Normal 16 2 6 3 3" xfId="8095"/>
    <cellStyle name="Normal 16 2 6 3 3 2" xfId="10992"/>
    <cellStyle name="Normal 16 2 6 3 4" xfId="9552"/>
    <cellStyle name="Normal 16 2 6 3 5" xfId="6600"/>
    <cellStyle name="Normal 16 2 6 4" xfId="821"/>
    <cellStyle name="Normal 16 2 6 4 2" xfId="7043"/>
    <cellStyle name="Normal 16 2 6 4 2 2" xfId="8520"/>
    <cellStyle name="Normal 16 2 6 4 2 2 2" xfId="11417"/>
    <cellStyle name="Normal 16 2 6 4 2 3" xfId="9977"/>
    <cellStyle name="Normal 16 2 6 4 3" xfId="7861"/>
    <cellStyle name="Normal 16 2 6 4 3 2" xfId="10759"/>
    <cellStyle name="Normal 16 2 6 4 4" xfId="9319"/>
    <cellStyle name="Normal 16 2 6 4 5" xfId="6364"/>
    <cellStyle name="Normal 16 2 6 5" xfId="6928"/>
    <cellStyle name="Normal 16 2 6 5 2" xfId="8405"/>
    <cellStyle name="Normal 16 2 6 5 2 2" xfId="11302"/>
    <cellStyle name="Normal 16 2 6 5 3" xfId="9862"/>
    <cellStyle name="Normal 16 2 6 6" xfId="7745"/>
    <cellStyle name="Normal 16 2 6 6 2" xfId="10644"/>
    <cellStyle name="Normal 16 2 6 7" xfId="9204"/>
    <cellStyle name="Normal 16 2 6 8" xfId="6229"/>
    <cellStyle name="Normal 16 2 7" xfId="822"/>
    <cellStyle name="Normal 16 2 7 2" xfId="823"/>
    <cellStyle name="Normal 16 2 7 2 2" xfId="7333"/>
    <cellStyle name="Normal 16 2 7 2 2 2" xfId="8810"/>
    <cellStyle name="Normal 16 2 7 2 2 2 2" xfId="11707"/>
    <cellStyle name="Normal 16 2 7 2 2 3" xfId="10267"/>
    <cellStyle name="Normal 16 2 7 2 3" xfId="8152"/>
    <cellStyle name="Normal 16 2 7 2 3 2" xfId="11049"/>
    <cellStyle name="Normal 16 2 7 2 4" xfId="9609"/>
    <cellStyle name="Normal 16 2 7 2 5" xfId="6657"/>
    <cellStyle name="Normal 16 2 7 3" xfId="7100"/>
    <cellStyle name="Normal 16 2 7 3 2" xfId="8577"/>
    <cellStyle name="Normal 16 2 7 3 2 2" xfId="11474"/>
    <cellStyle name="Normal 16 2 7 3 3" xfId="10034"/>
    <cellStyle name="Normal 16 2 7 4" xfId="7919"/>
    <cellStyle name="Normal 16 2 7 4 2" xfId="10816"/>
    <cellStyle name="Normal 16 2 7 5" xfId="9376"/>
    <cellStyle name="Normal 16 2 7 6" xfId="6424"/>
    <cellStyle name="Normal 16 2 8" xfId="824"/>
    <cellStyle name="Normal 16 2 8 2" xfId="7217"/>
    <cellStyle name="Normal 16 2 8 2 2" xfId="8694"/>
    <cellStyle name="Normal 16 2 8 2 2 2" xfId="11591"/>
    <cellStyle name="Normal 16 2 8 2 3" xfId="10151"/>
    <cellStyle name="Normal 16 2 8 3" xfId="8036"/>
    <cellStyle name="Normal 16 2 8 3 2" xfId="10933"/>
    <cellStyle name="Normal 16 2 8 4" xfId="9493"/>
    <cellStyle name="Normal 16 2 8 5" xfId="6541"/>
    <cellStyle name="Normal 16 2 9" xfId="825"/>
    <cellStyle name="Normal 16 2 9 2" xfId="6984"/>
    <cellStyle name="Normal 16 2 9 2 2" xfId="8461"/>
    <cellStyle name="Normal 16 2 9 2 2 2" xfId="11358"/>
    <cellStyle name="Normal 16 2 9 2 3" xfId="9918"/>
    <cellStyle name="Normal 16 2 9 3" xfId="7802"/>
    <cellStyle name="Normal 16 2 9 3 2" xfId="10700"/>
    <cellStyle name="Normal 16 2 9 4" xfId="9260"/>
    <cellStyle name="Normal 16 2 9 5" xfId="6305"/>
    <cellStyle name="Normal 16 3" xfId="826"/>
    <cellStyle name="Normal 16 3 10" xfId="7605"/>
    <cellStyle name="Normal 16 3 10 2" xfId="10505"/>
    <cellStyle name="Normal 16 3 11" xfId="9065"/>
    <cellStyle name="Normal 16 3 12" xfId="6067"/>
    <cellStyle name="Normal 16 3 2" xfId="827"/>
    <cellStyle name="Normal 16 3 2 10" xfId="9094"/>
    <cellStyle name="Normal 16 3 2 11" xfId="6106"/>
    <cellStyle name="Normal 16 3 2 2" xfId="828"/>
    <cellStyle name="Normal 16 3 2 2 2" xfId="829"/>
    <cellStyle name="Normal 16 3 2 2 2 2" xfId="830"/>
    <cellStyle name="Normal 16 3 2 2 2 2 2" xfId="7419"/>
    <cellStyle name="Normal 16 3 2 2 2 2 2 2" xfId="8896"/>
    <cellStyle name="Normal 16 3 2 2 2 2 2 2 2" xfId="11793"/>
    <cellStyle name="Normal 16 3 2 2 2 2 2 3" xfId="10353"/>
    <cellStyle name="Normal 16 3 2 2 2 2 3" xfId="8238"/>
    <cellStyle name="Normal 16 3 2 2 2 2 3 2" xfId="11135"/>
    <cellStyle name="Normal 16 3 2 2 2 2 4" xfId="9695"/>
    <cellStyle name="Normal 16 3 2 2 2 2 5" xfId="6743"/>
    <cellStyle name="Normal 16 3 2 2 2 3" xfId="7186"/>
    <cellStyle name="Normal 16 3 2 2 2 3 2" xfId="8663"/>
    <cellStyle name="Normal 16 3 2 2 2 3 2 2" xfId="11560"/>
    <cellStyle name="Normal 16 3 2 2 2 3 3" xfId="10120"/>
    <cellStyle name="Normal 16 3 2 2 2 4" xfId="8005"/>
    <cellStyle name="Normal 16 3 2 2 2 4 2" xfId="10902"/>
    <cellStyle name="Normal 16 3 2 2 2 5" xfId="9462"/>
    <cellStyle name="Normal 16 3 2 2 2 6" xfId="6510"/>
    <cellStyle name="Normal 16 3 2 2 3" xfId="831"/>
    <cellStyle name="Normal 16 3 2 2 3 2" xfId="7303"/>
    <cellStyle name="Normal 16 3 2 2 3 2 2" xfId="8780"/>
    <cellStyle name="Normal 16 3 2 2 3 2 2 2" xfId="11677"/>
    <cellStyle name="Normal 16 3 2 2 3 2 3" xfId="10237"/>
    <cellStyle name="Normal 16 3 2 2 3 3" xfId="8122"/>
    <cellStyle name="Normal 16 3 2 2 3 3 2" xfId="11019"/>
    <cellStyle name="Normal 16 3 2 2 3 4" xfId="9579"/>
    <cellStyle name="Normal 16 3 2 2 3 5" xfId="6627"/>
    <cellStyle name="Normal 16 3 2 2 4" xfId="832"/>
    <cellStyle name="Normal 16 3 2 2 4 2" xfId="7070"/>
    <cellStyle name="Normal 16 3 2 2 4 2 2" xfId="8547"/>
    <cellStyle name="Normal 16 3 2 2 4 2 2 2" xfId="11444"/>
    <cellStyle name="Normal 16 3 2 2 4 2 3" xfId="10004"/>
    <cellStyle name="Normal 16 3 2 2 4 3" xfId="7888"/>
    <cellStyle name="Normal 16 3 2 2 4 3 2" xfId="10786"/>
    <cellStyle name="Normal 16 3 2 2 4 4" xfId="9346"/>
    <cellStyle name="Normal 16 3 2 2 4 5" xfId="6391"/>
    <cellStyle name="Normal 16 3 2 2 5" xfId="6898"/>
    <cellStyle name="Normal 16 3 2 2 5 2" xfId="8376"/>
    <cellStyle name="Normal 16 3 2 2 5 2 2" xfId="11273"/>
    <cellStyle name="Normal 16 3 2 2 5 3" xfId="9833"/>
    <cellStyle name="Normal 16 3 2 2 6" xfId="7715"/>
    <cellStyle name="Normal 16 3 2 2 6 2" xfId="10615"/>
    <cellStyle name="Normal 16 3 2 2 7" xfId="9175"/>
    <cellStyle name="Normal 16 3 2 2 8" xfId="6194"/>
    <cellStyle name="Normal 16 3 2 3" xfId="833"/>
    <cellStyle name="Normal 16 3 2 3 2" xfId="834"/>
    <cellStyle name="Normal 16 3 2 3 2 2" xfId="7363"/>
    <cellStyle name="Normal 16 3 2 3 2 2 2" xfId="8840"/>
    <cellStyle name="Normal 16 3 2 3 2 2 2 2" xfId="11737"/>
    <cellStyle name="Normal 16 3 2 3 2 2 3" xfId="10297"/>
    <cellStyle name="Normal 16 3 2 3 2 3" xfId="8182"/>
    <cellStyle name="Normal 16 3 2 3 2 3 2" xfId="11079"/>
    <cellStyle name="Normal 16 3 2 3 2 4" xfId="9639"/>
    <cellStyle name="Normal 16 3 2 3 2 5" xfId="6687"/>
    <cellStyle name="Normal 16 3 2 3 3" xfId="835"/>
    <cellStyle name="Normal 16 3 2 3 3 2" xfId="7130"/>
    <cellStyle name="Normal 16 3 2 3 3 2 2" xfId="8607"/>
    <cellStyle name="Normal 16 3 2 3 3 2 2 2" xfId="11504"/>
    <cellStyle name="Normal 16 3 2 3 3 2 3" xfId="10064"/>
    <cellStyle name="Normal 16 3 2 3 3 3" xfId="7949"/>
    <cellStyle name="Normal 16 3 2 3 3 3 2" xfId="10846"/>
    <cellStyle name="Normal 16 3 2 3 3 4" xfId="9406"/>
    <cellStyle name="Normal 16 3 2 3 3 5" xfId="6454"/>
    <cellStyle name="Normal 16 3 2 3 4" xfId="6955"/>
    <cellStyle name="Normal 16 3 2 3 4 2" xfId="8432"/>
    <cellStyle name="Normal 16 3 2 3 4 2 2" xfId="11329"/>
    <cellStyle name="Normal 16 3 2 3 4 3" xfId="9889"/>
    <cellStyle name="Normal 16 3 2 3 5" xfId="7772"/>
    <cellStyle name="Normal 16 3 2 3 5 2" xfId="10671"/>
    <cellStyle name="Normal 16 3 2 3 6" xfId="9231"/>
    <cellStyle name="Normal 16 3 2 3 7" xfId="6256"/>
    <cellStyle name="Normal 16 3 2 4" xfId="836"/>
    <cellStyle name="Normal 16 3 2 4 2" xfId="7247"/>
    <cellStyle name="Normal 16 3 2 4 2 2" xfId="8724"/>
    <cellStyle name="Normal 16 3 2 4 2 2 2" xfId="11621"/>
    <cellStyle name="Normal 16 3 2 4 2 3" xfId="10181"/>
    <cellStyle name="Normal 16 3 2 4 3" xfId="8066"/>
    <cellStyle name="Normal 16 3 2 4 3 2" xfId="10963"/>
    <cellStyle name="Normal 16 3 2 4 4" xfId="9523"/>
    <cellStyle name="Normal 16 3 2 4 5" xfId="6571"/>
    <cellStyle name="Normal 16 3 2 5" xfId="837"/>
    <cellStyle name="Normal 16 3 2 5 2" xfId="7014"/>
    <cellStyle name="Normal 16 3 2 5 2 2" xfId="8491"/>
    <cellStyle name="Normal 16 3 2 5 2 2 2" xfId="11388"/>
    <cellStyle name="Normal 16 3 2 5 2 3" xfId="9948"/>
    <cellStyle name="Normal 16 3 2 5 3" xfId="7832"/>
    <cellStyle name="Normal 16 3 2 5 3 2" xfId="10730"/>
    <cellStyle name="Normal 16 3 2 5 4" xfId="9290"/>
    <cellStyle name="Normal 16 3 2 5 5" xfId="6335"/>
    <cellStyle name="Normal 16 3 2 6" xfId="7480"/>
    <cellStyle name="Normal 16 3 2 6 2" xfId="8954"/>
    <cellStyle name="Normal 16 3 2 6 2 2" xfId="11851"/>
    <cellStyle name="Normal 16 3 2 6 3" xfId="10411"/>
    <cellStyle name="Normal 16 3 2 7" xfId="7539"/>
    <cellStyle name="Normal 16 3 2 7 2" xfId="9011"/>
    <cellStyle name="Normal 16 3 2 7 2 2" xfId="11908"/>
    <cellStyle name="Normal 16 3 2 7 3" xfId="10468"/>
    <cellStyle name="Normal 16 3 2 8" xfId="6815"/>
    <cellStyle name="Normal 16 3 2 8 2" xfId="8295"/>
    <cellStyle name="Normal 16 3 2 8 2 2" xfId="11192"/>
    <cellStyle name="Normal 16 3 2 8 3" xfId="9752"/>
    <cellStyle name="Normal 16 3 2 9" xfId="7634"/>
    <cellStyle name="Normal 16 3 2 9 2" xfId="10534"/>
    <cellStyle name="Normal 16 3 3" xfId="838"/>
    <cellStyle name="Normal 16 3 3 2" xfId="839"/>
    <cellStyle name="Normal 16 3 3 2 2" xfId="840"/>
    <cellStyle name="Normal 16 3 3 2 2 2" xfId="7389"/>
    <cellStyle name="Normal 16 3 3 2 2 2 2" xfId="8866"/>
    <cellStyle name="Normal 16 3 3 2 2 2 2 2" xfId="11763"/>
    <cellStyle name="Normal 16 3 3 2 2 2 3" xfId="10323"/>
    <cellStyle name="Normal 16 3 3 2 2 3" xfId="8208"/>
    <cellStyle name="Normal 16 3 3 2 2 3 2" xfId="11105"/>
    <cellStyle name="Normal 16 3 3 2 2 4" xfId="9665"/>
    <cellStyle name="Normal 16 3 3 2 2 5" xfId="6713"/>
    <cellStyle name="Normal 16 3 3 2 3" xfId="7156"/>
    <cellStyle name="Normal 16 3 3 2 3 2" xfId="8633"/>
    <cellStyle name="Normal 16 3 3 2 3 2 2" xfId="11530"/>
    <cellStyle name="Normal 16 3 3 2 3 3" xfId="10090"/>
    <cellStyle name="Normal 16 3 3 2 4" xfId="7975"/>
    <cellStyle name="Normal 16 3 3 2 4 2" xfId="10872"/>
    <cellStyle name="Normal 16 3 3 2 5" xfId="9432"/>
    <cellStyle name="Normal 16 3 3 2 6" xfId="6480"/>
    <cellStyle name="Normal 16 3 3 3" xfId="841"/>
    <cellStyle name="Normal 16 3 3 3 2" xfId="7273"/>
    <cellStyle name="Normal 16 3 3 3 2 2" xfId="8750"/>
    <cellStyle name="Normal 16 3 3 3 2 2 2" xfId="11647"/>
    <cellStyle name="Normal 16 3 3 3 2 3" xfId="10207"/>
    <cellStyle name="Normal 16 3 3 3 3" xfId="8092"/>
    <cellStyle name="Normal 16 3 3 3 3 2" xfId="10989"/>
    <cellStyle name="Normal 16 3 3 3 4" xfId="9549"/>
    <cellStyle name="Normal 16 3 3 3 5" xfId="6597"/>
    <cellStyle name="Normal 16 3 3 4" xfId="842"/>
    <cellStyle name="Normal 16 3 3 4 2" xfId="7040"/>
    <cellStyle name="Normal 16 3 3 4 2 2" xfId="8517"/>
    <cellStyle name="Normal 16 3 3 4 2 2 2" xfId="11414"/>
    <cellStyle name="Normal 16 3 3 4 2 3" xfId="9974"/>
    <cellStyle name="Normal 16 3 3 4 3" xfId="7858"/>
    <cellStyle name="Normal 16 3 3 4 3 2" xfId="10756"/>
    <cellStyle name="Normal 16 3 3 4 4" xfId="9316"/>
    <cellStyle name="Normal 16 3 3 4 5" xfId="6361"/>
    <cellStyle name="Normal 16 3 3 5" xfId="6866"/>
    <cellStyle name="Normal 16 3 3 5 2" xfId="8344"/>
    <cellStyle name="Normal 16 3 3 5 2 2" xfId="11241"/>
    <cellStyle name="Normal 16 3 3 5 3" xfId="9801"/>
    <cellStyle name="Normal 16 3 3 6" xfId="7683"/>
    <cellStyle name="Normal 16 3 3 6 2" xfId="10583"/>
    <cellStyle name="Normal 16 3 3 7" xfId="9143"/>
    <cellStyle name="Normal 16 3 3 8" xfId="6161"/>
    <cellStyle name="Normal 16 3 4" xfId="843"/>
    <cellStyle name="Normal 16 3 4 2" xfId="844"/>
    <cellStyle name="Normal 16 3 4 2 2" xfId="7337"/>
    <cellStyle name="Normal 16 3 4 2 2 2" xfId="8814"/>
    <cellStyle name="Normal 16 3 4 2 2 2 2" xfId="11711"/>
    <cellStyle name="Normal 16 3 4 2 2 3" xfId="10271"/>
    <cellStyle name="Normal 16 3 4 2 3" xfId="8156"/>
    <cellStyle name="Normal 16 3 4 2 3 2" xfId="11053"/>
    <cellStyle name="Normal 16 3 4 2 4" xfId="9613"/>
    <cellStyle name="Normal 16 3 4 2 5" xfId="6661"/>
    <cellStyle name="Normal 16 3 4 3" xfId="845"/>
    <cellStyle name="Normal 16 3 4 3 2" xfId="7104"/>
    <cellStyle name="Normal 16 3 4 3 2 2" xfId="8581"/>
    <cellStyle name="Normal 16 3 4 3 2 2 2" xfId="11478"/>
    <cellStyle name="Normal 16 3 4 3 2 3" xfId="10038"/>
    <cellStyle name="Normal 16 3 4 3 3" xfId="7923"/>
    <cellStyle name="Normal 16 3 4 3 3 2" xfId="10820"/>
    <cellStyle name="Normal 16 3 4 3 4" xfId="9380"/>
    <cellStyle name="Normal 16 3 4 3 5" xfId="6428"/>
    <cellStyle name="Normal 16 3 4 4" xfId="6925"/>
    <cellStyle name="Normal 16 3 4 4 2" xfId="8402"/>
    <cellStyle name="Normal 16 3 4 4 2 2" xfId="11299"/>
    <cellStyle name="Normal 16 3 4 4 3" xfId="9859"/>
    <cellStyle name="Normal 16 3 4 5" xfId="7742"/>
    <cellStyle name="Normal 16 3 4 5 2" xfId="10641"/>
    <cellStyle name="Normal 16 3 4 6" xfId="9201"/>
    <cellStyle name="Normal 16 3 4 7" xfId="6226"/>
    <cellStyle name="Normal 16 3 5" xfId="846"/>
    <cellStyle name="Normal 16 3 5 2" xfId="7221"/>
    <cellStyle name="Normal 16 3 5 2 2" xfId="8698"/>
    <cellStyle name="Normal 16 3 5 2 2 2" xfId="11595"/>
    <cellStyle name="Normal 16 3 5 2 3" xfId="10155"/>
    <cellStyle name="Normal 16 3 5 3" xfId="8040"/>
    <cellStyle name="Normal 16 3 5 3 2" xfId="10937"/>
    <cellStyle name="Normal 16 3 5 4" xfId="9497"/>
    <cellStyle name="Normal 16 3 5 5" xfId="6545"/>
    <cellStyle name="Normal 16 3 6" xfId="847"/>
    <cellStyle name="Normal 16 3 6 2" xfId="6988"/>
    <cellStyle name="Normal 16 3 6 2 2" xfId="8465"/>
    <cellStyle name="Normal 16 3 6 2 2 2" xfId="11362"/>
    <cellStyle name="Normal 16 3 6 2 3" xfId="9922"/>
    <cellStyle name="Normal 16 3 6 3" xfId="7806"/>
    <cellStyle name="Normal 16 3 6 3 2" xfId="10704"/>
    <cellStyle name="Normal 16 3 6 4" xfId="9264"/>
    <cellStyle name="Normal 16 3 6 5" xfId="6309"/>
    <cellStyle name="Normal 16 3 7" xfId="3284"/>
    <cellStyle name="Normal 16 3 7 2" xfId="8928"/>
    <cellStyle name="Normal 16 3 7 2 2" xfId="11825"/>
    <cellStyle name="Normal 16 3 7 3" xfId="10385"/>
    <cellStyle name="Normal 16 3 7 4" xfId="7454"/>
    <cellStyle name="Normal 16 3 8" xfId="7513"/>
    <cellStyle name="Normal 16 3 8 2" xfId="8985"/>
    <cellStyle name="Normal 16 3 8 2 2" xfId="11882"/>
    <cellStyle name="Normal 16 3 8 3" xfId="10442"/>
    <cellStyle name="Normal 16 3 9" xfId="6784"/>
    <cellStyle name="Normal 16 3 9 2" xfId="8265"/>
    <cellStyle name="Normal 16 3 9 2 2" xfId="11162"/>
    <cellStyle name="Normal 16 3 9 3" xfId="9722"/>
    <cellStyle name="Normal 16 4" xfId="848"/>
    <cellStyle name="Normal 16 4 10" xfId="7612"/>
    <cellStyle name="Normal 16 4 10 2" xfId="10512"/>
    <cellStyle name="Normal 16 4 11" xfId="9072"/>
    <cellStyle name="Normal 16 4 12" xfId="6077"/>
    <cellStyle name="Normal 16 4 2" xfId="849"/>
    <cellStyle name="Normal 16 4 2 10" xfId="9102"/>
    <cellStyle name="Normal 16 4 2 11" xfId="6114"/>
    <cellStyle name="Normal 16 4 2 2" xfId="850"/>
    <cellStyle name="Normal 16 4 2 2 2" xfId="851"/>
    <cellStyle name="Normal 16 4 2 2 2 2" xfId="852"/>
    <cellStyle name="Normal 16 4 2 2 2 2 2" xfId="7427"/>
    <cellStyle name="Normal 16 4 2 2 2 2 2 2" xfId="8904"/>
    <cellStyle name="Normal 16 4 2 2 2 2 2 2 2" xfId="11801"/>
    <cellStyle name="Normal 16 4 2 2 2 2 2 3" xfId="10361"/>
    <cellStyle name="Normal 16 4 2 2 2 2 3" xfId="8246"/>
    <cellStyle name="Normal 16 4 2 2 2 2 3 2" xfId="11143"/>
    <cellStyle name="Normal 16 4 2 2 2 2 4" xfId="9703"/>
    <cellStyle name="Normal 16 4 2 2 2 2 5" xfId="6751"/>
    <cellStyle name="Normal 16 4 2 2 2 3" xfId="7194"/>
    <cellStyle name="Normal 16 4 2 2 2 3 2" xfId="8671"/>
    <cellStyle name="Normal 16 4 2 2 2 3 2 2" xfId="11568"/>
    <cellStyle name="Normal 16 4 2 2 2 3 3" xfId="10128"/>
    <cellStyle name="Normal 16 4 2 2 2 4" xfId="8013"/>
    <cellStyle name="Normal 16 4 2 2 2 4 2" xfId="10910"/>
    <cellStyle name="Normal 16 4 2 2 2 5" xfId="9470"/>
    <cellStyle name="Normal 16 4 2 2 2 6" xfId="6518"/>
    <cellStyle name="Normal 16 4 2 2 3" xfId="853"/>
    <cellStyle name="Normal 16 4 2 2 3 2" xfId="7311"/>
    <cellStyle name="Normal 16 4 2 2 3 2 2" xfId="8788"/>
    <cellStyle name="Normal 16 4 2 2 3 2 2 2" xfId="11685"/>
    <cellStyle name="Normal 16 4 2 2 3 2 3" xfId="10245"/>
    <cellStyle name="Normal 16 4 2 2 3 3" xfId="8130"/>
    <cellStyle name="Normal 16 4 2 2 3 3 2" xfId="11027"/>
    <cellStyle name="Normal 16 4 2 2 3 4" xfId="9587"/>
    <cellStyle name="Normal 16 4 2 2 3 5" xfId="6635"/>
    <cellStyle name="Normal 16 4 2 2 4" xfId="854"/>
    <cellStyle name="Normal 16 4 2 2 4 2" xfId="7078"/>
    <cellStyle name="Normal 16 4 2 2 4 2 2" xfId="8555"/>
    <cellStyle name="Normal 16 4 2 2 4 2 2 2" xfId="11452"/>
    <cellStyle name="Normal 16 4 2 2 4 2 3" xfId="10012"/>
    <cellStyle name="Normal 16 4 2 2 4 3" xfId="7896"/>
    <cellStyle name="Normal 16 4 2 2 4 3 2" xfId="10794"/>
    <cellStyle name="Normal 16 4 2 2 4 4" xfId="9354"/>
    <cellStyle name="Normal 16 4 2 2 4 5" xfId="6399"/>
    <cellStyle name="Normal 16 4 2 2 5" xfId="6906"/>
    <cellStyle name="Normal 16 4 2 2 5 2" xfId="8384"/>
    <cellStyle name="Normal 16 4 2 2 5 2 2" xfId="11281"/>
    <cellStyle name="Normal 16 4 2 2 5 3" xfId="9841"/>
    <cellStyle name="Normal 16 4 2 2 6" xfId="7723"/>
    <cellStyle name="Normal 16 4 2 2 6 2" xfId="10623"/>
    <cellStyle name="Normal 16 4 2 2 7" xfId="9183"/>
    <cellStyle name="Normal 16 4 2 2 8" xfId="6202"/>
    <cellStyle name="Normal 16 4 2 3" xfId="855"/>
    <cellStyle name="Normal 16 4 2 3 2" xfId="856"/>
    <cellStyle name="Normal 16 4 2 3 2 2" xfId="7371"/>
    <cellStyle name="Normal 16 4 2 3 2 2 2" xfId="8848"/>
    <cellStyle name="Normal 16 4 2 3 2 2 2 2" xfId="11745"/>
    <cellStyle name="Normal 16 4 2 3 2 2 3" xfId="10305"/>
    <cellStyle name="Normal 16 4 2 3 2 3" xfId="8190"/>
    <cellStyle name="Normal 16 4 2 3 2 3 2" xfId="11087"/>
    <cellStyle name="Normal 16 4 2 3 2 4" xfId="9647"/>
    <cellStyle name="Normal 16 4 2 3 2 5" xfId="6695"/>
    <cellStyle name="Normal 16 4 2 3 3" xfId="857"/>
    <cellStyle name="Normal 16 4 2 3 3 2" xfId="7138"/>
    <cellStyle name="Normal 16 4 2 3 3 2 2" xfId="8615"/>
    <cellStyle name="Normal 16 4 2 3 3 2 2 2" xfId="11512"/>
    <cellStyle name="Normal 16 4 2 3 3 2 3" xfId="10072"/>
    <cellStyle name="Normal 16 4 2 3 3 3" xfId="7957"/>
    <cellStyle name="Normal 16 4 2 3 3 3 2" xfId="10854"/>
    <cellStyle name="Normal 16 4 2 3 3 4" xfId="9414"/>
    <cellStyle name="Normal 16 4 2 3 3 5" xfId="6462"/>
    <cellStyle name="Normal 16 4 2 3 4" xfId="6963"/>
    <cellStyle name="Normal 16 4 2 3 4 2" xfId="8440"/>
    <cellStyle name="Normal 16 4 2 3 4 2 2" xfId="11337"/>
    <cellStyle name="Normal 16 4 2 3 4 3" xfId="9897"/>
    <cellStyle name="Normal 16 4 2 3 5" xfId="7780"/>
    <cellStyle name="Normal 16 4 2 3 5 2" xfId="10679"/>
    <cellStyle name="Normal 16 4 2 3 6" xfId="9239"/>
    <cellStyle name="Normal 16 4 2 3 7" xfId="6264"/>
    <cellStyle name="Normal 16 4 2 4" xfId="858"/>
    <cellStyle name="Normal 16 4 2 4 2" xfId="7255"/>
    <cellStyle name="Normal 16 4 2 4 2 2" xfId="8732"/>
    <cellStyle name="Normal 16 4 2 4 2 2 2" xfId="11629"/>
    <cellStyle name="Normal 16 4 2 4 2 3" xfId="10189"/>
    <cellStyle name="Normal 16 4 2 4 3" xfId="8074"/>
    <cellStyle name="Normal 16 4 2 4 3 2" xfId="10971"/>
    <cellStyle name="Normal 16 4 2 4 4" xfId="9531"/>
    <cellStyle name="Normal 16 4 2 4 5" xfId="6579"/>
    <cellStyle name="Normal 16 4 2 5" xfId="859"/>
    <cellStyle name="Normal 16 4 2 5 2" xfId="7022"/>
    <cellStyle name="Normal 16 4 2 5 2 2" xfId="8499"/>
    <cellStyle name="Normal 16 4 2 5 2 2 2" xfId="11396"/>
    <cellStyle name="Normal 16 4 2 5 2 3" xfId="9956"/>
    <cellStyle name="Normal 16 4 2 5 3" xfId="7840"/>
    <cellStyle name="Normal 16 4 2 5 3 2" xfId="10738"/>
    <cellStyle name="Normal 16 4 2 5 4" xfId="9298"/>
    <cellStyle name="Normal 16 4 2 5 5" xfId="6343"/>
    <cellStyle name="Normal 16 4 2 6" xfId="7488"/>
    <cellStyle name="Normal 16 4 2 6 2" xfId="8962"/>
    <cellStyle name="Normal 16 4 2 6 2 2" xfId="11859"/>
    <cellStyle name="Normal 16 4 2 6 3" xfId="10419"/>
    <cellStyle name="Normal 16 4 2 7" xfId="7547"/>
    <cellStyle name="Normal 16 4 2 7 2" xfId="9019"/>
    <cellStyle name="Normal 16 4 2 7 2 2" xfId="11916"/>
    <cellStyle name="Normal 16 4 2 7 3" xfId="10476"/>
    <cellStyle name="Normal 16 4 2 8" xfId="6823"/>
    <cellStyle name="Normal 16 4 2 8 2" xfId="8303"/>
    <cellStyle name="Normal 16 4 2 8 2 2" xfId="11200"/>
    <cellStyle name="Normal 16 4 2 8 3" xfId="9760"/>
    <cellStyle name="Normal 16 4 2 9" xfId="7642"/>
    <cellStyle name="Normal 16 4 2 9 2" xfId="10542"/>
    <cellStyle name="Normal 16 4 3" xfId="860"/>
    <cellStyle name="Normal 16 4 3 2" xfId="861"/>
    <cellStyle name="Normal 16 4 3 2 2" xfId="862"/>
    <cellStyle name="Normal 16 4 3 2 2 2" xfId="7397"/>
    <cellStyle name="Normal 16 4 3 2 2 2 2" xfId="8874"/>
    <cellStyle name="Normal 16 4 3 2 2 2 2 2" xfId="11771"/>
    <cellStyle name="Normal 16 4 3 2 2 2 3" xfId="10331"/>
    <cellStyle name="Normal 16 4 3 2 2 3" xfId="8216"/>
    <cellStyle name="Normal 16 4 3 2 2 3 2" xfId="11113"/>
    <cellStyle name="Normal 16 4 3 2 2 4" xfId="9673"/>
    <cellStyle name="Normal 16 4 3 2 2 5" xfId="6721"/>
    <cellStyle name="Normal 16 4 3 2 3" xfId="7164"/>
    <cellStyle name="Normal 16 4 3 2 3 2" xfId="8641"/>
    <cellStyle name="Normal 16 4 3 2 3 2 2" xfId="11538"/>
    <cellStyle name="Normal 16 4 3 2 3 3" xfId="10098"/>
    <cellStyle name="Normal 16 4 3 2 4" xfId="7983"/>
    <cellStyle name="Normal 16 4 3 2 4 2" xfId="10880"/>
    <cellStyle name="Normal 16 4 3 2 5" xfId="9440"/>
    <cellStyle name="Normal 16 4 3 2 6" xfId="6488"/>
    <cellStyle name="Normal 16 4 3 3" xfId="863"/>
    <cellStyle name="Normal 16 4 3 3 2" xfId="7281"/>
    <cellStyle name="Normal 16 4 3 3 2 2" xfId="8758"/>
    <cellStyle name="Normal 16 4 3 3 2 2 2" xfId="11655"/>
    <cellStyle name="Normal 16 4 3 3 2 3" xfId="10215"/>
    <cellStyle name="Normal 16 4 3 3 3" xfId="8100"/>
    <cellStyle name="Normal 16 4 3 3 3 2" xfId="10997"/>
    <cellStyle name="Normal 16 4 3 3 4" xfId="9557"/>
    <cellStyle name="Normal 16 4 3 3 5" xfId="6605"/>
    <cellStyle name="Normal 16 4 3 4" xfId="864"/>
    <cellStyle name="Normal 16 4 3 4 2" xfId="7048"/>
    <cellStyle name="Normal 16 4 3 4 2 2" xfId="8525"/>
    <cellStyle name="Normal 16 4 3 4 2 2 2" xfId="11422"/>
    <cellStyle name="Normal 16 4 3 4 2 3" xfId="9982"/>
    <cellStyle name="Normal 16 4 3 4 3" xfId="7866"/>
    <cellStyle name="Normal 16 4 3 4 3 2" xfId="10764"/>
    <cellStyle name="Normal 16 4 3 4 4" xfId="9324"/>
    <cellStyle name="Normal 16 4 3 4 5" xfId="6369"/>
    <cellStyle name="Normal 16 4 3 5" xfId="6876"/>
    <cellStyle name="Normal 16 4 3 5 2" xfId="8354"/>
    <cellStyle name="Normal 16 4 3 5 2 2" xfId="11251"/>
    <cellStyle name="Normal 16 4 3 5 3" xfId="9811"/>
    <cellStyle name="Normal 16 4 3 6" xfId="7693"/>
    <cellStyle name="Normal 16 4 3 6 2" xfId="10593"/>
    <cellStyle name="Normal 16 4 3 7" xfId="9153"/>
    <cellStyle name="Normal 16 4 3 8" xfId="6171"/>
    <cellStyle name="Normal 16 4 4" xfId="865"/>
    <cellStyle name="Normal 16 4 4 2" xfId="866"/>
    <cellStyle name="Normal 16 4 4 2 2" xfId="7345"/>
    <cellStyle name="Normal 16 4 4 2 2 2" xfId="8822"/>
    <cellStyle name="Normal 16 4 4 2 2 2 2" xfId="11719"/>
    <cellStyle name="Normal 16 4 4 2 2 3" xfId="10279"/>
    <cellStyle name="Normal 16 4 4 2 3" xfId="8164"/>
    <cellStyle name="Normal 16 4 4 2 3 2" xfId="11061"/>
    <cellStyle name="Normal 16 4 4 2 4" xfId="9621"/>
    <cellStyle name="Normal 16 4 4 2 5" xfId="6669"/>
    <cellStyle name="Normal 16 4 4 3" xfId="867"/>
    <cellStyle name="Normal 16 4 4 3 2" xfId="7112"/>
    <cellStyle name="Normal 16 4 4 3 2 2" xfId="8589"/>
    <cellStyle name="Normal 16 4 4 3 2 2 2" xfId="11486"/>
    <cellStyle name="Normal 16 4 4 3 2 3" xfId="10046"/>
    <cellStyle name="Normal 16 4 4 3 3" xfId="7931"/>
    <cellStyle name="Normal 16 4 4 3 3 2" xfId="10828"/>
    <cellStyle name="Normal 16 4 4 3 4" xfId="9388"/>
    <cellStyle name="Normal 16 4 4 3 5" xfId="6436"/>
    <cellStyle name="Normal 16 4 4 4" xfId="6933"/>
    <cellStyle name="Normal 16 4 4 4 2" xfId="8410"/>
    <cellStyle name="Normal 16 4 4 4 2 2" xfId="11307"/>
    <cellStyle name="Normal 16 4 4 4 3" xfId="9867"/>
    <cellStyle name="Normal 16 4 4 5" xfId="7750"/>
    <cellStyle name="Normal 16 4 4 5 2" xfId="10649"/>
    <cellStyle name="Normal 16 4 4 6" xfId="9209"/>
    <cellStyle name="Normal 16 4 4 7" xfId="6234"/>
    <cellStyle name="Normal 16 4 5" xfId="868"/>
    <cellStyle name="Normal 16 4 5 2" xfId="7229"/>
    <cellStyle name="Normal 16 4 5 2 2" xfId="8706"/>
    <cellStyle name="Normal 16 4 5 2 2 2" xfId="11603"/>
    <cellStyle name="Normal 16 4 5 2 3" xfId="10163"/>
    <cellStyle name="Normal 16 4 5 3" xfId="8048"/>
    <cellStyle name="Normal 16 4 5 3 2" xfId="10945"/>
    <cellStyle name="Normal 16 4 5 4" xfId="9505"/>
    <cellStyle name="Normal 16 4 5 5" xfId="6553"/>
    <cellStyle name="Normal 16 4 6" xfId="869"/>
    <cellStyle name="Normal 16 4 6 2" xfId="6996"/>
    <cellStyle name="Normal 16 4 6 2 2" xfId="8473"/>
    <cellStyle name="Normal 16 4 6 2 2 2" xfId="11370"/>
    <cellStyle name="Normal 16 4 6 2 3" xfId="9930"/>
    <cellStyle name="Normal 16 4 6 3" xfId="7814"/>
    <cellStyle name="Normal 16 4 6 3 2" xfId="10712"/>
    <cellStyle name="Normal 16 4 6 4" xfId="9272"/>
    <cellStyle name="Normal 16 4 6 5" xfId="6317"/>
    <cellStyle name="Normal 16 4 7" xfId="7462"/>
    <cellStyle name="Normal 16 4 7 2" xfId="8936"/>
    <cellStyle name="Normal 16 4 7 2 2" xfId="11833"/>
    <cellStyle name="Normal 16 4 7 3" xfId="10393"/>
    <cellStyle name="Normal 16 4 8" xfId="7521"/>
    <cellStyle name="Normal 16 4 8 2" xfId="8993"/>
    <cellStyle name="Normal 16 4 8 2 2" xfId="11890"/>
    <cellStyle name="Normal 16 4 8 3" xfId="10450"/>
    <cellStyle name="Normal 16 4 9" xfId="6792"/>
    <cellStyle name="Normal 16 4 9 2" xfId="8273"/>
    <cellStyle name="Normal 16 4 9 2 2" xfId="11170"/>
    <cellStyle name="Normal 16 4 9 3" xfId="9730"/>
    <cellStyle name="Normal 16 5" xfId="870"/>
    <cellStyle name="Normal 16 5 10" xfId="7620"/>
    <cellStyle name="Normal 16 5 10 2" xfId="10520"/>
    <cellStyle name="Normal 16 5 11" xfId="9080"/>
    <cellStyle name="Normal 16 5 12" xfId="6085"/>
    <cellStyle name="Normal 16 5 2" xfId="871"/>
    <cellStyle name="Normal 16 5 2 10" xfId="9110"/>
    <cellStyle name="Normal 16 5 2 11" xfId="6122"/>
    <cellStyle name="Normal 16 5 2 2" xfId="872"/>
    <cellStyle name="Normal 16 5 2 2 2" xfId="873"/>
    <cellStyle name="Normal 16 5 2 2 2 2" xfId="874"/>
    <cellStyle name="Normal 16 5 2 2 2 2 2" xfId="7435"/>
    <cellStyle name="Normal 16 5 2 2 2 2 2 2" xfId="8912"/>
    <cellStyle name="Normal 16 5 2 2 2 2 2 2 2" xfId="11809"/>
    <cellStyle name="Normal 16 5 2 2 2 2 2 3" xfId="10369"/>
    <cellStyle name="Normal 16 5 2 2 2 2 3" xfId="8254"/>
    <cellStyle name="Normal 16 5 2 2 2 2 3 2" xfId="11151"/>
    <cellStyle name="Normal 16 5 2 2 2 2 4" xfId="9711"/>
    <cellStyle name="Normal 16 5 2 2 2 2 5" xfId="6759"/>
    <cellStyle name="Normal 16 5 2 2 2 3" xfId="7202"/>
    <cellStyle name="Normal 16 5 2 2 2 3 2" xfId="8679"/>
    <cellStyle name="Normal 16 5 2 2 2 3 2 2" xfId="11576"/>
    <cellStyle name="Normal 16 5 2 2 2 3 3" xfId="10136"/>
    <cellStyle name="Normal 16 5 2 2 2 4" xfId="8021"/>
    <cellStyle name="Normal 16 5 2 2 2 4 2" xfId="10918"/>
    <cellStyle name="Normal 16 5 2 2 2 5" xfId="9478"/>
    <cellStyle name="Normal 16 5 2 2 2 6" xfId="6526"/>
    <cellStyle name="Normal 16 5 2 2 3" xfId="875"/>
    <cellStyle name="Normal 16 5 2 2 3 2" xfId="7319"/>
    <cellStyle name="Normal 16 5 2 2 3 2 2" xfId="8796"/>
    <cellStyle name="Normal 16 5 2 2 3 2 2 2" xfId="11693"/>
    <cellStyle name="Normal 16 5 2 2 3 2 3" xfId="10253"/>
    <cellStyle name="Normal 16 5 2 2 3 3" xfId="8138"/>
    <cellStyle name="Normal 16 5 2 2 3 3 2" xfId="11035"/>
    <cellStyle name="Normal 16 5 2 2 3 4" xfId="9595"/>
    <cellStyle name="Normal 16 5 2 2 3 5" xfId="6643"/>
    <cellStyle name="Normal 16 5 2 2 4" xfId="876"/>
    <cellStyle name="Normal 16 5 2 2 4 2" xfId="7086"/>
    <cellStyle name="Normal 16 5 2 2 4 2 2" xfId="8563"/>
    <cellStyle name="Normal 16 5 2 2 4 2 2 2" xfId="11460"/>
    <cellStyle name="Normal 16 5 2 2 4 2 3" xfId="10020"/>
    <cellStyle name="Normal 16 5 2 2 4 3" xfId="7904"/>
    <cellStyle name="Normal 16 5 2 2 4 3 2" xfId="10802"/>
    <cellStyle name="Normal 16 5 2 2 4 4" xfId="9362"/>
    <cellStyle name="Normal 16 5 2 2 4 5" xfId="6407"/>
    <cellStyle name="Normal 16 5 2 2 5" xfId="6914"/>
    <cellStyle name="Normal 16 5 2 2 5 2" xfId="8392"/>
    <cellStyle name="Normal 16 5 2 2 5 2 2" xfId="11289"/>
    <cellStyle name="Normal 16 5 2 2 5 3" xfId="9849"/>
    <cellStyle name="Normal 16 5 2 2 6" xfId="7731"/>
    <cellStyle name="Normal 16 5 2 2 6 2" xfId="10631"/>
    <cellStyle name="Normal 16 5 2 2 7" xfId="9191"/>
    <cellStyle name="Normal 16 5 2 2 8" xfId="6210"/>
    <cellStyle name="Normal 16 5 2 3" xfId="877"/>
    <cellStyle name="Normal 16 5 2 3 2" xfId="878"/>
    <cellStyle name="Normal 16 5 2 3 2 2" xfId="7379"/>
    <cellStyle name="Normal 16 5 2 3 2 2 2" xfId="8856"/>
    <cellStyle name="Normal 16 5 2 3 2 2 2 2" xfId="11753"/>
    <cellStyle name="Normal 16 5 2 3 2 2 3" xfId="10313"/>
    <cellStyle name="Normal 16 5 2 3 2 3" xfId="8198"/>
    <cellStyle name="Normal 16 5 2 3 2 3 2" xfId="11095"/>
    <cellStyle name="Normal 16 5 2 3 2 4" xfId="9655"/>
    <cellStyle name="Normal 16 5 2 3 2 5" xfId="6703"/>
    <cellStyle name="Normal 16 5 2 3 3" xfId="879"/>
    <cellStyle name="Normal 16 5 2 3 3 2" xfId="7146"/>
    <cellStyle name="Normal 16 5 2 3 3 2 2" xfId="8623"/>
    <cellStyle name="Normal 16 5 2 3 3 2 2 2" xfId="11520"/>
    <cellStyle name="Normal 16 5 2 3 3 2 3" xfId="10080"/>
    <cellStyle name="Normal 16 5 2 3 3 3" xfId="7965"/>
    <cellStyle name="Normal 16 5 2 3 3 3 2" xfId="10862"/>
    <cellStyle name="Normal 16 5 2 3 3 4" xfId="9422"/>
    <cellStyle name="Normal 16 5 2 3 3 5" xfId="6470"/>
    <cellStyle name="Normal 16 5 2 3 4" xfId="6971"/>
    <cellStyle name="Normal 16 5 2 3 4 2" xfId="8448"/>
    <cellStyle name="Normal 16 5 2 3 4 2 2" xfId="11345"/>
    <cellStyle name="Normal 16 5 2 3 4 3" xfId="9905"/>
    <cellStyle name="Normal 16 5 2 3 5" xfId="7788"/>
    <cellStyle name="Normal 16 5 2 3 5 2" xfId="10687"/>
    <cellStyle name="Normal 16 5 2 3 6" xfId="9247"/>
    <cellStyle name="Normal 16 5 2 3 7" xfId="6272"/>
    <cellStyle name="Normal 16 5 2 4" xfId="880"/>
    <cellStyle name="Normal 16 5 2 4 2" xfId="7263"/>
    <cellStyle name="Normal 16 5 2 4 2 2" xfId="8740"/>
    <cellStyle name="Normal 16 5 2 4 2 2 2" xfId="11637"/>
    <cellStyle name="Normal 16 5 2 4 2 3" xfId="10197"/>
    <cellStyle name="Normal 16 5 2 4 3" xfId="8082"/>
    <cellStyle name="Normal 16 5 2 4 3 2" xfId="10979"/>
    <cellStyle name="Normal 16 5 2 4 4" xfId="9539"/>
    <cellStyle name="Normal 16 5 2 4 5" xfId="6587"/>
    <cellStyle name="Normal 16 5 2 5" xfId="881"/>
    <cellStyle name="Normal 16 5 2 5 2" xfId="7030"/>
    <cellStyle name="Normal 16 5 2 5 2 2" xfId="8507"/>
    <cellStyle name="Normal 16 5 2 5 2 2 2" xfId="11404"/>
    <cellStyle name="Normal 16 5 2 5 2 3" xfId="9964"/>
    <cellStyle name="Normal 16 5 2 5 3" xfId="7848"/>
    <cellStyle name="Normal 16 5 2 5 3 2" xfId="10746"/>
    <cellStyle name="Normal 16 5 2 5 4" xfId="9306"/>
    <cellStyle name="Normal 16 5 2 5 5" xfId="6351"/>
    <cellStyle name="Normal 16 5 2 6" xfId="7496"/>
    <cellStyle name="Normal 16 5 2 6 2" xfId="8970"/>
    <cellStyle name="Normal 16 5 2 6 2 2" xfId="11867"/>
    <cellStyle name="Normal 16 5 2 6 3" xfId="10427"/>
    <cellStyle name="Normal 16 5 2 7" xfId="7555"/>
    <cellStyle name="Normal 16 5 2 7 2" xfId="9027"/>
    <cellStyle name="Normal 16 5 2 7 2 2" xfId="11924"/>
    <cellStyle name="Normal 16 5 2 7 3" xfId="10484"/>
    <cellStyle name="Normal 16 5 2 8" xfId="6831"/>
    <cellStyle name="Normal 16 5 2 8 2" xfId="8311"/>
    <cellStyle name="Normal 16 5 2 8 2 2" xfId="11208"/>
    <cellStyle name="Normal 16 5 2 8 3" xfId="9768"/>
    <cellStyle name="Normal 16 5 2 9" xfId="7650"/>
    <cellStyle name="Normal 16 5 2 9 2" xfId="10550"/>
    <cellStyle name="Normal 16 5 3" xfId="882"/>
    <cellStyle name="Normal 16 5 3 2" xfId="883"/>
    <cellStyle name="Normal 16 5 3 2 2" xfId="884"/>
    <cellStyle name="Normal 16 5 3 2 2 2" xfId="7405"/>
    <cellStyle name="Normal 16 5 3 2 2 2 2" xfId="8882"/>
    <cellStyle name="Normal 16 5 3 2 2 2 2 2" xfId="11779"/>
    <cellStyle name="Normal 16 5 3 2 2 2 3" xfId="10339"/>
    <cellStyle name="Normal 16 5 3 2 2 3" xfId="8224"/>
    <cellStyle name="Normal 16 5 3 2 2 3 2" xfId="11121"/>
    <cellStyle name="Normal 16 5 3 2 2 4" xfId="9681"/>
    <cellStyle name="Normal 16 5 3 2 2 5" xfId="6729"/>
    <cellStyle name="Normal 16 5 3 2 3" xfId="7172"/>
    <cellStyle name="Normal 16 5 3 2 3 2" xfId="8649"/>
    <cellStyle name="Normal 16 5 3 2 3 2 2" xfId="11546"/>
    <cellStyle name="Normal 16 5 3 2 3 3" xfId="10106"/>
    <cellStyle name="Normal 16 5 3 2 4" xfId="7991"/>
    <cellStyle name="Normal 16 5 3 2 4 2" xfId="10888"/>
    <cellStyle name="Normal 16 5 3 2 5" xfId="9448"/>
    <cellStyle name="Normal 16 5 3 2 6" xfId="6496"/>
    <cellStyle name="Normal 16 5 3 3" xfId="885"/>
    <cellStyle name="Normal 16 5 3 3 2" xfId="7289"/>
    <cellStyle name="Normal 16 5 3 3 2 2" xfId="8766"/>
    <cellStyle name="Normal 16 5 3 3 2 2 2" xfId="11663"/>
    <cellStyle name="Normal 16 5 3 3 2 3" xfId="10223"/>
    <cellStyle name="Normal 16 5 3 3 3" xfId="8108"/>
    <cellStyle name="Normal 16 5 3 3 3 2" xfId="11005"/>
    <cellStyle name="Normal 16 5 3 3 4" xfId="9565"/>
    <cellStyle name="Normal 16 5 3 3 5" xfId="6613"/>
    <cellStyle name="Normal 16 5 3 4" xfId="886"/>
    <cellStyle name="Normal 16 5 3 4 2" xfId="7056"/>
    <cellStyle name="Normal 16 5 3 4 2 2" xfId="8533"/>
    <cellStyle name="Normal 16 5 3 4 2 2 2" xfId="11430"/>
    <cellStyle name="Normal 16 5 3 4 2 3" xfId="9990"/>
    <cellStyle name="Normal 16 5 3 4 3" xfId="7874"/>
    <cellStyle name="Normal 16 5 3 4 3 2" xfId="10772"/>
    <cellStyle name="Normal 16 5 3 4 4" xfId="9332"/>
    <cellStyle name="Normal 16 5 3 4 5" xfId="6377"/>
    <cellStyle name="Normal 16 5 3 5" xfId="6884"/>
    <cellStyle name="Normal 16 5 3 5 2" xfId="8362"/>
    <cellStyle name="Normal 16 5 3 5 2 2" xfId="11259"/>
    <cellStyle name="Normal 16 5 3 5 3" xfId="9819"/>
    <cellStyle name="Normal 16 5 3 6" xfId="7701"/>
    <cellStyle name="Normal 16 5 3 6 2" xfId="10601"/>
    <cellStyle name="Normal 16 5 3 7" xfId="9161"/>
    <cellStyle name="Normal 16 5 3 8" xfId="6179"/>
    <cellStyle name="Normal 16 5 4" xfId="887"/>
    <cellStyle name="Normal 16 5 4 2" xfId="888"/>
    <cellStyle name="Normal 16 5 4 2 2" xfId="7353"/>
    <cellStyle name="Normal 16 5 4 2 2 2" xfId="8830"/>
    <cellStyle name="Normal 16 5 4 2 2 2 2" xfId="11727"/>
    <cellStyle name="Normal 16 5 4 2 2 3" xfId="10287"/>
    <cellStyle name="Normal 16 5 4 2 3" xfId="8172"/>
    <cellStyle name="Normal 16 5 4 2 3 2" xfId="11069"/>
    <cellStyle name="Normal 16 5 4 2 4" xfId="9629"/>
    <cellStyle name="Normal 16 5 4 2 5" xfId="6677"/>
    <cellStyle name="Normal 16 5 4 3" xfId="889"/>
    <cellStyle name="Normal 16 5 4 3 2" xfId="7120"/>
    <cellStyle name="Normal 16 5 4 3 2 2" xfId="8597"/>
    <cellStyle name="Normal 16 5 4 3 2 2 2" xfId="11494"/>
    <cellStyle name="Normal 16 5 4 3 2 3" xfId="10054"/>
    <cellStyle name="Normal 16 5 4 3 3" xfId="7939"/>
    <cellStyle name="Normal 16 5 4 3 3 2" xfId="10836"/>
    <cellStyle name="Normal 16 5 4 3 4" xfId="9396"/>
    <cellStyle name="Normal 16 5 4 3 5" xfId="6444"/>
    <cellStyle name="Normal 16 5 4 4" xfId="6941"/>
    <cellStyle name="Normal 16 5 4 4 2" xfId="8418"/>
    <cellStyle name="Normal 16 5 4 4 2 2" xfId="11315"/>
    <cellStyle name="Normal 16 5 4 4 3" xfId="9875"/>
    <cellStyle name="Normal 16 5 4 5" xfId="7758"/>
    <cellStyle name="Normal 16 5 4 5 2" xfId="10657"/>
    <cellStyle name="Normal 16 5 4 6" xfId="9217"/>
    <cellStyle name="Normal 16 5 4 7" xfId="6242"/>
    <cellStyle name="Normal 16 5 5" xfId="890"/>
    <cellStyle name="Normal 16 5 5 2" xfId="7237"/>
    <cellStyle name="Normal 16 5 5 2 2" xfId="8714"/>
    <cellStyle name="Normal 16 5 5 2 2 2" xfId="11611"/>
    <cellStyle name="Normal 16 5 5 2 3" xfId="10171"/>
    <cellStyle name="Normal 16 5 5 3" xfId="8056"/>
    <cellStyle name="Normal 16 5 5 3 2" xfId="10953"/>
    <cellStyle name="Normal 16 5 5 4" xfId="9513"/>
    <cellStyle name="Normal 16 5 5 5" xfId="6561"/>
    <cellStyle name="Normal 16 5 6" xfId="891"/>
    <cellStyle name="Normal 16 5 6 2" xfId="7004"/>
    <cellStyle name="Normal 16 5 6 2 2" xfId="8481"/>
    <cellStyle name="Normal 16 5 6 2 2 2" xfId="11378"/>
    <cellStyle name="Normal 16 5 6 2 3" xfId="9938"/>
    <cellStyle name="Normal 16 5 6 3" xfId="7822"/>
    <cellStyle name="Normal 16 5 6 3 2" xfId="10720"/>
    <cellStyle name="Normal 16 5 6 4" xfId="9280"/>
    <cellStyle name="Normal 16 5 6 5" xfId="6325"/>
    <cellStyle name="Normal 16 5 7" xfId="7470"/>
    <cellStyle name="Normal 16 5 7 2" xfId="8944"/>
    <cellStyle name="Normal 16 5 7 2 2" xfId="11841"/>
    <cellStyle name="Normal 16 5 7 3" xfId="10401"/>
    <cellStyle name="Normal 16 5 8" xfId="7529"/>
    <cellStyle name="Normal 16 5 8 2" xfId="9001"/>
    <cellStyle name="Normal 16 5 8 2 2" xfId="11898"/>
    <cellStyle name="Normal 16 5 8 3" xfId="10458"/>
    <cellStyle name="Normal 16 5 9" xfId="6800"/>
    <cellStyle name="Normal 16 5 9 2" xfId="8281"/>
    <cellStyle name="Normal 16 5 9 2 2" xfId="11178"/>
    <cellStyle name="Normal 16 5 9 3" xfId="9738"/>
    <cellStyle name="Normal 16 6" xfId="892"/>
    <cellStyle name="Normal 16 6 10" xfId="9092"/>
    <cellStyle name="Normal 16 6 11" xfId="6103"/>
    <cellStyle name="Normal 16 6 2" xfId="893"/>
    <cellStyle name="Normal 16 6 2 2" xfId="894"/>
    <cellStyle name="Normal 16 6 2 2 2" xfId="895"/>
    <cellStyle name="Normal 16 6 2 2 2 2" xfId="7417"/>
    <cellStyle name="Normal 16 6 2 2 2 2 2" xfId="8894"/>
    <cellStyle name="Normal 16 6 2 2 2 2 2 2" xfId="11791"/>
    <cellStyle name="Normal 16 6 2 2 2 2 3" xfId="10351"/>
    <cellStyle name="Normal 16 6 2 2 2 3" xfId="8236"/>
    <cellStyle name="Normal 16 6 2 2 2 3 2" xfId="11133"/>
    <cellStyle name="Normal 16 6 2 2 2 4" xfId="9693"/>
    <cellStyle name="Normal 16 6 2 2 2 5" xfId="6741"/>
    <cellStyle name="Normal 16 6 2 2 3" xfId="7184"/>
    <cellStyle name="Normal 16 6 2 2 3 2" xfId="8661"/>
    <cellStyle name="Normal 16 6 2 2 3 2 2" xfId="11558"/>
    <cellStyle name="Normal 16 6 2 2 3 3" xfId="10118"/>
    <cellStyle name="Normal 16 6 2 2 4" xfId="8003"/>
    <cellStyle name="Normal 16 6 2 2 4 2" xfId="10900"/>
    <cellStyle name="Normal 16 6 2 2 5" xfId="9460"/>
    <cellStyle name="Normal 16 6 2 2 6" xfId="6508"/>
    <cellStyle name="Normal 16 6 2 3" xfId="896"/>
    <cellStyle name="Normal 16 6 2 3 2" xfId="7301"/>
    <cellStyle name="Normal 16 6 2 3 2 2" xfId="8778"/>
    <cellStyle name="Normal 16 6 2 3 2 2 2" xfId="11675"/>
    <cellStyle name="Normal 16 6 2 3 2 3" xfId="10235"/>
    <cellStyle name="Normal 16 6 2 3 3" xfId="8120"/>
    <cellStyle name="Normal 16 6 2 3 3 2" xfId="11017"/>
    <cellStyle name="Normal 16 6 2 3 4" xfId="9577"/>
    <cellStyle name="Normal 16 6 2 3 5" xfId="6625"/>
    <cellStyle name="Normal 16 6 2 4" xfId="897"/>
    <cellStyle name="Normal 16 6 2 4 2" xfId="7068"/>
    <cellStyle name="Normal 16 6 2 4 2 2" xfId="8545"/>
    <cellStyle name="Normal 16 6 2 4 2 2 2" xfId="11442"/>
    <cellStyle name="Normal 16 6 2 4 2 3" xfId="10002"/>
    <cellStyle name="Normal 16 6 2 4 3" xfId="7886"/>
    <cellStyle name="Normal 16 6 2 4 3 2" xfId="10784"/>
    <cellStyle name="Normal 16 6 2 4 4" xfId="9344"/>
    <cellStyle name="Normal 16 6 2 4 5" xfId="6389"/>
    <cellStyle name="Normal 16 6 2 5" xfId="6896"/>
    <cellStyle name="Normal 16 6 2 5 2" xfId="8374"/>
    <cellStyle name="Normal 16 6 2 5 2 2" xfId="11271"/>
    <cellStyle name="Normal 16 6 2 5 3" xfId="9831"/>
    <cellStyle name="Normal 16 6 2 6" xfId="7713"/>
    <cellStyle name="Normal 16 6 2 6 2" xfId="10613"/>
    <cellStyle name="Normal 16 6 2 7" xfId="9173"/>
    <cellStyle name="Normal 16 6 2 8" xfId="6192"/>
    <cellStyle name="Normal 16 6 3" xfId="898"/>
    <cellStyle name="Normal 16 6 3 2" xfId="899"/>
    <cellStyle name="Normal 16 6 3 2 2" xfId="7335"/>
    <cellStyle name="Normal 16 6 3 2 2 2" xfId="8812"/>
    <cellStyle name="Normal 16 6 3 2 2 2 2" xfId="11709"/>
    <cellStyle name="Normal 16 6 3 2 2 3" xfId="10269"/>
    <cellStyle name="Normal 16 6 3 2 3" xfId="8154"/>
    <cellStyle name="Normal 16 6 3 2 3 2" xfId="11051"/>
    <cellStyle name="Normal 16 6 3 2 4" xfId="9611"/>
    <cellStyle name="Normal 16 6 3 2 5" xfId="6659"/>
    <cellStyle name="Normal 16 6 3 3" xfId="900"/>
    <cellStyle name="Normal 16 6 3 3 2" xfId="7102"/>
    <cellStyle name="Normal 16 6 3 3 2 2" xfId="8579"/>
    <cellStyle name="Normal 16 6 3 3 2 2 2" xfId="11476"/>
    <cellStyle name="Normal 16 6 3 3 2 3" xfId="10036"/>
    <cellStyle name="Normal 16 6 3 3 3" xfId="7921"/>
    <cellStyle name="Normal 16 6 3 3 3 2" xfId="10818"/>
    <cellStyle name="Normal 16 6 3 3 4" xfId="9378"/>
    <cellStyle name="Normal 16 6 3 3 5" xfId="6426"/>
    <cellStyle name="Normal 16 6 3 4" xfId="6953"/>
    <cellStyle name="Normal 16 6 3 4 2" xfId="8430"/>
    <cellStyle name="Normal 16 6 3 4 2 2" xfId="11327"/>
    <cellStyle name="Normal 16 6 3 4 3" xfId="9887"/>
    <cellStyle name="Normal 16 6 3 5" xfId="7770"/>
    <cellStyle name="Normal 16 6 3 5 2" xfId="10669"/>
    <cellStyle name="Normal 16 6 3 6" xfId="9229"/>
    <cellStyle name="Normal 16 6 3 7" xfId="6254"/>
    <cellStyle name="Normal 16 6 4" xfId="901"/>
    <cellStyle name="Normal 16 6 4 2" xfId="7219"/>
    <cellStyle name="Normal 16 6 4 2 2" xfId="8696"/>
    <cellStyle name="Normal 16 6 4 2 2 2" xfId="11593"/>
    <cellStyle name="Normal 16 6 4 2 3" xfId="10153"/>
    <cellStyle name="Normal 16 6 4 3" xfId="8038"/>
    <cellStyle name="Normal 16 6 4 3 2" xfId="10935"/>
    <cellStyle name="Normal 16 6 4 4" xfId="9495"/>
    <cellStyle name="Normal 16 6 4 5" xfId="6543"/>
    <cellStyle name="Normal 16 6 5" xfId="902"/>
    <cellStyle name="Normal 16 6 5 2" xfId="6986"/>
    <cellStyle name="Normal 16 6 5 2 2" xfId="8463"/>
    <cellStyle name="Normal 16 6 5 2 2 2" xfId="11360"/>
    <cellStyle name="Normal 16 6 5 2 3" xfId="9920"/>
    <cellStyle name="Normal 16 6 5 3" xfId="7804"/>
    <cellStyle name="Normal 16 6 5 3 2" xfId="10702"/>
    <cellStyle name="Normal 16 6 5 4" xfId="9262"/>
    <cellStyle name="Normal 16 6 5 5" xfId="6307"/>
    <cellStyle name="Normal 16 6 6" xfId="7452"/>
    <cellStyle name="Normal 16 6 6 2" xfId="8926"/>
    <cellStyle name="Normal 16 6 6 2 2" xfId="11823"/>
    <cellStyle name="Normal 16 6 6 3" xfId="10383"/>
    <cellStyle name="Normal 16 6 7" xfId="7511"/>
    <cellStyle name="Normal 16 6 7 2" xfId="8983"/>
    <cellStyle name="Normal 16 6 7 2 2" xfId="11880"/>
    <cellStyle name="Normal 16 6 7 3" xfId="10440"/>
    <cellStyle name="Normal 16 6 8" xfId="6813"/>
    <cellStyle name="Normal 16 6 8 2" xfId="8293"/>
    <cellStyle name="Normal 16 6 8 2 2" xfId="11190"/>
    <cellStyle name="Normal 16 6 8 3" xfId="9750"/>
    <cellStyle name="Normal 16 6 9" xfId="7632"/>
    <cellStyle name="Normal 16 6 9 2" xfId="10532"/>
    <cellStyle name="Normal 16 7" xfId="903"/>
    <cellStyle name="Normal 16 7 10" xfId="6156"/>
    <cellStyle name="Normal 16 7 2" xfId="904"/>
    <cellStyle name="Normal 16 7 2 2" xfId="905"/>
    <cellStyle name="Normal 16 7 2 2 2" xfId="7361"/>
    <cellStyle name="Normal 16 7 2 2 2 2" xfId="8838"/>
    <cellStyle name="Normal 16 7 2 2 2 2 2" xfId="11735"/>
    <cellStyle name="Normal 16 7 2 2 2 3" xfId="10295"/>
    <cellStyle name="Normal 16 7 2 2 3" xfId="8180"/>
    <cellStyle name="Normal 16 7 2 2 3 2" xfId="11077"/>
    <cellStyle name="Normal 16 7 2 2 4" xfId="9637"/>
    <cellStyle name="Normal 16 7 2 2 5" xfId="6685"/>
    <cellStyle name="Normal 16 7 2 3" xfId="7128"/>
    <cellStyle name="Normal 16 7 2 3 2" xfId="8605"/>
    <cellStyle name="Normal 16 7 2 3 2 2" xfId="11502"/>
    <cellStyle name="Normal 16 7 2 3 3" xfId="10062"/>
    <cellStyle name="Normal 16 7 2 4" xfId="7947"/>
    <cellStyle name="Normal 16 7 2 4 2" xfId="10844"/>
    <cellStyle name="Normal 16 7 2 5" xfId="9404"/>
    <cellStyle name="Normal 16 7 2 6" xfId="6452"/>
    <cellStyle name="Normal 16 7 3" xfId="906"/>
    <cellStyle name="Normal 16 7 3 2" xfId="7245"/>
    <cellStyle name="Normal 16 7 3 2 2" xfId="8722"/>
    <cellStyle name="Normal 16 7 3 2 2 2" xfId="11619"/>
    <cellStyle name="Normal 16 7 3 2 3" xfId="10179"/>
    <cellStyle name="Normal 16 7 3 3" xfId="8064"/>
    <cellStyle name="Normal 16 7 3 3 2" xfId="10961"/>
    <cellStyle name="Normal 16 7 3 4" xfId="9521"/>
    <cellStyle name="Normal 16 7 3 5" xfId="6569"/>
    <cellStyle name="Normal 16 7 4" xfId="907"/>
    <cellStyle name="Normal 16 7 4 2" xfId="7012"/>
    <cellStyle name="Normal 16 7 4 2 2" xfId="8489"/>
    <cellStyle name="Normal 16 7 4 2 2 2" xfId="11386"/>
    <cellStyle name="Normal 16 7 4 2 3" xfId="9946"/>
    <cellStyle name="Normal 16 7 4 3" xfId="7830"/>
    <cellStyle name="Normal 16 7 4 3 2" xfId="10728"/>
    <cellStyle name="Normal 16 7 4 4" xfId="9288"/>
    <cellStyle name="Normal 16 7 4 5" xfId="6333"/>
    <cellStyle name="Normal 16 7 5" xfId="7478"/>
    <cellStyle name="Normal 16 7 5 2" xfId="8952"/>
    <cellStyle name="Normal 16 7 5 2 2" xfId="11849"/>
    <cellStyle name="Normal 16 7 5 3" xfId="10409"/>
    <cellStyle name="Normal 16 7 6" xfId="7537"/>
    <cellStyle name="Normal 16 7 6 2" xfId="9009"/>
    <cellStyle name="Normal 16 7 6 2 2" xfId="11906"/>
    <cellStyle name="Normal 16 7 6 3" xfId="10466"/>
    <cellStyle name="Normal 16 7 7" xfId="6864"/>
    <cellStyle name="Normal 16 7 7 2" xfId="8342"/>
    <cellStyle name="Normal 16 7 7 2 2" xfId="11239"/>
    <cellStyle name="Normal 16 7 7 3" xfId="9799"/>
    <cellStyle name="Normal 16 7 8" xfId="7681"/>
    <cellStyle name="Normal 16 7 8 2" xfId="10581"/>
    <cellStyle name="Normal 16 7 9" xfId="9141"/>
    <cellStyle name="Normal 16 8" xfId="908"/>
    <cellStyle name="Normal 16 8 2" xfId="909"/>
    <cellStyle name="Normal 16 8 2 2" xfId="910"/>
    <cellStyle name="Normal 16 8 2 2 2" xfId="7387"/>
    <cellStyle name="Normal 16 8 2 2 2 2" xfId="8864"/>
    <cellStyle name="Normal 16 8 2 2 2 2 2" xfId="11761"/>
    <cellStyle name="Normal 16 8 2 2 2 3" xfId="10321"/>
    <cellStyle name="Normal 16 8 2 2 3" xfId="8206"/>
    <cellStyle name="Normal 16 8 2 2 3 2" xfId="11103"/>
    <cellStyle name="Normal 16 8 2 2 4" xfId="9663"/>
    <cellStyle name="Normal 16 8 2 2 5" xfId="6711"/>
    <cellStyle name="Normal 16 8 2 3" xfId="7154"/>
    <cellStyle name="Normal 16 8 2 3 2" xfId="8631"/>
    <cellStyle name="Normal 16 8 2 3 2 2" xfId="11528"/>
    <cellStyle name="Normal 16 8 2 3 3" xfId="10088"/>
    <cellStyle name="Normal 16 8 2 4" xfId="7973"/>
    <cellStyle name="Normal 16 8 2 4 2" xfId="10870"/>
    <cellStyle name="Normal 16 8 2 5" xfId="9430"/>
    <cellStyle name="Normal 16 8 2 6" xfId="6478"/>
    <cellStyle name="Normal 16 8 3" xfId="911"/>
    <cellStyle name="Normal 16 8 3 2" xfId="7271"/>
    <cellStyle name="Normal 16 8 3 2 2" xfId="8748"/>
    <cellStyle name="Normal 16 8 3 2 2 2" xfId="11645"/>
    <cellStyle name="Normal 16 8 3 2 3" xfId="10205"/>
    <cellStyle name="Normal 16 8 3 3" xfId="8090"/>
    <cellStyle name="Normal 16 8 3 3 2" xfId="10987"/>
    <cellStyle name="Normal 16 8 3 4" xfId="9547"/>
    <cellStyle name="Normal 16 8 3 5" xfId="6595"/>
    <cellStyle name="Normal 16 8 4" xfId="912"/>
    <cellStyle name="Normal 16 8 4 2" xfId="7038"/>
    <cellStyle name="Normal 16 8 4 2 2" xfId="8515"/>
    <cellStyle name="Normal 16 8 4 2 2 2" xfId="11412"/>
    <cellStyle name="Normal 16 8 4 2 3" xfId="9972"/>
    <cellStyle name="Normal 16 8 4 3" xfId="7856"/>
    <cellStyle name="Normal 16 8 4 3 2" xfId="10754"/>
    <cellStyle name="Normal 16 8 4 4" xfId="9314"/>
    <cellStyle name="Normal 16 8 4 5" xfId="6359"/>
    <cellStyle name="Normal 16 8 5" xfId="6923"/>
    <cellStyle name="Normal 16 8 5 2" xfId="8400"/>
    <cellStyle name="Normal 16 8 5 2 2" xfId="11297"/>
    <cellStyle name="Normal 16 8 5 3" xfId="9857"/>
    <cellStyle name="Normal 16 8 6" xfId="7740"/>
    <cellStyle name="Normal 16 8 6 2" xfId="10639"/>
    <cellStyle name="Normal 16 8 7" xfId="9199"/>
    <cellStyle name="Normal 16 8 8" xfId="6223"/>
    <cellStyle name="Normal 16 9" xfId="913"/>
    <cellStyle name="Normal 16 9 2" xfId="914"/>
    <cellStyle name="Normal 16 9 2 2" xfId="7330"/>
    <cellStyle name="Normal 16 9 2 2 2" xfId="8807"/>
    <cellStyle name="Normal 16 9 2 2 2 2" xfId="11704"/>
    <cellStyle name="Normal 16 9 2 2 3" xfId="10264"/>
    <cellStyle name="Normal 16 9 2 3" xfId="8149"/>
    <cellStyle name="Normal 16 9 2 3 2" xfId="11046"/>
    <cellStyle name="Normal 16 9 2 4" xfId="9606"/>
    <cellStyle name="Normal 16 9 2 5" xfId="6654"/>
    <cellStyle name="Normal 16 9 3" xfId="7096"/>
    <cellStyle name="Normal 16 9 3 2" xfId="8573"/>
    <cellStyle name="Normal 16 9 3 2 2" xfId="11470"/>
    <cellStyle name="Normal 16 9 3 3" xfId="10030"/>
    <cellStyle name="Normal 16 9 4" xfId="7915"/>
    <cellStyle name="Normal 16 9 4 2" xfId="10812"/>
    <cellStyle name="Normal 16 9 5" xfId="9372"/>
    <cellStyle name="Normal 16 9 6" xfId="6419"/>
    <cellStyle name="Normal 17" xfId="915"/>
    <cellStyle name="Normal 17 10" xfId="916"/>
    <cellStyle name="Normal 17 10 2" xfId="7215"/>
    <cellStyle name="Normal 17 10 2 2" xfId="8692"/>
    <cellStyle name="Normal 17 10 2 2 2" xfId="11589"/>
    <cellStyle name="Normal 17 10 2 3" xfId="10149"/>
    <cellStyle name="Normal 17 10 3" xfId="8034"/>
    <cellStyle name="Normal 17 10 3 2" xfId="10931"/>
    <cellStyle name="Normal 17 10 4" xfId="9491"/>
    <cellStyle name="Normal 17 10 5" xfId="6539"/>
    <cellStyle name="Normal 17 11" xfId="917"/>
    <cellStyle name="Normal 17 11 2" xfId="6982"/>
    <cellStyle name="Normal 17 11 2 2" xfId="8459"/>
    <cellStyle name="Normal 17 11 2 2 2" xfId="11356"/>
    <cellStyle name="Normal 17 11 2 3" xfId="9916"/>
    <cellStyle name="Normal 17 11 3" xfId="7800"/>
    <cellStyle name="Normal 17 11 3 2" xfId="10698"/>
    <cellStyle name="Normal 17 11 4" xfId="9258"/>
    <cellStyle name="Normal 17 11 5" xfId="6297"/>
    <cellStyle name="Normal 17 12" xfId="3285"/>
    <cellStyle name="Normal 17 12 2" xfId="8922"/>
    <cellStyle name="Normal 17 12 2 2" xfId="11819"/>
    <cellStyle name="Normal 17 12 3" xfId="10379"/>
    <cellStyle name="Normal 17 12 4" xfId="7446"/>
    <cellStyle name="Normal 17 13" xfId="7506"/>
    <cellStyle name="Normal 17 13 2" xfId="8979"/>
    <cellStyle name="Normal 17 13 2 2" xfId="11876"/>
    <cellStyle name="Normal 17 13 3" xfId="10436"/>
    <cellStyle name="Normal 17 14" xfId="6781"/>
    <cellStyle name="Normal 17 14 2" xfId="8264"/>
    <cellStyle name="Normal 17 14 2 2" xfId="11161"/>
    <cellStyle name="Normal 17 14 3" xfId="9721"/>
    <cellStyle name="Normal 17 15" xfId="7603"/>
    <cellStyle name="Normal 17 15 2" xfId="10504"/>
    <cellStyle name="Normal 17 16" xfId="9063"/>
    <cellStyle name="Normal 17 17" xfId="6059"/>
    <cellStyle name="Normal 17 2" xfId="918"/>
    <cellStyle name="Normal 17 2 10" xfId="7451"/>
    <cellStyle name="Normal 17 2 10 2" xfId="8925"/>
    <cellStyle name="Normal 17 2 10 2 2" xfId="11822"/>
    <cellStyle name="Normal 17 2 10 3" xfId="10382"/>
    <cellStyle name="Normal 17 2 11" xfId="7510"/>
    <cellStyle name="Normal 17 2 11 2" xfId="8982"/>
    <cellStyle name="Normal 17 2 11 2 2" xfId="11879"/>
    <cellStyle name="Normal 17 2 11 3" xfId="10439"/>
    <cellStyle name="Normal 17 2 12" xfId="6788"/>
    <cellStyle name="Normal 17 2 12 2" xfId="8269"/>
    <cellStyle name="Normal 17 2 12 2 2" xfId="11166"/>
    <cellStyle name="Normal 17 2 12 3" xfId="9726"/>
    <cellStyle name="Normal 17 2 13" xfId="7609"/>
    <cellStyle name="Normal 17 2 13 2" xfId="10509"/>
    <cellStyle name="Normal 17 2 14" xfId="9069"/>
    <cellStyle name="Normal 17 2 15" xfId="6072"/>
    <cellStyle name="Normal 17 2 2" xfId="919"/>
    <cellStyle name="Normal 17 2 2 10" xfId="7616"/>
    <cellStyle name="Normal 17 2 2 10 2" xfId="10516"/>
    <cellStyle name="Normal 17 2 2 11" xfId="9076"/>
    <cellStyle name="Normal 17 2 2 12" xfId="6081"/>
    <cellStyle name="Normal 17 2 2 2" xfId="920"/>
    <cellStyle name="Normal 17 2 2 2 10" xfId="9106"/>
    <cellStyle name="Normal 17 2 2 2 11" xfId="6118"/>
    <cellStyle name="Normal 17 2 2 2 2" xfId="921"/>
    <cellStyle name="Normal 17 2 2 2 2 2" xfId="922"/>
    <cellStyle name="Normal 17 2 2 2 2 2 2" xfId="923"/>
    <cellStyle name="Normal 17 2 2 2 2 2 2 2" xfId="7431"/>
    <cellStyle name="Normal 17 2 2 2 2 2 2 2 2" xfId="8908"/>
    <cellStyle name="Normal 17 2 2 2 2 2 2 2 2 2" xfId="11805"/>
    <cellStyle name="Normal 17 2 2 2 2 2 2 2 3" xfId="10365"/>
    <cellStyle name="Normal 17 2 2 2 2 2 2 3" xfId="8250"/>
    <cellStyle name="Normal 17 2 2 2 2 2 2 3 2" xfId="11147"/>
    <cellStyle name="Normal 17 2 2 2 2 2 2 4" xfId="9707"/>
    <cellStyle name="Normal 17 2 2 2 2 2 2 5" xfId="6755"/>
    <cellStyle name="Normal 17 2 2 2 2 2 3" xfId="7198"/>
    <cellStyle name="Normal 17 2 2 2 2 2 3 2" xfId="8675"/>
    <cellStyle name="Normal 17 2 2 2 2 2 3 2 2" xfId="11572"/>
    <cellStyle name="Normal 17 2 2 2 2 2 3 3" xfId="10132"/>
    <cellStyle name="Normal 17 2 2 2 2 2 4" xfId="8017"/>
    <cellStyle name="Normal 17 2 2 2 2 2 4 2" xfId="10914"/>
    <cellStyle name="Normal 17 2 2 2 2 2 5" xfId="9474"/>
    <cellStyle name="Normal 17 2 2 2 2 2 6" xfId="6522"/>
    <cellStyle name="Normal 17 2 2 2 2 3" xfId="924"/>
    <cellStyle name="Normal 17 2 2 2 2 3 2" xfId="7315"/>
    <cellStyle name="Normal 17 2 2 2 2 3 2 2" xfId="8792"/>
    <cellStyle name="Normal 17 2 2 2 2 3 2 2 2" xfId="11689"/>
    <cellStyle name="Normal 17 2 2 2 2 3 2 3" xfId="10249"/>
    <cellStyle name="Normal 17 2 2 2 2 3 3" xfId="8134"/>
    <cellStyle name="Normal 17 2 2 2 2 3 3 2" xfId="11031"/>
    <cellStyle name="Normal 17 2 2 2 2 3 4" xfId="9591"/>
    <cellStyle name="Normal 17 2 2 2 2 3 5" xfId="6639"/>
    <cellStyle name="Normal 17 2 2 2 2 4" xfId="925"/>
    <cellStyle name="Normal 17 2 2 2 2 4 2" xfId="7082"/>
    <cellStyle name="Normal 17 2 2 2 2 4 2 2" xfId="8559"/>
    <cellStyle name="Normal 17 2 2 2 2 4 2 2 2" xfId="11456"/>
    <cellStyle name="Normal 17 2 2 2 2 4 2 3" xfId="10016"/>
    <cellStyle name="Normal 17 2 2 2 2 4 3" xfId="7900"/>
    <cellStyle name="Normal 17 2 2 2 2 4 3 2" xfId="10798"/>
    <cellStyle name="Normal 17 2 2 2 2 4 4" xfId="9358"/>
    <cellStyle name="Normal 17 2 2 2 2 4 5" xfId="6403"/>
    <cellStyle name="Normal 17 2 2 2 2 5" xfId="6910"/>
    <cellStyle name="Normal 17 2 2 2 2 5 2" xfId="8388"/>
    <cellStyle name="Normal 17 2 2 2 2 5 2 2" xfId="11285"/>
    <cellStyle name="Normal 17 2 2 2 2 5 3" xfId="9845"/>
    <cellStyle name="Normal 17 2 2 2 2 6" xfId="7727"/>
    <cellStyle name="Normal 17 2 2 2 2 6 2" xfId="10627"/>
    <cellStyle name="Normal 17 2 2 2 2 7" xfId="9187"/>
    <cellStyle name="Normal 17 2 2 2 2 8" xfId="6206"/>
    <cellStyle name="Normal 17 2 2 2 3" xfId="926"/>
    <cellStyle name="Normal 17 2 2 2 3 2" xfId="927"/>
    <cellStyle name="Normal 17 2 2 2 3 2 2" xfId="7375"/>
    <cellStyle name="Normal 17 2 2 2 3 2 2 2" xfId="8852"/>
    <cellStyle name="Normal 17 2 2 2 3 2 2 2 2" xfId="11749"/>
    <cellStyle name="Normal 17 2 2 2 3 2 2 3" xfId="10309"/>
    <cellStyle name="Normal 17 2 2 2 3 2 3" xfId="8194"/>
    <cellStyle name="Normal 17 2 2 2 3 2 3 2" xfId="11091"/>
    <cellStyle name="Normal 17 2 2 2 3 2 4" xfId="9651"/>
    <cellStyle name="Normal 17 2 2 2 3 2 5" xfId="6699"/>
    <cellStyle name="Normal 17 2 2 2 3 3" xfId="928"/>
    <cellStyle name="Normal 17 2 2 2 3 3 2" xfId="7142"/>
    <cellStyle name="Normal 17 2 2 2 3 3 2 2" xfId="8619"/>
    <cellStyle name="Normal 17 2 2 2 3 3 2 2 2" xfId="11516"/>
    <cellStyle name="Normal 17 2 2 2 3 3 2 3" xfId="10076"/>
    <cellStyle name="Normal 17 2 2 2 3 3 3" xfId="7961"/>
    <cellStyle name="Normal 17 2 2 2 3 3 3 2" xfId="10858"/>
    <cellStyle name="Normal 17 2 2 2 3 3 4" xfId="9418"/>
    <cellStyle name="Normal 17 2 2 2 3 3 5" xfId="6466"/>
    <cellStyle name="Normal 17 2 2 2 3 4" xfId="6967"/>
    <cellStyle name="Normal 17 2 2 2 3 4 2" xfId="8444"/>
    <cellStyle name="Normal 17 2 2 2 3 4 2 2" xfId="11341"/>
    <cellStyle name="Normal 17 2 2 2 3 4 3" xfId="9901"/>
    <cellStyle name="Normal 17 2 2 2 3 5" xfId="7784"/>
    <cellStyle name="Normal 17 2 2 2 3 5 2" xfId="10683"/>
    <cellStyle name="Normal 17 2 2 2 3 6" xfId="9243"/>
    <cellStyle name="Normal 17 2 2 2 3 7" xfId="6268"/>
    <cellStyle name="Normal 17 2 2 2 4" xfId="929"/>
    <cellStyle name="Normal 17 2 2 2 4 2" xfId="7259"/>
    <cellStyle name="Normal 17 2 2 2 4 2 2" xfId="8736"/>
    <cellStyle name="Normal 17 2 2 2 4 2 2 2" xfId="11633"/>
    <cellStyle name="Normal 17 2 2 2 4 2 3" xfId="10193"/>
    <cellStyle name="Normal 17 2 2 2 4 3" xfId="8078"/>
    <cellStyle name="Normal 17 2 2 2 4 3 2" xfId="10975"/>
    <cellStyle name="Normal 17 2 2 2 4 4" xfId="9535"/>
    <cellStyle name="Normal 17 2 2 2 4 5" xfId="6583"/>
    <cellStyle name="Normal 17 2 2 2 5" xfId="930"/>
    <cellStyle name="Normal 17 2 2 2 5 2" xfId="7026"/>
    <cellStyle name="Normal 17 2 2 2 5 2 2" xfId="8503"/>
    <cellStyle name="Normal 17 2 2 2 5 2 2 2" xfId="11400"/>
    <cellStyle name="Normal 17 2 2 2 5 2 3" xfId="9960"/>
    <cellStyle name="Normal 17 2 2 2 5 3" xfId="7844"/>
    <cellStyle name="Normal 17 2 2 2 5 3 2" xfId="10742"/>
    <cellStyle name="Normal 17 2 2 2 5 4" xfId="9302"/>
    <cellStyle name="Normal 17 2 2 2 5 5" xfId="6347"/>
    <cellStyle name="Normal 17 2 2 2 6" xfId="7492"/>
    <cellStyle name="Normal 17 2 2 2 6 2" xfId="8966"/>
    <cellStyle name="Normal 17 2 2 2 6 2 2" xfId="11863"/>
    <cellStyle name="Normal 17 2 2 2 6 3" xfId="10423"/>
    <cellStyle name="Normal 17 2 2 2 7" xfId="7551"/>
    <cellStyle name="Normal 17 2 2 2 7 2" xfId="9023"/>
    <cellStyle name="Normal 17 2 2 2 7 2 2" xfId="11920"/>
    <cellStyle name="Normal 17 2 2 2 7 3" xfId="10480"/>
    <cellStyle name="Normal 17 2 2 2 8" xfId="6827"/>
    <cellStyle name="Normal 17 2 2 2 8 2" xfId="8307"/>
    <cellStyle name="Normal 17 2 2 2 8 2 2" xfId="11204"/>
    <cellStyle name="Normal 17 2 2 2 8 3" xfId="9764"/>
    <cellStyle name="Normal 17 2 2 2 9" xfId="7646"/>
    <cellStyle name="Normal 17 2 2 2 9 2" xfId="10546"/>
    <cellStyle name="Normal 17 2 2 3" xfId="931"/>
    <cellStyle name="Normal 17 2 2 3 2" xfId="932"/>
    <cellStyle name="Normal 17 2 2 3 2 2" xfId="933"/>
    <cellStyle name="Normal 17 2 2 3 2 2 2" xfId="7401"/>
    <cellStyle name="Normal 17 2 2 3 2 2 2 2" xfId="8878"/>
    <cellStyle name="Normal 17 2 2 3 2 2 2 2 2" xfId="11775"/>
    <cellStyle name="Normal 17 2 2 3 2 2 2 3" xfId="10335"/>
    <cellStyle name="Normal 17 2 2 3 2 2 3" xfId="8220"/>
    <cellStyle name="Normal 17 2 2 3 2 2 3 2" xfId="11117"/>
    <cellStyle name="Normal 17 2 2 3 2 2 4" xfId="9677"/>
    <cellStyle name="Normal 17 2 2 3 2 2 5" xfId="6725"/>
    <cellStyle name="Normal 17 2 2 3 2 3" xfId="7168"/>
    <cellStyle name="Normal 17 2 2 3 2 3 2" xfId="8645"/>
    <cellStyle name="Normal 17 2 2 3 2 3 2 2" xfId="11542"/>
    <cellStyle name="Normal 17 2 2 3 2 3 3" xfId="10102"/>
    <cellStyle name="Normal 17 2 2 3 2 4" xfId="7987"/>
    <cellStyle name="Normal 17 2 2 3 2 4 2" xfId="10884"/>
    <cellStyle name="Normal 17 2 2 3 2 5" xfId="9444"/>
    <cellStyle name="Normal 17 2 2 3 2 6" xfId="6492"/>
    <cellStyle name="Normal 17 2 2 3 3" xfId="934"/>
    <cellStyle name="Normal 17 2 2 3 3 2" xfId="7285"/>
    <cellStyle name="Normal 17 2 2 3 3 2 2" xfId="8762"/>
    <cellStyle name="Normal 17 2 2 3 3 2 2 2" xfId="11659"/>
    <cellStyle name="Normal 17 2 2 3 3 2 3" xfId="10219"/>
    <cellStyle name="Normal 17 2 2 3 3 3" xfId="8104"/>
    <cellStyle name="Normal 17 2 2 3 3 3 2" xfId="11001"/>
    <cellStyle name="Normal 17 2 2 3 3 4" xfId="9561"/>
    <cellStyle name="Normal 17 2 2 3 3 5" xfId="6609"/>
    <cellStyle name="Normal 17 2 2 3 4" xfId="935"/>
    <cellStyle name="Normal 17 2 2 3 4 2" xfId="7052"/>
    <cellStyle name="Normal 17 2 2 3 4 2 2" xfId="8529"/>
    <cellStyle name="Normal 17 2 2 3 4 2 2 2" xfId="11426"/>
    <cellStyle name="Normal 17 2 2 3 4 2 3" xfId="9986"/>
    <cellStyle name="Normal 17 2 2 3 4 3" xfId="7870"/>
    <cellStyle name="Normal 17 2 2 3 4 3 2" xfId="10768"/>
    <cellStyle name="Normal 17 2 2 3 4 4" xfId="9328"/>
    <cellStyle name="Normal 17 2 2 3 4 5" xfId="6373"/>
    <cellStyle name="Normal 17 2 2 3 5" xfId="6880"/>
    <cellStyle name="Normal 17 2 2 3 5 2" xfId="8358"/>
    <cellStyle name="Normal 17 2 2 3 5 2 2" xfId="11255"/>
    <cellStyle name="Normal 17 2 2 3 5 3" xfId="9815"/>
    <cellStyle name="Normal 17 2 2 3 6" xfId="7697"/>
    <cellStyle name="Normal 17 2 2 3 6 2" xfId="10597"/>
    <cellStyle name="Normal 17 2 2 3 7" xfId="9157"/>
    <cellStyle name="Normal 17 2 2 3 8" xfId="6175"/>
    <cellStyle name="Normal 17 2 2 4" xfId="936"/>
    <cellStyle name="Normal 17 2 2 4 2" xfId="937"/>
    <cellStyle name="Normal 17 2 2 4 2 2" xfId="7349"/>
    <cellStyle name="Normal 17 2 2 4 2 2 2" xfId="8826"/>
    <cellStyle name="Normal 17 2 2 4 2 2 2 2" xfId="11723"/>
    <cellStyle name="Normal 17 2 2 4 2 2 3" xfId="10283"/>
    <cellStyle name="Normal 17 2 2 4 2 3" xfId="8168"/>
    <cellStyle name="Normal 17 2 2 4 2 3 2" xfId="11065"/>
    <cellStyle name="Normal 17 2 2 4 2 4" xfId="9625"/>
    <cellStyle name="Normal 17 2 2 4 2 5" xfId="6673"/>
    <cellStyle name="Normal 17 2 2 4 3" xfId="938"/>
    <cellStyle name="Normal 17 2 2 4 3 2" xfId="7116"/>
    <cellStyle name="Normal 17 2 2 4 3 2 2" xfId="8593"/>
    <cellStyle name="Normal 17 2 2 4 3 2 2 2" xfId="11490"/>
    <cellStyle name="Normal 17 2 2 4 3 2 3" xfId="10050"/>
    <cellStyle name="Normal 17 2 2 4 3 3" xfId="7935"/>
    <cellStyle name="Normal 17 2 2 4 3 3 2" xfId="10832"/>
    <cellStyle name="Normal 17 2 2 4 3 4" xfId="9392"/>
    <cellStyle name="Normal 17 2 2 4 3 5" xfId="6440"/>
    <cellStyle name="Normal 17 2 2 4 4" xfId="6937"/>
    <cellStyle name="Normal 17 2 2 4 4 2" xfId="8414"/>
    <cellStyle name="Normal 17 2 2 4 4 2 2" xfId="11311"/>
    <cellStyle name="Normal 17 2 2 4 4 3" xfId="9871"/>
    <cellStyle name="Normal 17 2 2 4 5" xfId="7754"/>
    <cellStyle name="Normal 17 2 2 4 5 2" xfId="10653"/>
    <cellStyle name="Normal 17 2 2 4 6" xfId="9213"/>
    <cellStyle name="Normal 17 2 2 4 7" xfId="6238"/>
    <cellStyle name="Normal 17 2 2 5" xfId="939"/>
    <cellStyle name="Normal 17 2 2 5 2" xfId="7233"/>
    <cellStyle name="Normal 17 2 2 5 2 2" xfId="8710"/>
    <cellStyle name="Normal 17 2 2 5 2 2 2" xfId="11607"/>
    <cellStyle name="Normal 17 2 2 5 2 3" xfId="10167"/>
    <cellStyle name="Normal 17 2 2 5 3" xfId="8052"/>
    <cellStyle name="Normal 17 2 2 5 3 2" xfId="10949"/>
    <cellStyle name="Normal 17 2 2 5 4" xfId="9509"/>
    <cellStyle name="Normal 17 2 2 5 5" xfId="6557"/>
    <cellStyle name="Normal 17 2 2 6" xfId="940"/>
    <cellStyle name="Normal 17 2 2 6 2" xfId="7000"/>
    <cellStyle name="Normal 17 2 2 6 2 2" xfId="8477"/>
    <cellStyle name="Normal 17 2 2 6 2 2 2" xfId="11374"/>
    <cellStyle name="Normal 17 2 2 6 2 3" xfId="9934"/>
    <cellStyle name="Normal 17 2 2 6 3" xfId="7818"/>
    <cellStyle name="Normal 17 2 2 6 3 2" xfId="10716"/>
    <cellStyle name="Normal 17 2 2 6 4" xfId="9276"/>
    <cellStyle name="Normal 17 2 2 6 5" xfId="6321"/>
    <cellStyle name="Normal 17 2 2 7" xfId="7466"/>
    <cellStyle name="Normal 17 2 2 7 2" xfId="8940"/>
    <cellStyle name="Normal 17 2 2 7 2 2" xfId="11837"/>
    <cellStyle name="Normal 17 2 2 7 3" xfId="10397"/>
    <cellStyle name="Normal 17 2 2 8" xfId="7525"/>
    <cellStyle name="Normal 17 2 2 8 2" xfId="8997"/>
    <cellStyle name="Normal 17 2 2 8 2 2" xfId="11894"/>
    <cellStyle name="Normal 17 2 2 8 3" xfId="10454"/>
    <cellStyle name="Normal 17 2 2 9" xfId="6796"/>
    <cellStyle name="Normal 17 2 2 9 2" xfId="8277"/>
    <cellStyle name="Normal 17 2 2 9 2 2" xfId="11174"/>
    <cellStyle name="Normal 17 2 2 9 3" xfId="9734"/>
    <cellStyle name="Normal 17 2 3" xfId="941"/>
    <cellStyle name="Normal 17 2 3 10" xfId="7624"/>
    <cellStyle name="Normal 17 2 3 10 2" xfId="10524"/>
    <cellStyle name="Normal 17 2 3 11" xfId="9084"/>
    <cellStyle name="Normal 17 2 3 12" xfId="6089"/>
    <cellStyle name="Normal 17 2 3 2" xfId="942"/>
    <cellStyle name="Normal 17 2 3 2 10" xfId="9114"/>
    <cellStyle name="Normal 17 2 3 2 11" xfId="6126"/>
    <cellStyle name="Normal 17 2 3 2 2" xfId="943"/>
    <cellStyle name="Normal 17 2 3 2 2 2" xfId="944"/>
    <cellStyle name="Normal 17 2 3 2 2 2 2" xfId="945"/>
    <cellStyle name="Normal 17 2 3 2 2 2 2 2" xfId="7439"/>
    <cellStyle name="Normal 17 2 3 2 2 2 2 2 2" xfId="8916"/>
    <cellStyle name="Normal 17 2 3 2 2 2 2 2 2 2" xfId="11813"/>
    <cellStyle name="Normal 17 2 3 2 2 2 2 2 3" xfId="10373"/>
    <cellStyle name="Normal 17 2 3 2 2 2 2 3" xfId="8258"/>
    <cellStyle name="Normal 17 2 3 2 2 2 2 3 2" xfId="11155"/>
    <cellStyle name="Normal 17 2 3 2 2 2 2 4" xfId="9715"/>
    <cellStyle name="Normal 17 2 3 2 2 2 2 5" xfId="6763"/>
    <cellStyle name="Normal 17 2 3 2 2 2 3" xfId="7206"/>
    <cellStyle name="Normal 17 2 3 2 2 2 3 2" xfId="8683"/>
    <cellStyle name="Normal 17 2 3 2 2 2 3 2 2" xfId="11580"/>
    <cellStyle name="Normal 17 2 3 2 2 2 3 3" xfId="10140"/>
    <cellStyle name="Normal 17 2 3 2 2 2 4" xfId="8025"/>
    <cellStyle name="Normal 17 2 3 2 2 2 4 2" xfId="10922"/>
    <cellStyle name="Normal 17 2 3 2 2 2 5" xfId="9482"/>
    <cellStyle name="Normal 17 2 3 2 2 2 6" xfId="6530"/>
    <cellStyle name="Normal 17 2 3 2 2 3" xfId="946"/>
    <cellStyle name="Normal 17 2 3 2 2 3 2" xfId="7323"/>
    <cellStyle name="Normal 17 2 3 2 2 3 2 2" xfId="8800"/>
    <cellStyle name="Normal 17 2 3 2 2 3 2 2 2" xfId="11697"/>
    <cellStyle name="Normal 17 2 3 2 2 3 2 3" xfId="10257"/>
    <cellStyle name="Normal 17 2 3 2 2 3 3" xfId="8142"/>
    <cellStyle name="Normal 17 2 3 2 2 3 3 2" xfId="11039"/>
    <cellStyle name="Normal 17 2 3 2 2 3 4" xfId="9599"/>
    <cellStyle name="Normal 17 2 3 2 2 3 5" xfId="6647"/>
    <cellStyle name="Normal 17 2 3 2 2 4" xfId="947"/>
    <cellStyle name="Normal 17 2 3 2 2 4 2" xfId="7090"/>
    <cellStyle name="Normal 17 2 3 2 2 4 2 2" xfId="8567"/>
    <cellStyle name="Normal 17 2 3 2 2 4 2 2 2" xfId="11464"/>
    <cellStyle name="Normal 17 2 3 2 2 4 2 3" xfId="10024"/>
    <cellStyle name="Normal 17 2 3 2 2 4 3" xfId="7908"/>
    <cellStyle name="Normal 17 2 3 2 2 4 3 2" xfId="10806"/>
    <cellStyle name="Normal 17 2 3 2 2 4 4" xfId="9366"/>
    <cellStyle name="Normal 17 2 3 2 2 4 5" xfId="6411"/>
    <cellStyle name="Normal 17 2 3 2 2 5" xfId="6918"/>
    <cellStyle name="Normal 17 2 3 2 2 5 2" xfId="8396"/>
    <cellStyle name="Normal 17 2 3 2 2 5 2 2" xfId="11293"/>
    <cellStyle name="Normal 17 2 3 2 2 5 3" xfId="9853"/>
    <cellStyle name="Normal 17 2 3 2 2 6" xfId="7735"/>
    <cellStyle name="Normal 17 2 3 2 2 6 2" xfId="10635"/>
    <cellStyle name="Normal 17 2 3 2 2 7" xfId="9195"/>
    <cellStyle name="Normal 17 2 3 2 2 8" xfId="6214"/>
    <cellStyle name="Normal 17 2 3 2 3" xfId="948"/>
    <cellStyle name="Normal 17 2 3 2 3 2" xfId="949"/>
    <cellStyle name="Normal 17 2 3 2 3 2 2" xfId="7383"/>
    <cellStyle name="Normal 17 2 3 2 3 2 2 2" xfId="8860"/>
    <cellStyle name="Normal 17 2 3 2 3 2 2 2 2" xfId="11757"/>
    <cellStyle name="Normal 17 2 3 2 3 2 2 3" xfId="10317"/>
    <cellStyle name="Normal 17 2 3 2 3 2 3" xfId="8202"/>
    <cellStyle name="Normal 17 2 3 2 3 2 3 2" xfId="11099"/>
    <cellStyle name="Normal 17 2 3 2 3 2 4" xfId="9659"/>
    <cellStyle name="Normal 17 2 3 2 3 2 5" xfId="6707"/>
    <cellStyle name="Normal 17 2 3 2 3 3" xfId="950"/>
    <cellStyle name="Normal 17 2 3 2 3 3 2" xfId="7150"/>
    <cellStyle name="Normal 17 2 3 2 3 3 2 2" xfId="8627"/>
    <cellStyle name="Normal 17 2 3 2 3 3 2 2 2" xfId="11524"/>
    <cellStyle name="Normal 17 2 3 2 3 3 2 3" xfId="10084"/>
    <cellStyle name="Normal 17 2 3 2 3 3 3" xfId="7969"/>
    <cellStyle name="Normal 17 2 3 2 3 3 3 2" xfId="10866"/>
    <cellStyle name="Normal 17 2 3 2 3 3 4" xfId="9426"/>
    <cellStyle name="Normal 17 2 3 2 3 3 5" xfId="6474"/>
    <cellStyle name="Normal 17 2 3 2 3 4" xfId="6975"/>
    <cellStyle name="Normal 17 2 3 2 3 4 2" xfId="8452"/>
    <cellStyle name="Normal 17 2 3 2 3 4 2 2" xfId="11349"/>
    <cellStyle name="Normal 17 2 3 2 3 4 3" xfId="9909"/>
    <cellStyle name="Normal 17 2 3 2 3 5" xfId="7792"/>
    <cellStyle name="Normal 17 2 3 2 3 5 2" xfId="10691"/>
    <cellStyle name="Normal 17 2 3 2 3 6" xfId="9251"/>
    <cellStyle name="Normal 17 2 3 2 3 7" xfId="6276"/>
    <cellStyle name="Normal 17 2 3 2 4" xfId="951"/>
    <cellStyle name="Normal 17 2 3 2 4 2" xfId="7267"/>
    <cellStyle name="Normal 17 2 3 2 4 2 2" xfId="8744"/>
    <cellStyle name="Normal 17 2 3 2 4 2 2 2" xfId="11641"/>
    <cellStyle name="Normal 17 2 3 2 4 2 3" xfId="10201"/>
    <cellStyle name="Normal 17 2 3 2 4 3" xfId="8086"/>
    <cellStyle name="Normal 17 2 3 2 4 3 2" xfId="10983"/>
    <cellStyle name="Normal 17 2 3 2 4 4" xfId="9543"/>
    <cellStyle name="Normal 17 2 3 2 4 5" xfId="6591"/>
    <cellStyle name="Normal 17 2 3 2 5" xfId="952"/>
    <cellStyle name="Normal 17 2 3 2 5 2" xfId="7034"/>
    <cellStyle name="Normal 17 2 3 2 5 2 2" xfId="8511"/>
    <cellStyle name="Normal 17 2 3 2 5 2 2 2" xfId="11408"/>
    <cellStyle name="Normal 17 2 3 2 5 2 3" xfId="9968"/>
    <cellStyle name="Normal 17 2 3 2 5 3" xfId="7852"/>
    <cellStyle name="Normal 17 2 3 2 5 3 2" xfId="10750"/>
    <cellStyle name="Normal 17 2 3 2 5 4" xfId="9310"/>
    <cellStyle name="Normal 17 2 3 2 5 5" xfId="6355"/>
    <cellStyle name="Normal 17 2 3 2 6" xfId="7500"/>
    <cellStyle name="Normal 17 2 3 2 6 2" xfId="8974"/>
    <cellStyle name="Normal 17 2 3 2 6 2 2" xfId="11871"/>
    <cellStyle name="Normal 17 2 3 2 6 3" xfId="10431"/>
    <cellStyle name="Normal 17 2 3 2 7" xfId="7559"/>
    <cellStyle name="Normal 17 2 3 2 7 2" xfId="9031"/>
    <cellStyle name="Normal 17 2 3 2 7 2 2" xfId="11928"/>
    <cellStyle name="Normal 17 2 3 2 7 3" xfId="10488"/>
    <cellStyle name="Normal 17 2 3 2 8" xfId="6835"/>
    <cellStyle name="Normal 17 2 3 2 8 2" xfId="8315"/>
    <cellStyle name="Normal 17 2 3 2 8 2 2" xfId="11212"/>
    <cellStyle name="Normal 17 2 3 2 8 3" xfId="9772"/>
    <cellStyle name="Normal 17 2 3 2 9" xfId="7654"/>
    <cellStyle name="Normal 17 2 3 2 9 2" xfId="10554"/>
    <cellStyle name="Normal 17 2 3 3" xfId="953"/>
    <cellStyle name="Normal 17 2 3 3 2" xfId="954"/>
    <cellStyle name="Normal 17 2 3 3 2 2" xfId="955"/>
    <cellStyle name="Normal 17 2 3 3 2 2 2" xfId="7409"/>
    <cellStyle name="Normal 17 2 3 3 2 2 2 2" xfId="8886"/>
    <cellStyle name="Normal 17 2 3 3 2 2 2 2 2" xfId="11783"/>
    <cellStyle name="Normal 17 2 3 3 2 2 2 3" xfId="10343"/>
    <cellStyle name="Normal 17 2 3 3 2 2 3" xfId="8228"/>
    <cellStyle name="Normal 17 2 3 3 2 2 3 2" xfId="11125"/>
    <cellStyle name="Normal 17 2 3 3 2 2 4" xfId="9685"/>
    <cellStyle name="Normal 17 2 3 3 2 2 5" xfId="6733"/>
    <cellStyle name="Normal 17 2 3 3 2 3" xfId="7176"/>
    <cellStyle name="Normal 17 2 3 3 2 3 2" xfId="8653"/>
    <cellStyle name="Normal 17 2 3 3 2 3 2 2" xfId="11550"/>
    <cellStyle name="Normal 17 2 3 3 2 3 3" xfId="10110"/>
    <cellStyle name="Normal 17 2 3 3 2 4" xfId="7995"/>
    <cellStyle name="Normal 17 2 3 3 2 4 2" xfId="10892"/>
    <cellStyle name="Normal 17 2 3 3 2 5" xfId="9452"/>
    <cellStyle name="Normal 17 2 3 3 2 6" xfId="6500"/>
    <cellStyle name="Normal 17 2 3 3 3" xfId="956"/>
    <cellStyle name="Normal 17 2 3 3 3 2" xfId="7293"/>
    <cellStyle name="Normal 17 2 3 3 3 2 2" xfId="8770"/>
    <cellStyle name="Normal 17 2 3 3 3 2 2 2" xfId="11667"/>
    <cellStyle name="Normal 17 2 3 3 3 2 3" xfId="10227"/>
    <cellStyle name="Normal 17 2 3 3 3 3" xfId="8112"/>
    <cellStyle name="Normal 17 2 3 3 3 3 2" xfId="11009"/>
    <cellStyle name="Normal 17 2 3 3 3 4" xfId="9569"/>
    <cellStyle name="Normal 17 2 3 3 3 5" xfId="6617"/>
    <cellStyle name="Normal 17 2 3 3 4" xfId="957"/>
    <cellStyle name="Normal 17 2 3 3 4 2" xfId="7060"/>
    <cellStyle name="Normal 17 2 3 3 4 2 2" xfId="8537"/>
    <cellStyle name="Normal 17 2 3 3 4 2 2 2" xfId="11434"/>
    <cellStyle name="Normal 17 2 3 3 4 2 3" xfId="9994"/>
    <cellStyle name="Normal 17 2 3 3 4 3" xfId="7878"/>
    <cellStyle name="Normal 17 2 3 3 4 3 2" xfId="10776"/>
    <cellStyle name="Normal 17 2 3 3 4 4" xfId="9336"/>
    <cellStyle name="Normal 17 2 3 3 4 5" xfId="6381"/>
    <cellStyle name="Normal 17 2 3 3 5" xfId="6888"/>
    <cellStyle name="Normal 17 2 3 3 5 2" xfId="8366"/>
    <cellStyle name="Normal 17 2 3 3 5 2 2" xfId="11263"/>
    <cellStyle name="Normal 17 2 3 3 5 3" xfId="9823"/>
    <cellStyle name="Normal 17 2 3 3 6" xfId="7705"/>
    <cellStyle name="Normal 17 2 3 3 6 2" xfId="10605"/>
    <cellStyle name="Normal 17 2 3 3 7" xfId="9165"/>
    <cellStyle name="Normal 17 2 3 3 8" xfId="6183"/>
    <cellStyle name="Normal 17 2 3 4" xfId="958"/>
    <cellStyle name="Normal 17 2 3 4 2" xfId="959"/>
    <cellStyle name="Normal 17 2 3 4 2 2" xfId="7357"/>
    <cellStyle name="Normal 17 2 3 4 2 2 2" xfId="8834"/>
    <cellStyle name="Normal 17 2 3 4 2 2 2 2" xfId="11731"/>
    <cellStyle name="Normal 17 2 3 4 2 2 3" xfId="10291"/>
    <cellStyle name="Normal 17 2 3 4 2 3" xfId="8176"/>
    <cellStyle name="Normal 17 2 3 4 2 3 2" xfId="11073"/>
    <cellStyle name="Normal 17 2 3 4 2 4" xfId="9633"/>
    <cellStyle name="Normal 17 2 3 4 2 5" xfId="6681"/>
    <cellStyle name="Normal 17 2 3 4 3" xfId="960"/>
    <cellStyle name="Normal 17 2 3 4 3 2" xfId="7124"/>
    <cellStyle name="Normal 17 2 3 4 3 2 2" xfId="8601"/>
    <cellStyle name="Normal 17 2 3 4 3 2 2 2" xfId="11498"/>
    <cellStyle name="Normal 17 2 3 4 3 2 3" xfId="10058"/>
    <cellStyle name="Normal 17 2 3 4 3 3" xfId="7943"/>
    <cellStyle name="Normal 17 2 3 4 3 3 2" xfId="10840"/>
    <cellStyle name="Normal 17 2 3 4 3 4" xfId="9400"/>
    <cellStyle name="Normal 17 2 3 4 3 5" xfId="6448"/>
    <cellStyle name="Normal 17 2 3 4 4" xfId="6945"/>
    <cellStyle name="Normal 17 2 3 4 4 2" xfId="8422"/>
    <cellStyle name="Normal 17 2 3 4 4 2 2" xfId="11319"/>
    <cellStyle name="Normal 17 2 3 4 4 3" xfId="9879"/>
    <cellStyle name="Normal 17 2 3 4 5" xfId="7762"/>
    <cellStyle name="Normal 17 2 3 4 5 2" xfId="10661"/>
    <cellStyle name="Normal 17 2 3 4 6" xfId="9221"/>
    <cellStyle name="Normal 17 2 3 4 7" xfId="6246"/>
    <cellStyle name="Normal 17 2 3 5" xfId="961"/>
    <cellStyle name="Normal 17 2 3 5 2" xfId="7241"/>
    <cellStyle name="Normal 17 2 3 5 2 2" xfId="8718"/>
    <cellStyle name="Normal 17 2 3 5 2 2 2" xfId="11615"/>
    <cellStyle name="Normal 17 2 3 5 2 3" xfId="10175"/>
    <cellStyle name="Normal 17 2 3 5 3" xfId="8060"/>
    <cellStyle name="Normal 17 2 3 5 3 2" xfId="10957"/>
    <cellStyle name="Normal 17 2 3 5 4" xfId="9517"/>
    <cellStyle name="Normal 17 2 3 5 5" xfId="6565"/>
    <cellStyle name="Normal 17 2 3 6" xfId="962"/>
    <cellStyle name="Normal 17 2 3 6 2" xfId="7008"/>
    <cellStyle name="Normal 17 2 3 6 2 2" xfId="8485"/>
    <cellStyle name="Normal 17 2 3 6 2 2 2" xfId="11382"/>
    <cellStyle name="Normal 17 2 3 6 2 3" xfId="9942"/>
    <cellStyle name="Normal 17 2 3 6 3" xfId="7826"/>
    <cellStyle name="Normal 17 2 3 6 3 2" xfId="10724"/>
    <cellStyle name="Normal 17 2 3 6 4" xfId="9284"/>
    <cellStyle name="Normal 17 2 3 6 5" xfId="6329"/>
    <cellStyle name="Normal 17 2 3 7" xfId="7474"/>
    <cellStyle name="Normal 17 2 3 7 2" xfId="8948"/>
    <cellStyle name="Normal 17 2 3 7 2 2" xfId="11845"/>
    <cellStyle name="Normal 17 2 3 7 3" xfId="10405"/>
    <cellStyle name="Normal 17 2 3 8" xfId="7533"/>
    <cellStyle name="Normal 17 2 3 8 2" xfId="9005"/>
    <cellStyle name="Normal 17 2 3 8 2 2" xfId="11902"/>
    <cellStyle name="Normal 17 2 3 8 3" xfId="10462"/>
    <cellStyle name="Normal 17 2 3 9" xfId="6804"/>
    <cellStyle name="Normal 17 2 3 9 2" xfId="8285"/>
    <cellStyle name="Normal 17 2 3 9 2 2" xfId="11182"/>
    <cellStyle name="Normal 17 2 3 9 3" xfId="9742"/>
    <cellStyle name="Normal 17 2 4" xfId="963"/>
    <cellStyle name="Normal 17 2 4 10" xfId="9098"/>
    <cellStyle name="Normal 17 2 4 11" xfId="6110"/>
    <cellStyle name="Normal 17 2 4 2" xfId="964"/>
    <cellStyle name="Normal 17 2 4 2 2" xfId="965"/>
    <cellStyle name="Normal 17 2 4 2 2 2" xfId="966"/>
    <cellStyle name="Normal 17 2 4 2 2 2 2" xfId="7423"/>
    <cellStyle name="Normal 17 2 4 2 2 2 2 2" xfId="8900"/>
    <cellStyle name="Normal 17 2 4 2 2 2 2 2 2" xfId="11797"/>
    <cellStyle name="Normal 17 2 4 2 2 2 2 3" xfId="10357"/>
    <cellStyle name="Normal 17 2 4 2 2 2 3" xfId="8242"/>
    <cellStyle name="Normal 17 2 4 2 2 2 3 2" xfId="11139"/>
    <cellStyle name="Normal 17 2 4 2 2 2 4" xfId="9699"/>
    <cellStyle name="Normal 17 2 4 2 2 2 5" xfId="6747"/>
    <cellStyle name="Normal 17 2 4 2 2 3" xfId="7190"/>
    <cellStyle name="Normal 17 2 4 2 2 3 2" xfId="8667"/>
    <cellStyle name="Normal 17 2 4 2 2 3 2 2" xfId="11564"/>
    <cellStyle name="Normal 17 2 4 2 2 3 3" xfId="10124"/>
    <cellStyle name="Normal 17 2 4 2 2 4" xfId="8009"/>
    <cellStyle name="Normal 17 2 4 2 2 4 2" xfId="10906"/>
    <cellStyle name="Normal 17 2 4 2 2 5" xfId="9466"/>
    <cellStyle name="Normal 17 2 4 2 2 6" xfId="6514"/>
    <cellStyle name="Normal 17 2 4 2 3" xfId="967"/>
    <cellStyle name="Normal 17 2 4 2 3 2" xfId="7307"/>
    <cellStyle name="Normal 17 2 4 2 3 2 2" xfId="8784"/>
    <cellStyle name="Normal 17 2 4 2 3 2 2 2" xfId="11681"/>
    <cellStyle name="Normal 17 2 4 2 3 2 3" xfId="10241"/>
    <cellStyle name="Normal 17 2 4 2 3 3" xfId="8126"/>
    <cellStyle name="Normal 17 2 4 2 3 3 2" xfId="11023"/>
    <cellStyle name="Normal 17 2 4 2 3 4" xfId="9583"/>
    <cellStyle name="Normal 17 2 4 2 3 5" xfId="6631"/>
    <cellStyle name="Normal 17 2 4 2 4" xfId="968"/>
    <cellStyle name="Normal 17 2 4 2 4 2" xfId="7074"/>
    <cellStyle name="Normal 17 2 4 2 4 2 2" xfId="8551"/>
    <cellStyle name="Normal 17 2 4 2 4 2 2 2" xfId="11448"/>
    <cellStyle name="Normal 17 2 4 2 4 2 3" xfId="10008"/>
    <cellStyle name="Normal 17 2 4 2 4 3" xfId="7892"/>
    <cellStyle name="Normal 17 2 4 2 4 3 2" xfId="10790"/>
    <cellStyle name="Normal 17 2 4 2 4 4" xfId="9350"/>
    <cellStyle name="Normal 17 2 4 2 4 5" xfId="6395"/>
    <cellStyle name="Normal 17 2 4 2 5" xfId="6902"/>
    <cellStyle name="Normal 17 2 4 2 5 2" xfId="8380"/>
    <cellStyle name="Normal 17 2 4 2 5 2 2" xfId="11277"/>
    <cellStyle name="Normal 17 2 4 2 5 3" xfId="9837"/>
    <cellStyle name="Normal 17 2 4 2 6" xfId="7719"/>
    <cellStyle name="Normal 17 2 4 2 6 2" xfId="10619"/>
    <cellStyle name="Normal 17 2 4 2 7" xfId="9179"/>
    <cellStyle name="Normal 17 2 4 2 8" xfId="6198"/>
    <cellStyle name="Normal 17 2 4 3" xfId="969"/>
    <cellStyle name="Normal 17 2 4 3 2" xfId="970"/>
    <cellStyle name="Normal 17 2 4 3 2 2" xfId="7341"/>
    <cellStyle name="Normal 17 2 4 3 2 2 2" xfId="8818"/>
    <cellStyle name="Normal 17 2 4 3 2 2 2 2" xfId="11715"/>
    <cellStyle name="Normal 17 2 4 3 2 2 3" xfId="10275"/>
    <cellStyle name="Normal 17 2 4 3 2 3" xfId="8160"/>
    <cellStyle name="Normal 17 2 4 3 2 3 2" xfId="11057"/>
    <cellStyle name="Normal 17 2 4 3 2 4" xfId="9617"/>
    <cellStyle name="Normal 17 2 4 3 2 5" xfId="6665"/>
    <cellStyle name="Normal 17 2 4 3 3" xfId="971"/>
    <cellStyle name="Normal 17 2 4 3 3 2" xfId="7108"/>
    <cellStyle name="Normal 17 2 4 3 3 2 2" xfId="8585"/>
    <cellStyle name="Normal 17 2 4 3 3 2 2 2" xfId="11482"/>
    <cellStyle name="Normal 17 2 4 3 3 2 3" xfId="10042"/>
    <cellStyle name="Normal 17 2 4 3 3 3" xfId="7927"/>
    <cellStyle name="Normal 17 2 4 3 3 3 2" xfId="10824"/>
    <cellStyle name="Normal 17 2 4 3 3 4" xfId="9384"/>
    <cellStyle name="Normal 17 2 4 3 3 5" xfId="6432"/>
    <cellStyle name="Normal 17 2 4 3 4" xfId="6959"/>
    <cellStyle name="Normal 17 2 4 3 4 2" xfId="8436"/>
    <cellStyle name="Normal 17 2 4 3 4 2 2" xfId="11333"/>
    <cellStyle name="Normal 17 2 4 3 4 3" xfId="9893"/>
    <cellStyle name="Normal 17 2 4 3 5" xfId="7776"/>
    <cellStyle name="Normal 17 2 4 3 5 2" xfId="10675"/>
    <cellStyle name="Normal 17 2 4 3 6" xfId="9235"/>
    <cellStyle name="Normal 17 2 4 3 7" xfId="6260"/>
    <cellStyle name="Normal 17 2 4 4" xfId="972"/>
    <cellStyle name="Normal 17 2 4 4 2" xfId="7225"/>
    <cellStyle name="Normal 17 2 4 4 2 2" xfId="8702"/>
    <cellStyle name="Normal 17 2 4 4 2 2 2" xfId="11599"/>
    <cellStyle name="Normal 17 2 4 4 2 3" xfId="10159"/>
    <cellStyle name="Normal 17 2 4 4 3" xfId="8044"/>
    <cellStyle name="Normal 17 2 4 4 3 2" xfId="10941"/>
    <cellStyle name="Normal 17 2 4 4 4" xfId="9501"/>
    <cellStyle name="Normal 17 2 4 4 5" xfId="6549"/>
    <cellStyle name="Normal 17 2 4 5" xfId="973"/>
    <cellStyle name="Normal 17 2 4 5 2" xfId="6992"/>
    <cellStyle name="Normal 17 2 4 5 2 2" xfId="8469"/>
    <cellStyle name="Normal 17 2 4 5 2 2 2" xfId="11366"/>
    <cellStyle name="Normal 17 2 4 5 2 3" xfId="9926"/>
    <cellStyle name="Normal 17 2 4 5 3" xfId="7810"/>
    <cellStyle name="Normal 17 2 4 5 3 2" xfId="10708"/>
    <cellStyle name="Normal 17 2 4 5 4" xfId="9268"/>
    <cellStyle name="Normal 17 2 4 5 5" xfId="6313"/>
    <cellStyle name="Normal 17 2 4 6" xfId="7458"/>
    <cellStyle name="Normal 17 2 4 6 2" xfId="8932"/>
    <cellStyle name="Normal 17 2 4 6 2 2" xfId="11829"/>
    <cellStyle name="Normal 17 2 4 6 3" xfId="10389"/>
    <cellStyle name="Normal 17 2 4 7" xfId="7517"/>
    <cellStyle name="Normal 17 2 4 7 2" xfId="8989"/>
    <cellStyle name="Normal 17 2 4 7 2 2" xfId="11886"/>
    <cellStyle name="Normal 17 2 4 7 3" xfId="10446"/>
    <cellStyle name="Normal 17 2 4 8" xfId="6819"/>
    <cellStyle name="Normal 17 2 4 8 2" xfId="8299"/>
    <cellStyle name="Normal 17 2 4 8 2 2" xfId="11196"/>
    <cellStyle name="Normal 17 2 4 8 3" xfId="9756"/>
    <cellStyle name="Normal 17 2 4 9" xfId="7638"/>
    <cellStyle name="Normal 17 2 4 9 2" xfId="10538"/>
    <cellStyle name="Normal 17 2 5" xfId="974"/>
    <cellStyle name="Normal 17 2 5 10" xfId="6167"/>
    <cellStyle name="Normal 17 2 5 2" xfId="975"/>
    <cellStyle name="Normal 17 2 5 2 2" xfId="976"/>
    <cellStyle name="Normal 17 2 5 2 2 2" xfId="7367"/>
    <cellStyle name="Normal 17 2 5 2 2 2 2" xfId="8844"/>
    <cellStyle name="Normal 17 2 5 2 2 2 2 2" xfId="11741"/>
    <cellStyle name="Normal 17 2 5 2 2 2 3" xfId="10301"/>
    <cellStyle name="Normal 17 2 5 2 2 3" xfId="8186"/>
    <cellStyle name="Normal 17 2 5 2 2 3 2" xfId="11083"/>
    <cellStyle name="Normal 17 2 5 2 2 4" xfId="9643"/>
    <cellStyle name="Normal 17 2 5 2 2 5" xfId="6691"/>
    <cellStyle name="Normal 17 2 5 2 3" xfId="7134"/>
    <cellStyle name="Normal 17 2 5 2 3 2" xfId="8611"/>
    <cellStyle name="Normal 17 2 5 2 3 2 2" xfId="11508"/>
    <cellStyle name="Normal 17 2 5 2 3 3" xfId="10068"/>
    <cellStyle name="Normal 17 2 5 2 4" xfId="7953"/>
    <cellStyle name="Normal 17 2 5 2 4 2" xfId="10850"/>
    <cellStyle name="Normal 17 2 5 2 5" xfId="9410"/>
    <cellStyle name="Normal 17 2 5 2 6" xfId="6458"/>
    <cellStyle name="Normal 17 2 5 3" xfId="977"/>
    <cellStyle name="Normal 17 2 5 3 2" xfId="7251"/>
    <cellStyle name="Normal 17 2 5 3 2 2" xfId="8728"/>
    <cellStyle name="Normal 17 2 5 3 2 2 2" xfId="11625"/>
    <cellStyle name="Normal 17 2 5 3 2 3" xfId="10185"/>
    <cellStyle name="Normal 17 2 5 3 3" xfId="8070"/>
    <cellStyle name="Normal 17 2 5 3 3 2" xfId="10967"/>
    <cellStyle name="Normal 17 2 5 3 4" xfId="9527"/>
    <cellStyle name="Normal 17 2 5 3 5" xfId="6575"/>
    <cellStyle name="Normal 17 2 5 4" xfId="978"/>
    <cellStyle name="Normal 17 2 5 4 2" xfId="7018"/>
    <cellStyle name="Normal 17 2 5 4 2 2" xfId="8495"/>
    <cellStyle name="Normal 17 2 5 4 2 2 2" xfId="11392"/>
    <cellStyle name="Normal 17 2 5 4 2 3" xfId="9952"/>
    <cellStyle name="Normal 17 2 5 4 3" xfId="7836"/>
    <cellStyle name="Normal 17 2 5 4 3 2" xfId="10734"/>
    <cellStyle name="Normal 17 2 5 4 4" xfId="9294"/>
    <cellStyle name="Normal 17 2 5 4 5" xfId="6339"/>
    <cellStyle name="Normal 17 2 5 5" xfId="7484"/>
    <cellStyle name="Normal 17 2 5 5 2" xfId="8958"/>
    <cellStyle name="Normal 17 2 5 5 2 2" xfId="11855"/>
    <cellStyle name="Normal 17 2 5 5 3" xfId="10415"/>
    <cellStyle name="Normal 17 2 5 6" xfId="7543"/>
    <cellStyle name="Normal 17 2 5 6 2" xfId="9015"/>
    <cellStyle name="Normal 17 2 5 6 2 2" xfId="11912"/>
    <cellStyle name="Normal 17 2 5 6 3" xfId="10472"/>
    <cellStyle name="Normal 17 2 5 7" xfId="6872"/>
    <cellStyle name="Normal 17 2 5 7 2" xfId="8350"/>
    <cellStyle name="Normal 17 2 5 7 2 2" xfId="11247"/>
    <cellStyle name="Normal 17 2 5 7 3" xfId="9807"/>
    <cellStyle name="Normal 17 2 5 8" xfId="7689"/>
    <cellStyle name="Normal 17 2 5 8 2" xfId="10589"/>
    <cellStyle name="Normal 17 2 5 9" xfId="9149"/>
    <cellStyle name="Normal 17 2 6" xfId="979"/>
    <cellStyle name="Normal 17 2 6 2" xfId="980"/>
    <cellStyle name="Normal 17 2 6 2 2" xfId="981"/>
    <cellStyle name="Normal 17 2 6 2 2 2" xfId="7393"/>
    <cellStyle name="Normal 17 2 6 2 2 2 2" xfId="8870"/>
    <cellStyle name="Normal 17 2 6 2 2 2 2 2" xfId="11767"/>
    <cellStyle name="Normal 17 2 6 2 2 2 3" xfId="10327"/>
    <cellStyle name="Normal 17 2 6 2 2 3" xfId="8212"/>
    <cellStyle name="Normal 17 2 6 2 2 3 2" xfId="11109"/>
    <cellStyle name="Normal 17 2 6 2 2 4" xfId="9669"/>
    <cellStyle name="Normal 17 2 6 2 2 5" xfId="6717"/>
    <cellStyle name="Normal 17 2 6 2 3" xfId="7160"/>
    <cellStyle name="Normal 17 2 6 2 3 2" xfId="8637"/>
    <cellStyle name="Normal 17 2 6 2 3 2 2" xfId="11534"/>
    <cellStyle name="Normal 17 2 6 2 3 3" xfId="10094"/>
    <cellStyle name="Normal 17 2 6 2 4" xfId="7979"/>
    <cellStyle name="Normal 17 2 6 2 4 2" xfId="10876"/>
    <cellStyle name="Normal 17 2 6 2 5" xfId="9436"/>
    <cellStyle name="Normal 17 2 6 2 6" xfId="6484"/>
    <cellStyle name="Normal 17 2 6 3" xfId="982"/>
    <cellStyle name="Normal 17 2 6 3 2" xfId="7277"/>
    <cellStyle name="Normal 17 2 6 3 2 2" xfId="8754"/>
    <cellStyle name="Normal 17 2 6 3 2 2 2" xfId="11651"/>
    <cellStyle name="Normal 17 2 6 3 2 3" xfId="10211"/>
    <cellStyle name="Normal 17 2 6 3 3" xfId="8096"/>
    <cellStyle name="Normal 17 2 6 3 3 2" xfId="10993"/>
    <cellStyle name="Normal 17 2 6 3 4" xfId="9553"/>
    <cellStyle name="Normal 17 2 6 3 5" xfId="6601"/>
    <cellStyle name="Normal 17 2 6 4" xfId="983"/>
    <cellStyle name="Normal 17 2 6 4 2" xfId="7044"/>
    <cellStyle name="Normal 17 2 6 4 2 2" xfId="8521"/>
    <cellStyle name="Normal 17 2 6 4 2 2 2" xfId="11418"/>
    <cellStyle name="Normal 17 2 6 4 2 3" xfId="9978"/>
    <cellStyle name="Normal 17 2 6 4 3" xfId="7862"/>
    <cellStyle name="Normal 17 2 6 4 3 2" xfId="10760"/>
    <cellStyle name="Normal 17 2 6 4 4" xfId="9320"/>
    <cellStyle name="Normal 17 2 6 4 5" xfId="6365"/>
    <cellStyle name="Normal 17 2 6 5" xfId="6929"/>
    <cellStyle name="Normal 17 2 6 5 2" xfId="8406"/>
    <cellStyle name="Normal 17 2 6 5 2 2" xfId="11303"/>
    <cellStyle name="Normal 17 2 6 5 3" xfId="9863"/>
    <cellStyle name="Normal 17 2 6 6" xfId="7746"/>
    <cellStyle name="Normal 17 2 6 6 2" xfId="10645"/>
    <cellStyle name="Normal 17 2 6 7" xfId="9205"/>
    <cellStyle name="Normal 17 2 6 8" xfId="6230"/>
    <cellStyle name="Normal 17 2 7" xfId="984"/>
    <cellStyle name="Normal 17 2 7 2" xfId="985"/>
    <cellStyle name="Normal 17 2 7 2 2" xfId="7334"/>
    <cellStyle name="Normal 17 2 7 2 2 2" xfId="8811"/>
    <cellStyle name="Normal 17 2 7 2 2 2 2" xfId="11708"/>
    <cellStyle name="Normal 17 2 7 2 2 3" xfId="10268"/>
    <cellStyle name="Normal 17 2 7 2 3" xfId="8153"/>
    <cellStyle name="Normal 17 2 7 2 3 2" xfId="11050"/>
    <cellStyle name="Normal 17 2 7 2 4" xfId="9610"/>
    <cellStyle name="Normal 17 2 7 2 5" xfId="6658"/>
    <cellStyle name="Normal 17 2 7 3" xfId="7101"/>
    <cellStyle name="Normal 17 2 7 3 2" xfId="8578"/>
    <cellStyle name="Normal 17 2 7 3 2 2" xfId="11475"/>
    <cellStyle name="Normal 17 2 7 3 3" xfId="10035"/>
    <cellStyle name="Normal 17 2 7 4" xfId="7920"/>
    <cellStyle name="Normal 17 2 7 4 2" xfId="10817"/>
    <cellStyle name="Normal 17 2 7 5" xfId="9377"/>
    <cellStyle name="Normal 17 2 7 6" xfId="6425"/>
    <cellStyle name="Normal 17 2 8" xfId="986"/>
    <cellStyle name="Normal 17 2 8 2" xfId="7218"/>
    <cellStyle name="Normal 17 2 8 2 2" xfId="8695"/>
    <cellStyle name="Normal 17 2 8 2 2 2" xfId="11592"/>
    <cellStyle name="Normal 17 2 8 2 3" xfId="10152"/>
    <cellStyle name="Normal 17 2 8 3" xfId="8037"/>
    <cellStyle name="Normal 17 2 8 3 2" xfId="10934"/>
    <cellStyle name="Normal 17 2 8 4" xfId="9494"/>
    <cellStyle name="Normal 17 2 8 5" xfId="6542"/>
    <cellStyle name="Normal 17 2 9" xfId="987"/>
    <cellStyle name="Normal 17 2 9 2" xfId="6985"/>
    <cellStyle name="Normal 17 2 9 2 2" xfId="8462"/>
    <cellStyle name="Normal 17 2 9 2 2 2" xfId="11359"/>
    <cellStyle name="Normal 17 2 9 2 3" xfId="9919"/>
    <cellStyle name="Normal 17 2 9 3" xfId="7803"/>
    <cellStyle name="Normal 17 2 9 3 2" xfId="10701"/>
    <cellStyle name="Normal 17 2 9 4" xfId="9261"/>
    <cellStyle name="Normal 17 2 9 5" xfId="6306"/>
    <cellStyle name="Normal 17 3" xfId="988"/>
    <cellStyle name="Normal 17 3 10" xfId="7606"/>
    <cellStyle name="Normal 17 3 10 2" xfId="10506"/>
    <cellStyle name="Normal 17 3 11" xfId="9066"/>
    <cellStyle name="Normal 17 3 12" xfId="6068"/>
    <cellStyle name="Normal 17 3 2" xfId="989"/>
    <cellStyle name="Normal 17 3 2 10" xfId="9095"/>
    <cellStyle name="Normal 17 3 2 11" xfId="6107"/>
    <cellStyle name="Normal 17 3 2 2" xfId="990"/>
    <cellStyle name="Normal 17 3 2 2 2" xfId="991"/>
    <cellStyle name="Normal 17 3 2 2 2 2" xfId="992"/>
    <cellStyle name="Normal 17 3 2 2 2 2 2" xfId="7420"/>
    <cellStyle name="Normal 17 3 2 2 2 2 2 2" xfId="8897"/>
    <cellStyle name="Normal 17 3 2 2 2 2 2 2 2" xfId="11794"/>
    <cellStyle name="Normal 17 3 2 2 2 2 2 3" xfId="10354"/>
    <cellStyle name="Normal 17 3 2 2 2 2 3" xfId="8239"/>
    <cellStyle name="Normal 17 3 2 2 2 2 3 2" xfId="11136"/>
    <cellStyle name="Normal 17 3 2 2 2 2 4" xfId="9696"/>
    <cellStyle name="Normal 17 3 2 2 2 2 5" xfId="6744"/>
    <cellStyle name="Normal 17 3 2 2 2 3" xfId="7187"/>
    <cellStyle name="Normal 17 3 2 2 2 3 2" xfId="8664"/>
    <cellStyle name="Normal 17 3 2 2 2 3 2 2" xfId="11561"/>
    <cellStyle name="Normal 17 3 2 2 2 3 3" xfId="10121"/>
    <cellStyle name="Normal 17 3 2 2 2 4" xfId="8006"/>
    <cellStyle name="Normal 17 3 2 2 2 4 2" xfId="10903"/>
    <cellStyle name="Normal 17 3 2 2 2 5" xfId="9463"/>
    <cellStyle name="Normal 17 3 2 2 2 6" xfId="6511"/>
    <cellStyle name="Normal 17 3 2 2 3" xfId="993"/>
    <cellStyle name="Normal 17 3 2 2 3 2" xfId="7304"/>
    <cellStyle name="Normal 17 3 2 2 3 2 2" xfId="8781"/>
    <cellStyle name="Normal 17 3 2 2 3 2 2 2" xfId="11678"/>
    <cellStyle name="Normal 17 3 2 2 3 2 3" xfId="10238"/>
    <cellStyle name="Normal 17 3 2 2 3 3" xfId="8123"/>
    <cellStyle name="Normal 17 3 2 2 3 3 2" xfId="11020"/>
    <cellStyle name="Normal 17 3 2 2 3 4" xfId="9580"/>
    <cellStyle name="Normal 17 3 2 2 3 5" xfId="6628"/>
    <cellStyle name="Normal 17 3 2 2 4" xfId="994"/>
    <cellStyle name="Normal 17 3 2 2 4 2" xfId="7071"/>
    <cellStyle name="Normal 17 3 2 2 4 2 2" xfId="8548"/>
    <cellStyle name="Normal 17 3 2 2 4 2 2 2" xfId="11445"/>
    <cellStyle name="Normal 17 3 2 2 4 2 3" xfId="10005"/>
    <cellStyle name="Normal 17 3 2 2 4 3" xfId="7889"/>
    <cellStyle name="Normal 17 3 2 2 4 3 2" xfId="10787"/>
    <cellStyle name="Normal 17 3 2 2 4 4" xfId="9347"/>
    <cellStyle name="Normal 17 3 2 2 4 5" xfId="6392"/>
    <cellStyle name="Normal 17 3 2 2 5" xfId="6899"/>
    <cellStyle name="Normal 17 3 2 2 5 2" xfId="8377"/>
    <cellStyle name="Normal 17 3 2 2 5 2 2" xfId="11274"/>
    <cellStyle name="Normal 17 3 2 2 5 3" xfId="9834"/>
    <cellStyle name="Normal 17 3 2 2 6" xfId="7716"/>
    <cellStyle name="Normal 17 3 2 2 6 2" xfId="10616"/>
    <cellStyle name="Normal 17 3 2 2 7" xfId="9176"/>
    <cellStyle name="Normal 17 3 2 2 8" xfId="6195"/>
    <cellStyle name="Normal 17 3 2 3" xfId="995"/>
    <cellStyle name="Normal 17 3 2 3 2" xfId="996"/>
    <cellStyle name="Normal 17 3 2 3 2 2" xfId="7364"/>
    <cellStyle name="Normal 17 3 2 3 2 2 2" xfId="8841"/>
    <cellStyle name="Normal 17 3 2 3 2 2 2 2" xfId="11738"/>
    <cellStyle name="Normal 17 3 2 3 2 2 3" xfId="10298"/>
    <cellStyle name="Normal 17 3 2 3 2 3" xfId="8183"/>
    <cellStyle name="Normal 17 3 2 3 2 3 2" xfId="11080"/>
    <cellStyle name="Normal 17 3 2 3 2 4" xfId="9640"/>
    <cellStyle name="Normal 17 3 2 3 2 5" xfId="6688"/>
    <cellStyle name="Normal 17 3 2 3 3" xfId="997"/>
    <cellStyle name="Normal 17 3 2 3 3 2" xfId="7131"/>
    <cellStyle name="Normal 17 3 2 3 3 2 2" xfId="8608"/>
    <cellStyle name="Normal 17 3 2 3 3 2 2 2" xfId="11505"/>
    <cellStyle name="Normal 17 3 2 3 3 2 3" xfId="10065"/>
    <cellStyle name="Normal 17 3 2 3 3 3" xfId="7950"/>
    <cellStyle name="Normal 17 3 2 3 3 3 2" xfId="10847"/>
    <cellStyle name="Normal 17 3 2 3 3 4" xfId="9407"/>
    <cellStyle name="Normal 17 3 2 3 3 5" xfId="6455"/>
    <cellStyle name="Normal 17 3 2 3 4" xfId="6956"/>
    <cellStyle name="Normal 17 3 2 3 4 2" xfId="8433"/>
    <cellStyle name="Normal 17 3 2 3 4 2 2" xfId="11330"/>
    <cellStyle name="Normal 17 3 2 3 4 3" xfId="9890"/>
    <cellStyle name="Normal 17 3 2 3 5" xfId="7773"/>
    <cellStyle name="Normal 17 3 2 3 5 2" xfId="10672"/>
    <cellStyle name="Normal 17 3 2 3 6" xfId="9232"/>
    <cellStyle name="Normal 17 3 2 3 7" xfId="6257"/>
    <cellStyle name="Normal 17 3 2 4" xfId="998"/>
    <cellStyle name="Normal 17 3 2 4 2" xfId="7248"/>
    <cellStyle name="Normal 17 3 2 4 2 2" xfId="8725"/>
    <cellStyle name="Normal 17 3 2 4 2 2 2" xfId="11622"/>
    <cellStyle name="Normal 17 3 2 4 2 3" xfId="10182"/>
    <cellStyle name="Normal 17 3 2 4 3" xfId="8067"/>
    <cellStyle name="Normal 17 3 2 4 3 2" xfId="10964"/>
    <cellStyle name="Normal 17 3 2 4 4" xfId="9524"/>
    <cellStyle name="Normal 17 3 2 4 5" xfId="6572"/>
    <cellStyle name="Normal 17 3 2 5" xfId="999"/>
    <cellStyle name="Normal 17 3 2 5 2" xfId="7015"/>
    <cellStyle name="Normal 17 3 2 5 2 2" xfId="8492"/>
    <cellStyle name="Normal 17 3 2 5 2 2 2" xfId="11389"/>
    <cellStyle name="Normal 17 3 2 5 2 3" xfId="9949"/>
    <cellStyle name="Normal 17 3 2 5 3" xfId="7833"/>
    <cellStyle name="Normal 17 3 2 5 3 2" xfId="10731"/>
    <cellStyle name="Normal 17 3 2 5 4" xfId="9291"/>
    <cellStyle name="Normal 17 3 2 5 5" xfId="6336"/>
    <cellStyle name="Normal 17 3 2 6" xfId="7481"/>
    <cellStyle name="Normal 17 3 2 6 2" xfId="8955"/>
    <cellStyle name="Normal 17 3 2 6 2 2" xfId="11852"/>
    <cellStyle name="Normal 17 3 2 6 3" xfId="10412"/>
    <cellStyle name="Normal 17 3 2 7" xfId="7540"/>
    <cellStyle name="Normal 17 3 2 7 2" xfId="9012"/>
    <cellStyle name="Normal 17 3 2 7 2 2" xfId="11909"/>
    <cellStyle name="Normal 17 3 2 7 3" xfId="10469"/>
    <cellStyle name="Normal 17 3 2 8" xfId="6816"/>
    <cellStyle name="Normal 17 3 2 8 2" xfId="8296"/>
    <cellStyle name="Normal 17 3 2 8 2 2" xfId="11193"/>
    <cellStyle name="Normal 17 3 2 8 3" xfId="9753"/>
    <cellStyle name="Normal 17 3 2 9" xfId="7635"/>
    <cellStyle name="Normal 17 3 2 9 2" xfId="10535"/>
    <cellStyle name="Normal 17 3 3" xfId="1000"/>
    <cellStyle name="Normal 17 3 3 2" xfId="1001"/>
    <cellStyle name="Normal 17 3 3 2 2" xfId="1002"/>
    <cellStyle name="Normal 17 3 3 2 2 2" xfId="7390"/>
    <cellStyle name="Normal 17 3 3 2 2 2 2" xfId="8867"/>
    <cellStyle name="Normal 17 3 3 2 2 2 2 2" xfId="11764"/>
    <cellStyle name="Normal 17 3 3 2 2 2 3" xfId="10324"/>
    <cellStyle name="Normal 17 3 3 2 2 3" xfId="8209"/>
    <cellStyle name="Normal 17 3 3 2 2 3 2" xfId="11106"/>
    <cellStyle name="Normal 17 3 3 2 2 4" xfId="9666"/>
    <cellStyle name="Normal 17 3 3 2 2 5" xfId="6714"/>
    <cellStyle name="Normal 17 3 3 2 3" xfId="7157"/>
    <cellStyle name="Normal 17 3 3 2 3 2" xfId="8634"/>
    <cellStyle name="Normal 17 3 3 2 3 2 2" xfId="11531"/>
    <cellStyle name="Normal 17 3 3 2 3 3" xfId="10091"/>
    <cellStyle name="Normal 17 3 3 2 4" xfId="7976"/>
    <cellStyle name="Normal 17 3 3 2 4 2" xfId="10873"/>
    <cellStyle name="Normal 17 3 3 2 5" xfId="9433"/>
    <cellStyle name="Normal 17 3 3 2 6" xfId="6481"/>
    <cellStyle name="Normal 17 3 3 3" xfId="1003"/>
    <cellStyle name="Normal 17 3 3 3 2" xfId="7274"/>
    <cellStyle name="Normal 17 3 3 3 2 2" xfId="8751"/>
    <cellStyle name="Normal 17 3 3 3 2 2 2" xfId="11648"/>
    <cellStyle name="Normal 17 3 3 3 2 3" xfId="10208"/>
    <cellStyle name="Normal 17 3 3 3 3" xfId="8093"/>
    <cellStyle name="Normal 17 3 3 3 3 2" xfId="10990"/>
    <cellStyle name="Normal 17 3 3 3 4" xfId="9550"/>
    <cellStyle name="Normal 17 3 3 3 5" xfId="6598"/>
    <cellStyle name="Normal 17 3 3 4" xfId="1004"/>
    <cellStyle name="Normal 17 3 3 4 2" xfId="7041"/>
    <cellStyle name="Normal 17 3 3 4 2 2" xfId="8518"/>
    <cellStyle name="Normal 17 3 3 4 2 2 2" xfId="11415"/>
    <cellStyle name="Normal 17 3 3 4 2 3" xfId="9975"/>
    <cellStyle name="Normal 17 3 3 4 3" xfId="7859"/>
    <cellStyle name="Normal 17 3 3 4 3 2" xfId="10757"/>
    <cellStyle name="Normal 17 3 3 4 4" xfId="9317"/>
    <cellStyle name="Normal 17 3 3 4 5" xfId="6362"/>
    <cellStyle name="Normal 17 3 3 5" xfId="6867"/>
    <cellStyle name="Normal 17 3 3 5 2" xfId="8345"/>
    <cellStyle name="Normal 17 3 3 5 2 2" xfId="11242"/>
    <cellStyle name="Normal 17 3 3 5 3" xfId="9802"/>
    <cellStyle name="Normal 17 3 3 6" xfId="7684"/>
    <cellStyle name="Normal 17 3 3 6 2" xfId="10584"/>
    <cellStyle name="Normal 17 3 3 7" xfId="9144"/>
    <cellStyle name="Normal 17 3 3 8" xfId="6162"/>
    <cellStyle name="Normal 17 3 4" xfId="1005"/>
    <cellStyle name="Normal 17 3 4 2" xfId="1006"/>
    <cellStyle name="Normal 17 3 4 2 2" xfId="7338"/>
    <cellStyle name="Normal 17 3 4 2 2 2" xfId="8815"/>
    <cellStyle name="Normal 17 3 4 2 2 2 2" xfId="11712"/>
    <cellStyle name="Normal 17 3 4 2 2 3" xfId="10272"/>
    <cellStyle name="Normal 17 3 4 2 3" xfId="8157"/>
    <cellStyle name="Normal 17 3 4 2 3 2" xfId="11054"/>
    <cellStyle name="Normal 17 3 4 2 4" xfId="9614"/>
    <cellStyle name="Normal 17 3 4 2 5" xfId="6662"/>
    <cellStyle name="Normal 17 3 4 3" xfId="1007"/>
    <cellStyle name="Normal 17 3 4 3 2" xfId="7105"/>
    <cellStyle name="Normal 17 3 4 3 2 2" xfId="8582"/>
    <cellStyle name="Normal 17 3 4 3 2 2 2" xfId="11479"/>
    <cellStyle name="Normal 17 3 4 3 2 3" xfId="10039"/>
    <cellStyle name="Normal 17 3 4 3 3" xfId="7924"/>
    <cellStyle name="Normal 17 3 4 3 3 2" xfId="10821"/>
    <cellStyle name="Normal 17 3 4 3 4" xfId="9381"/>
    <cellStyle name="Normal 17 3 4 3 5" xfId="6429"/>
    <cellStyle name="Normal 17 3 4 4" xfId="6926"/>
    <cellStyle name="Normal 17 3 4 4 2" xfId="8403"/>
    <cellStyle name="Normal 17 3 4 4 2 2" xfId="11300"/>
    <cellStyle name="Normal 17 3 4 4 3" xfId="9860"/>
    <cellStyle name="Normal 17 3 4 5" xfId="7743"/>
    <cellStyle name="Normal 17 3 4 5 2" xfId="10642"/>
    <cellStyle name="Normal 17 3 4 6" xfId="9202"/>
    <cellStyle name="Normal 17 3 4 7" xfId="6227"/>
    <cellStyle name="Normal 17 3 5" xfId="1008"/>
    <cellStyle name="Normal 17 3 5 2" xfId="7222"/>
    <cellStyle name="Normal 17 3 5 2 2" xfId="8699"/>
    <cellStyle name="Normal 17 3 5 2 2 2" xfId="11596"/>
    <cellStyle name="Normal 17 3 5 2 3" xfId="10156"/>
    <cellStyle name="Normal 17 3 5 3" xfId="8041"/>
    <cellStyle name="Normal 17 3 5 3 2" xfId="10938"/>
    <cellStyle name="Normal 17 3 5 4" xfId="9498"/>
    <cellStyle name="Normal 17 3 5 5" xfId="6546"/>
    <cellStyle name="Normal 17 3 6" xfId="1009"/>
    <cellStyle name="Normal 17 3 6 2" xfId="6989"/>
    <cellStyle name="Normal 17 3 6 2 2" xfId="8466"/>
    <cellStyle name="Normal 17 3 6 2 2 2" xfId="11363"/>
    <cellStyle name="Normal 17 3 6 2 3" xfId="9923"/>
    <cellStyle name="Normal 17 3 6 3" xfId="7807"/>
    <cellStyle name="Normal 17 3 6 3 2" xfId="10705"/>
    <cellStyle name="Normal 17 3 6 4" xfId="9265"/>
    <cellStyle name="Normal 17 3 6 5" xfId="6310"/>
    <cellStyle name="Normal 17 3 7" xfId="7455"/>
    <cellStyle name="Normal 17 3 7 2" xfId="8929"/>
    <cellStyle name="Normal 17 3 7 2 2" xfId="11826"/>
    <cellStyle name="Normal 17 3 7 3" xfId="10386"/>
    <cellStyle name="Normal 17 3 8" xfId="7514"/>
    <cellStyle name="Normal 17 3 8 2" xfId="8986"/>
    <cellStyle name="Normal 17 3 8 2 2" xfId="11883"/>
    <cellStyle name="Normal 17 3 8 3" xfId="10443"/>
    <cellStyle name="Normal 17 3 9" xfId="6785"/>
    <cellStyle name="Normal 17 3 9 2" xfId="8266"/>
    <cellStyle name="Normal 17 3 9 2 2" xfId="11163"/>
    <cellStyle name="Normal 17 3 9 3" xfId="9723"/>
    <cellStyle name="Normal 17 4" xfId="1010"/>
    <cellStyle name="Normal 17 4 10" xfId="7613"/>
    <cellStyle name="Normal 17 4 10 2" xfId="10513"/>
    <cellStyle name="Normal 17 4 11" xfId="9073"/>
    <cellStyle name="Normal 17 4 12" xfId="6078"/>
    <cellStyle name="Normal 17 4 2" xfId="1011"/>
    <cellStyle name="Normal 17 4 2 10" xfId="9103"/>
    <cellStyle name="Normal 17 4 2 11" xfId="6115"/>
    <cellStyle name="Normal 17 4 2 2" xfId="1012"/>
    <cellStyle name="Normal 17 4 2 2 2" xfId="1013"/>
    <cellStyle name="Normal 17 4 2 2 2 2" xfId="1014"/>
    <cellStyle name="Normal 17 4 2 2 2 2 2" xfId="7428"/>
    <cellStyle name="Normal 17 4 2 2 2 2 2 2" xfId="8905"/>
    <cellStyle name="Normal 17 4 2 2 2 2 2 2 2" xfId="11802"/>
    <cellStyle name="Normal 17 4 2 2 2 2 2 3" xfId="10362"/>
    <cellStyle name="Normal 17 4 2 2 2 2 3" xfId="8247"/>
    <cellStyle name="Normal 17 4 2 2 2 2 3 2" xfId="11144"/>
    <cellStyle name="Normal 17 4 2 2 2 2 4" xfId="9704"/>
    <cellStyle name="Normal 17 4 2 2 2 2 5" xfId="6752"/>
    <cellStyle name="Normal 17 4 2 2 2 3" xfId="7195"/>
    <cellStyle name="Normal 17 4 2 2 2 3 2" xfId="8672"/>
    <cellStyle name="Normal 17 4 2 2 2 3 2 2" xfId="11569"/>
    <cellStyle name="Normal 17 4 2 2 2 3 3" xfId="10129"/>
    <cellStyle name="Normal 17 4 2 2 2 4" xfId="8014"/>
    <cellStyle name="Normal 17 4 2 2 2 4 2" xfId="10911"/>
    <cellStyle name="Normal 17 4 2 2 2 5" xfId="9471"/>
    <cellStyle name="Normal 17 4 2 2 2 6" xfId="6519"/>
    <cellStyle name="Normal 17 4 2 2 3" xfId="1015"/>
    <cellStyle name="Normal 17 4 2 2 3 2" xfId="7312"/>
    <cellStyle name="Normal 17 4 2 2 3 2 2" xfId="8789"/>
    <cellStyle name="Normal 17 4 2 2 3 2 2 2" xfId="11686"/>
    <cellStyle name="Normal 17 4 2 2 3 2 3" xfId="10246"/>
    <cellStyle name="Normal 17 4 2 2 3 3" xfId="8131"/>
    <cellStyle name="Normal 17 4 2 2 3 3 2" xfId="11028"/>
    <cellStyle name="Normal 17 4 2 2 3 4" xfId="9588"/>
    <cellStyle name="Normal 17 4 2 2 3 5" xfId="6636"/>
    <cellStyle name="Normal 17 4 2 2 4" xfId="1016"/>
    <cellStyle name="Normal 17 4 2 2 4 2" xfId="7079"/>
    <cellStyle name="Normal 17 4 2 2 4 2 2" xfId="8556"/>
    <cellStyle name="Normal 17 4 2 2 4 2 2 2" xfId="11453"/>
    <cellStyle name="Normal 17 4 2 2 4 2 3" xfId="10013"/>
    <cellStyle name="Normal 17 4 2 2 4 3" xfId="7897"/>
    <cellStyle name="Normal 17 4 2 2 4 3 2" xfId="10795"/>
    <cellStyle name="Normal 17 4 2 2 4 4" xfId="9355"/>
    <cellStyle name="Normal 17 4 2 2 4 5" xfId="6400"/>
    <cellStyle name="Normal 17 4 2 2 5" xfId="6907"/>
    <cellStyle name="Normal 17 4 2 2 5 2" xfId="8385"/>
    <cellStyle name="Normal 17 4 2 2 5 2 2" xfId="11282"/>
    <cellStyle name="Normal 17 4 2 2 5 3" xfId="9842"/>
    <cellStyle name="Normal 17 4 2 2 6" xfId="7724"/>
    <cellStyle name="Normal 17 4 2 2 6 2" xfId="10624"/>
    <cellStyle name="Normal 17 4 2 2 7" xfId="9184"/>
    <cellStyle name="Normal 17 4 2 2 8" xfId="6203"/>
    <cellStyle name="Normal 17 4 2 3" xfId="1017"/>
    <cellStyle name="Normal 17 4 2 3 2" xfId="1018"/>
    <cellStyle name="Normal 17 4 2 3 2 2" xfId="7372"/>
    <cellStyle name="Normal 17 4 2 3 2 2 2" xfId="8849"/>
    <cellStyle name="Normal 17 4 2 3 2 2 2 2" xfId="11746"/>
    <cellStyle name="Normal 17 4 2 3 2 2 3" xfId="10306"/>
    <cellStyle name="Normal 17 4 2 3 2 3" xfId="8191"/>
    <cellStyle name="Normal 17 4 2 3 2 3 2" xfId="11088"/>
    <cellStyle name="Normal 17 4 2 3 2 4" xfId="9648"/>
    <cellStyle name="Normal 17 4 2 3 2 5" xfId="6696"/>
    <cellStyle name="Normal 17 4 2 3 3" xfId="1019"/>
    <cellStyle name="Normal 17 4 2 3 3 2" xfId="7139"/>
    <cellStyle name="Normal 17 4 2 3 3 2 2" xfId="8616"/>
    <cellStyle name="Normal 17 4 2 3 3 2 2 2" xfId="11513"/>
    <cellStyle name="Normal 17 4 2 3 3 2 3" xfId="10073"/>
    <cellStyle name="Normal 17 4 2 3 3 3" xfId="7958"/>
    <cellStyle name="Normal 17 4 2 3 3 3 2" xfId="10855"/>
    <cellStyle name="Normal 17 4 2 3 3 4" xfId="9415"/>
    <cellStyle name="Normal 17 4 2 3 3 5" xfId="6463"/>
    <cellStyle name="Normal 17 4 2 3 4" xfId="6964"/>
    <cellStyle name="Normal 17 4 2 3 4 2" xfId="8441"/>
    <cellStyle name="Normal 17 4 2 3 4 2 2" xfId="11338"/>
    <cellStyle name="Normal 17 4 2 3 4 3" xfId="9898"/>
    <cellStyle name="Normal 17 4 2 3 5" xfId="7781"/>
    <cellStyle name="Normal 17 4 2 3 5 2" xfId="10680"/>
    <cellStyle name="Normal 17 4 2 3 6" xfId="9240"/>
    <cellStyle name="Normal 17 4 2 3 7" xfId="6265"/>
    <cellStyle name="Normal 17 4 2 4" xfId="1020"/>
    <cellStyle name="Normal 17 4 2 4 2" xfId="7256"/>
    <cellStyle name="Normal 17 4 2 4 2 2" xfId="8733"/>
    <cellStyle name="Normal 17 4 2 4 2 2 2" xfId="11630"/>
    <cellStyle name="Normal 17 4 2 4 2 3" xfId="10190"/>
    <cellStyle name="Normal 17 4 2 4 3" xfId="8075"/>
    <cellStyle name="Normal 17 4 2 4 3 2" xfId="10972"/>
    <cellStyle name="Normal 17 4 2 4 4" xfId="9532"/>
    <cellStyle name="Normal 17 4 2 4 5" xfId="6580"/>
    <cellStyle name="Normal 17 4 2 5" xfId="1021"/>
    <cellStyle name="Normal 17 4 2 5 2" xfId="7023"/>
    <cellStyle name="Normal 17 4 2 5 2 2" xfId="8500"/>
    <cellStyle name="Normal 17 4 2 5 2 2 2" xfId="11397"/>
    <cellStyle name="Normal 17 4 2 5 2 3" xfId="9957"/>
    <cellStyle name="Normal 17 4 2 5 3" xfId="7841"/>
    <cellStyle name="Normal 17 4 2 5 3 2" xfId="10739"/>
    <cellStyle name="Normal 17 4 2 5 4" xfId="9299"/>
    <cellStyle name="Normal 17 4 2 5 5" xfId="6344"/>
    <cellStyle name="Normal 17 4 2 6" xfId="7489"/>
    <cellStyle name="Normal 17 4 2 6 2" xfId="8963"/>
    <cellStyle name="Normal 17 4 2 6 2 2" xfId="11860"/>
    <cellStyle name="Normal 17 4 2 6 3" xfId="10420"/>
    <cellStyle name="Normal 17 4 2 7" xfId="7548"/>
    <cellStyle name="Normal 17 4 2 7 2" xfId="9020"/>
    <cellStyle name="Normal 17 4 2 7 2 2" xfId="11917"/>
    <cellStyle name="Normal 17 4 2 7 3" xfId="10477"/>
    <cellStyle name="Normal 17 4 2 8" xfId="6824"/>
    <cellStyle name="Normal 17 4 2 8 2" xfId="8304"/>
    <cellStyle name="Normal 17 4 2 8 2 2" xfId="11201"/>
    <cellStyle name="Normal 17 4 2 8 3" xfId="9761"/>
    <cellStyle name="Normal 17 4 2 9" xfId="7643"/>
    <cellStyle name="Normal 17 4 2 9 2" xfId="10543"/>
    <cellStyle name="Normal 17 4 3" xfId="1022"/>
    <cellStyle name="Normal 17 4 3 2" xfId="1023"/>
    <cellStyle name="Normal 17 4 3 2 2" xfId="1024"/>
    <cellStyle name="Normal 17 4 3 2 2 2" xfId="7398"/>
    <cellStyle name="Normal 17 4 3 2 2 2 2" xfId="8875"/>
    <cellStyle name="Normal 17 4 3 2 2 2 2 2" xfId="11772"/>
    <cellStyle name="Normal 17 4 3 2 2 2 3" xfId="10332"/>
    <cellStyle name="Normal 17 4 3 2 2 3" xfId="8217"/>
    <cellStyle name="Normal 17 4 3 2 2 3 2" xfId="11114"/>
    <cellStyle name="Normal 17 4 3 2 2 4" xfId="9674"/>
    <cellStyle name="Normal 17 4 3 2 2 5" xfId="6722"/>
    <cellStyle name="Normal 17 4 3 2 3" xfId="7165"/>
    <cellStyle name="Normal 17 4 3 2 3 2" xfId="8642"/>
    <cellStyle name="Normal 17 4 3 2 3 2 2" xfId="11539"/>
    <cellStyle name="Normal 17 4 3 2 3 3" xfId="10099"/>
    <cellStyle name="Normal 17 4 3 2 4" xfId="7984"/>
    <cellStyle name="Normal 17 4 3 2 4 2" xfId="10881"/>
    <cellStyle name="Normal 17 4 3 2 5" xfId="9441"/>
    <cellStyle name="Normal 17 4 3 2 6" xfId="6489"/>
    <cellStyle name="Normal 17 4 3 3" xfId="1025"/>
    <cellStyle name="Normal 17 4 3 3 2" xfId="7282"/>
    <cellStyle name="Normal 17 4 3 3 2 2" xfId="8759"/>
    <cellStyle name="Normal 17 4 3 3 2 2 2" xfId="11656"/>
    <cellStyle name="Normal 17 4 3 3 2 3" xfId="10216"/>
    <cellStyle name="Normal 17 4 3 3 3" xfId="8101"/>
    <cellStyle name="Normal 17 4 3 3 3 2" xfId="10998"/>
    <cellStyle name="Normal 17 4 3 3 4" xfId="9558"/>
    <cellStyle name="Normal 17 4 3 3 5" xfId="6606"/>
    <cellStyle name="Normal 17 4 3 4" xfId="1026"/>
    <cellStyle name="Normal 17 4 3 4 2" xfId="7049"/>
    <cellStyle name="Normal 17 4 3 4 2 2" xfId="8526"/>
    <cellStyle name="Normal 17 4 3 4 2 2 2" xfId="11423"/>
    <cellStyle name="Normal 17 4 3 4 2 3" xfId="9983"/>
    <cellStyle name="Normal 17 4 3 4 3" xfId="7867"/>
    <cellStyle name="Normal 17 4 3 4 3 2" xfId="10765"/>
    <cellStyle name="Normal 17 4 3 4 4" xfId="9325"/>
    <cellStyle name="Normal 17 4 3 4 5" xfId="6370"/>
    <cellStyle name="Normal 17 4 3 5" xfId="6877"/>
    <cellStyle name="Normal 17 4 3 5 2" xfId="8355"/>
    <cellStyle name="Normal 17 4 3 5 2 2" xfId="11252"/>
    <cellStyle name="Normal 17 4 3 5 3" xfId="9812"/>
    <cellStyle name="Normal 17 4 3 6" xfId="7694"/>
    <cellStyle name="Normal 17 4 3 6 2" xfId="10594"/>
    <cellStyle name="Normal 17 4 3 7" xfId="9154"/>
    <cellStyle name="Normal 17 4 3 8" xfId="6172"/>
    <cellStyle name="Normal 17 4 4" xfId="1027"/>
    <cellStyle name="Normal 17 4 4 2" xfId="1028"/>
    <cellStyle name="Normal 17 4 4 2 2" xfId="7346"/>
    <cellStyle name="Normal 17 4 4 2 2 2" xfId="8823"/>
    <cellStyle name="Normal 17 4 4 2 2 2 2" xfId="11720"/>
    <cellStyle name="Normal 17 4 4 2 2 3" xfId="10280"/>
    <cellStyle name="Normal 17 4 4 2 3" xfId="8165"/>
    <cellStyle name="Normal 17 4 4 2 3 2" xfId="11062"/>
    <cellStyle name="Normal 17 4 4 2 4" xfId="9622"/>
    <cellStyle name="Normal 17 4 4 2 5" xfId="6670"/>
    <cellStyle name="Normal 17 4 4 3" xfId="1029"/>
    <cellStyle name="Normal 17 4 4 3 2" xfId="7113"/>
    <cellStyle name="Normal 17 4 4 3 2 2" xfId="8590"/>
    <cellStyle name="Normal 17 4 4 3 2 2 2" xfId="11487"/>
    <cellStyle name="Normal 17 4 4 3 2 3" xfId="10047"/>
    <cellStyle name="Normal 17 4 4 3 3" xfId="7932"/>
    <cellStyle name="Normal 17 4 4 3 3 2" xfId="10829"/>
    <cellStyle name="Normal 17 4 4 3 4" xfId="9389"/>
    <cellStyle name="Normal 17 4 4 3 5" xfId="6437"/>
    <cellStyle name="Normal 17 4 4 4" xfId="6934"/>
    <cellStyle name="Normal 17 4 4 4 2" xfId="8411"/>
    <cellStyle name="Normal 17 4 4 4 2 2" xfId="11308"/>
    <cellStyle name="Normal 17 4 4 4 3" xfId="9868"/>
    <cellStyle name="Normal 17 4 4 5" xfId="7751"/>
    <cellStyle name="Normal 17 4 4 5 2" xfId="10650"/>
    <cellStyle name="Normal 17 4 4 6" xfId="9210"/>
    <cellStyle name="Normal 17 4 4 7" xfId="6235"/>
    <cellStyle name="Normal 17 4 5" xfId="1030"/>
    <cellStyle name="Normal 17 4 5 2" xfId="7230"/>
    <cellStyle name="Normal 17 4 5 2 2" xfId="8707"/>
    <cellStyle name="Normal 17 4 5 2 2 2" xfId="11604"/>
    <cellStyle name="Normal 17 4 5 2 3" xfId="10164"/>
    <cellStyle name="Normal 17 4 5 3" xfId="8049"/>
    <cellStyle name="Normal 17 4 5 3 2" xfId="10946"/>
    <cellStyle name="Normal 17 4 5 4" xfId="9506"/>
    <cellStyle name="Normal 17 4 5 5" xfId="6554"/>
    <cellStyle name="Normal 17 4 6" xfId="1031"/>
    <cellStyle name="Normal 17 4 6 2" xfId="6997"/>
    <cellStyle name="Normal 17 4 6 2 2" xfId="8474"/>
    <cellStyle name="Normal 17 4 6 2 2 2" xfId="11371"/>
    <cellStyle name="Normal 17 4 6 2 3" xfId="9931"/>
    <cellStyle name="Normal 17 4 6 3" xfId="7815"/>
    <cellStyle name="Normal 17 4 6 3 2" xfId="10713"/>
    <cellStyle name="Normal 17 4 6 4" xfId="9273"/>
    <cellStyle name="Normal 17 4 6 5" xfId="6318"/>
    <cellStyle name="Normal 17 4 7" xfId="7463"/>
    <cellStyle name="Normal 17 4 7 2" xfId="8937"/>
    <cellStyle name="Normal 17 4 7 2 2" xfId="11834"/>
    <cellStyle name="Normal 17 4 7 3" xfId="10394"/>
    <cellStyle name="Normal 17 4 8" xfId="7522"/>
    <cellStyle name="Normal 17 4 8 2" xfId="8994"/>
    <cellStyle name="Normal 17 4 8 2 2" xfId="11891"/>
    <cellStyle name="Normal 17 4 8 3" xfId="10451"/>
    <cellStyle name="Normal 17 4 9" xfId="6793"/>
    <cellStyle name="Normal 17 4 9 2" xfId="8274"/>
    <cellStyle name="Normal 17 4 9 2 2" xfId="11171"/>
    <cellStyle name="Normal 17 4 9 3" xfId="9731"/>
    <cellStyle name="Normal 17 5" xfId="1032"/>
    <cellStyle name="Normal 17 5 10" xfId="7621"/>
    <cellStyle name="Normal 17 5 10 2" xfId="10521"/>
    <cellStyle name="Normal 17 5 11" xfId="9081"/>
    <cellStyle name="Normal 17 5 12" xfId="6086"/>
    <cellStyle name="Normal 17 5 2" xfId="1033"/>
    <cellStyle name="Normal 17 5 2 10" xfId="9111"/>
    <cellStyle name="Normal 17 5 2 11" xfId="6123"/>
    <cellStyle name="Normal 17 5 2 2" xfId="1034"/>
    <cellStyle name="Normal 17 5 2 2 2" xfId="1035"/>
    <cellStyle name="Normal 17 5 2 2 2 2" xfId="1036"/>
    <cellStyle name="Normal 17 5 2 2 2 2 2" xfId="7436"/>
    <cellStyle name="Normal 17 5 2 2 2 2 2 2" xfId="8913"/>
    <cellStyle name="Normal 17 5 2 2 2 2 2 2 2" xfId="11810"/>
    <cellStyle name="Normal 17 5 2 2 2 2 2 3" xfId="10370"/>
    <cellStyle name="Normal 17 5 2 2 2 2 3" xfId="8255"/>
    <cellStyle name="Normal 17 5 2 2 2 2 3 2" xfId="11152"/>
    <cellStyle name="Normal 17 5 2 2 2 2 4" xfId="9712"/>
    <cellStyle name="Normal 17 5 2 2 2 2 5" xfId="6760"/>
    <cellStyle name="Normal 17 5 2 2 2 3" xfId="7203"/>
    <cellStyle name="Normal 17 5 2 2 2 3 2" xfId="8680"/>
    <cellStyle name="Normal 17 5 2 2 2 3 2 2" xfId="11577"/>
    <cellStyle name="Normal 17 5 2 2 2 3 3" xfId="10137"/>
    <cellStyle name="Normal 17 5 2 2 2 4" xfId="8022"/>
    <cellStyle name="Normal 17 5 2 2 2 4 2" xfId="10919"/>
    <cellStyle name="Normal 17 5 2 2 2 5" xfId="9479"/>
    <cellStyle name="Normal 17 5 2 2 2 6" xfId="6527"/>
    <cellStyle name="Normal 17 5 2 2 3" xfId="1037"/>
    <cellStyle name="Normal 17 5 2 2 3 2" xfId="7320"/>
    <cellStyle name="Normal 17 5 2 2 3 2 2" xfId="8797"/>
    <cellStyle name="Normal 17 5 2 2 3 2 2 2" xfId="11694"/>
    <cellStyle name="Normal 17 5 2 2 3 2 3" xfId="10254"/>
    <cellStyle name="Normal 17 5 2 2 3 3" xfId="8139"/>
    <cellStyle name="Normal 17 5 2 2 3 3 2" xfId="11036"/>
    <cellStyle name="Normal 17 5 2 2 3 4" xfId="9596"/>
    <cellStyle name="Normal 17 5 2 2 3 5" xfId="6644"/>
    <cellStyle name="Normal 17 5 2 2 4" xfId="1038"/>
    <cellStyle name="Normal 17 5 2 2 4 2" xfId="7087"/>
    <cellStyle name="Normal 17 5 2 2 4 2 2" xfId="8564"/>
    <cellStyle name="Normal 17 5 2 2 4 2 2 2" xfId="11461"/>
    <cellStyle name="Normal 17 5 2 2 4 2 3" xfId="10021"/>
    <cellStyle name="Normal 17 5 2 2 4 3" xfId="7905"/>
    <cellStyle name="Normal 17 5 2 2 4 3 2" xfId="10803"/>
    <cellStyle name="Normal 17 5 2 2 4 4" xfId="9363"/>
    <cellStyle name="Normal 17 5 2 2 4 5" xfId="6408"/>
    <cellStyle name="Normal 17 5 2 2 5" xfId="6915"/>
    <cellStyle name="Normal 17 5 2 2 5 2" xfId="8393"/>
    <cellStyle name="Normal 17 5 2 2 5 2 2" xfId="11290"/>
    <cellStyle name="Normal 17 5 2 2 5 3" xfId="9850"/>
    <cellStyle name="Normal 17 5 2 2 6" xfId="7732"/>
    <cellStyle name="Normal 17 5 2 2 6 2" xfId="10632"/>
    <cellStyle name="Normal 17 5 2 2 7" xfId="9192"/>
    <cellStyle name="Normal 17 5 2 2 8" xfId="6211"/>
    <cellStyle name="Normal 17 5 2 3" xfId="1039"/>
    <cellStyle name="Normal 17 5 2 3 2" xfId="1040"/>
    <cellStyle name="Normal 17 5 2 3 2 2" xfId="7380"/>
    <cellStyle name="Normal 17 5 2 3 2 2 2" xfId="8857"/>
    <cellStyle name="Normal 17 5 2 3 2 2 2 2" xfId="11754"/>
    <cellStyle name="Normal 17 5 2 3 2 2 3" xfId="10314"/>
    <cellStyle name="Normal 17 5 2 3 2 3" xfId="8199"/>
    <cellStyle name="Normal 17 5 2 3 2 3 2" xfId="11096"/>
    <cellStyle name="Normal 17 5 2 3 2 4" xfId="9656"/>
    <cellStyle name="Normal 17 5 2 3 2 5" xfId="6704"/>
    <cellStyle name="Normal 17 5 2 3 3" xfId="1041"/>
    <cellStyle name="Normal 17 5 2 3 3 2" xfId="7147"/>
    <cellStyle name="Normal 17 5 2 3 3 2 2" xfId="8624"/>
    <cellStyle name="Normal 17 5 2 3 3 2 2 2" xfId="11521"/>
    <cellStyle name="Normal 17 5 2 3 3 2 3" xfId="10081"/>
    <cellStyle name="Normal 17 5 2 3 3 3" xfId="7966"/>
    <cellStyle name="Normal 17 5 2 3 3 3 2" xfId="10863"/>
    <cellStyle name="Normal 17 5 2 3 3 4" xfId="9423"/>
    <cellStyle name="Normal 17 5 2 3 3 5" xfId="6471"/>
    <cellStyle name="Normal 17 5 2 3 4" xfId="6972"/>
    <cellStyle name="Normal 17 5 2 3 4 2" xfId="8449"/>
    <cellStyle name="Normal 17 5 2 3 4 2 2" xfId="11346"/>
    <cellStyle name="Normal 17 5 2 3 4 3" xfId="9906"/>
    <cellStyle name="Normal 17 5 2 3 5" xfId="7789"/>
    <cellStyle name="Normal 17 5 2 3 5 2" xfId="10688"/>
    <cellStyle name="Normal 17 5 2 3 6" xfId="9248"/>
    <cellStyle name="Normal 17 5 2 3 7" xfId="6273"/>
    <cellStyle name="Normal 17 5 2 4" xfId="1042"/>
    <cellStyle name="Normal 17 5 2 4 2" xfId="7264"/>
    <cellStyle name="Normal 17 5 2 4 2 2" xfId="8741"/>
    <cellStyle name="Normal 17 5 2 4 2 2 2" xfId="11638"/>
    <cellStyle name="Normal 17 5 2 4 2 3" xfId="10198"/>
    <cellStyle name="Normal 17 5 2 4 3" xfId="8083"/>
    <cellStyle name="Normal 17 5 2 4 3 2" xfId="10980"/>
    <cellStyle name="Normal 17 5 2 4 4" xfId="9540"/>
    <cellStyle name="Normal 17 5 2 4 5" xfId="6588"/>
    <cellStyle name="Normal 17 5 2 5" xfId="1043"/>
    <cellStyle name="Normal 17 5 2 5 2" xfId="7031"/>
    <cellStyle name="Normal 17 5 2 5 2 2" xfId="8508"/>
    <cellStyle name="Normal 17 5 2 5 2 2 2" xfId="11405"/>
    <cellStyle name="Normal 17 5 2 5 2 3" xfId="9965"/>
    <cellStyle name="Normal 17 5 2 5 3" xfId="7849"/>
    <cellStyle name="Normal 17 5 2 5 3 2" xfId="10747"/>
    <cellStyle name="Normal 17 5 2 5 4" xfId="9307"/>
    <cellStyle name="Normal 17 5 2 5 5" xfId="6352"/>
    <cellStyle name="Normal 17 5 2 6" xfId="7497"/>
    <cellStyle name="Normal 17 5 2 6 2" xfId="8971"/>
    <cellStyle name="Normal 17 5 2 6 2 2" xfId="11868"/>
    <cellStyle name="Normal 17 5 2 6 3" xfId="10428"/>
    <cellStyle name="Normal 17 5 2 7" xfId="7556"/>
    <cellStyle name="Normal 17 5 2 7 2" xfId="9028"/>
    <cellStyle name="Normal 17 5 2 7 2 2" xfId="11925"/>
    <cellStyle name="Normal 17 5 2 7 3" xfId="10485"/>
    <cellStyle name="Normal 17 5 2 8" xfId="6832"/>
    <cellStyle name="Normal 17 5 2 8 2" xfId="8312"/>
    <cellStyle name="Normal 17 5 2 8 2 2" xfId="11209"/>
    <cellStyle name="Normal 17 5 2 8 3" xfId="9769"/>
    <cellStyle name="Normal 17 5 2 9" xfId="7651"/>
    <cellStyle name="Normal 17 5 2 9 2" xfId="10551"/>
    <cellStyle name="Normal 17 5 3" xfId="1044"/>
    <cellStyle name="Normal 17 5 3 2" xfId="1045"/>
    <cellStyle name="Normal 17 5 3 2 2" xfId="1046"/>
    <cellStyle name="Normal 17 5 3 2 2 2" xfId="7406"/>
    <cellStyle name="Normal 17 5 3 2 2 2 2" xfId="8883"/>
    <cellStyle name="Normal 17 5 3 2 2 2 2 2" xfId="11780"/>
    <cellStyle name="Normal 17 5 3 2 2 2 3" xfId="10340"/>
    <cellStyle name="Normal 17 5 3 2 2 3" xfId="8225"/>
    <cellStyle name="Normal 17 5 3 2 2 3 2" xfId="11122"/>
    <cellStyle name="Normal 17 5 3 2 2 4" xfId="9682"/>
    <cellStyle name="Normal 17 5 3 2 2 5" xfId="6730"/>
    <cellStyle name="Normal 17 5 3 2 3" xfId="7173"/>
    <cellStyle name="Normal 17 5 3 2 3 2" xfId="8650"/>
    <cellStyle name="Normal 17 5 3 2 3 2 2" xfId="11547"/>
    <cellStyle name="Normal 17 5 3 2 3 3" xfId="10107"/>
    <cellStyle name="Normal 17 5 3 2 4" xfId="7992"/>
    <cellStyle name="Normal 17 5 3 2 4 2" xfId="10889"/>
    <cellStyle name="Normal 17 5 3 2 5" xfId="9449"/>
    <cellStyle name="Normal 17 5 3 2 6" xfId="6497"/>
    <cellStyle name="Normal 17 5 3 3" xfId="1047"/>
    <cellStyle name="Normal 17 5 3 3 2" xfId="7290"/>
    <cellStyle name="Normal 17 5 3 3 2 2" xfId="8767"/>
    <cellStyle name="Normal 17 5 3 3 2 2 2" xfId="11664"/>
    <cellStyle name="Normal 17 5 3 3 2 3" xfId="10224"/>
    <cellStyle name="Normal 17 5 3 3 3" xfId="8109"/>
    <cellStyle name="Normal 17 5 3 3 3 2" xfId="11006"/>
    <cellStyle name="Normal 17 5 3 3 4" xfId="9566"/>
    <cellStyle name="Normal 17 5 3 3 5" xfId="6614"/>
    <cellStyle name="Normal 17 5 3 4" xfId="1048"/>
    <cellStyle name="Normal 17 5 3 4 2" xfId="7057"/>
    <cellStyle name="Normal 17 5 3 4 2 2" xfId="8534"/>
    <cellStyle name="Normal 17 5 3 4 2 2 2" xfId="11431"/>
    <cellStyle name="Normal 17 5 3 4 2 3" xfId="9991"/>
    <cellStyle name="Normal 17 5 3 4 3" xfId="7875"/>
    <cellStyle name="Normal 17 5 3 4 3 2" xfId="10773"/>
    <cellStyle name="Normal 17 5 3 4 4" xfId="9333"/>
    <cellStyle name="Normal 17 5 3 4 5" xfId="6378"/>
    <cellStyle name="Normal 17 5 3 5" xfId="6885"/>
    <cellStyle name="Normal 17 5 3 5 2" xfId="8363"/>
    <cellStyle name="Normal 17 5 3 5 2 2" xfId="11260"/>
    <cellStyle name="Normal 17 5 3 5 3" xfId="9820"/>
    <cellStyle name="Normal 17 5 3 6" xfId="7702"/>
    <cellStyle name="Normal 17 5 3 6 2" xfId="10602"/>
    <cellStyle name="Normal 17 5 3 7" xfId="9162"/>
    <cellStyle name="Normal 17 5 3 8" xfId="6180"/>
    <cellStyle name="Normal 17 5 4" xfId="1049"/>
    <cellStyle name="Normal 17 5 4 2" xfId="1050"/>
    <cellStyle name="Normal 17 5 4 2 2" xfId="7354"/>
    <cellStyle name="Normal 17 5 4 2 2 2" xfId="8831"/>
    <cellStyle name="Normal 17 5 4 2 2 2 2" xfId="11728"/>
    <cellStyle name="Normal 17 5 4 2 2 3" xfId="10288"/>
    <cellStyle name="Normal 17 5 4 2 3" xfId="8173"/>
    <cellStyle name="Normal 17 5 4 2 3 2" xfId="11070"/>
    <cellStyle name="Normal 17 5 4 2 4" xfId="9630"/>
    <cellStyle name="Normal 17 5 4 2 5" xfId="6678"/>
    <cellStyle name="Normal 17 5 4 3" xfId="1051"/>
    <cellStyle name="Normal 17 5 4 3 2" xfId="7121"/>
    <cellStyle name="Normal 17 5 4 3 2 2" xfId="8598"/>
    <cellStyle name="Normal 17 5 4 3 2 2 2" xfId="11495"/>
    <cellStyle name="Normal 17 5 4 3 2 3" xfId="10055"/>
    <cellStyle name="Normal 17 5 4 3 3" xfId="7940"/>
    <cellStyle name="Normal 17 5 4 3 3 2" xfId="10837"/>
    <cellStyle name="Normal 17 5 4 3 4" xfId="9397"/>
    <cellStyle name="Normal 17 5 4 3 5" xfId="6445"/>
    <cellStyle name="Normal 17 5 4 4" xfId="6942"/>
    <cellStyle name="Normal 17 5 4 4 2" xfId="8419"/>
    <cellStyle name="Normal 17 5 4 4 2 2" xfId="11316"/>
    <cellStyle name="Normal 17 5 4 4 3" xfId="9876"/>
    <cellStyle name="Normal 17 5 4 5" xfId="7759"/>
    <cellStyle name="Normal 17 5 4 5 2" xfId="10658"/>
    <cellStyle name="Normal 17 5 4 6" xfId="9218"/>
    <cellStyle name="Normal 17 5 4 7" xfId="6243"/>
    <cellStyle name="Normal 17 5 5" xfId="1052"/>
    <cellStyle name="Normal 17 5 5 2" xfId="7238"/>
    <cellStyle name="Normal 17 5 5 2 2" xfId="8715"/>
    <cellStyle name="Normal 17 5 5 2 2 2" xfId="11612"/>
    <cellStyle name="Normal 17 5 5 2 3" xfId="10172"/>
    <cellStyle name="Normal 17 5 5 3" xfId="8057"/>
    <cellStyle name="Normal 17 5 5 3 2" xfId="10954"/>
    <cellStyle name="Normal 17 5 5 4" xfId="9514"/>
    <cellStyle name="Normal 17 5 5 5" xfId="6562"/>
    <cellStyle name="Normal 17 5 6" xfId="1053"/>
    <cellStyle name="Normal 17 5 6 2" xfId="7005"/>
    <cellStyle name="Normal 17 5 6 2 2" xfId="8482"/>
    <cellStyle name="Normal 17 5 6 2 2 2" xfId="11379"/>
    <cellStyle name="Normal 17 5 6 2 3" xfId="9939"/>
    <cellStyle name="Normal 17 5 6 3" xfId="7823"/>
    <cellStyle name="Normal 17 5 6 3 2" xfId="10721"/>
    <cellStyle name="Normal 17 5 6 4" xfId="9281"/>
    <cellStyle name="Normal 17 5 6 5" xfId="6326"/>
    <cellStyle name="Normal 17 5 7" xfId="7471"/>
    <cellStyle name="Normal 17 5 7 2" xfId="8945"/>
    <cellStyle name="Normal 17 5 7 2 2" xfId="11842"/>
    <cellStyle name="Normal 17 5 7 3" xfId="10402"/>
    <cellStyle name="Normal 17 5 8" xfId="7530"/>
    <cellStyle name="Normal 17 5 8 2" xfId="9002"/>
    <cellStyle name="Normal 17 5 8 2 2" xfId="11899"/>
    <cellStyle name="Normal 17 5 8 3" xfId="10459"/>
    <cellStyle name="Normal 17 5 9" xfId="6801"/>
    <cellStyle name="Normal 17 5 9 2" xfId="8282"/>
    <cellStyle name="Normal 17 5 9 2 2" xfId="11179"/>
    <cellStyle name="Normal 17 5 9 3" xfId="9739"/>
    <cellStyle name="Normal 17 6" xfId="1054"/>
    <cellStyle name="Normal 17 6 10" xfId="9093"/>
    <cellStyle name="Normal 17 6 11" xfId="6104"/>
    <cellStyle name="Normal 17 6 2" xfId="1055"/>
    <cellStyle name="Normal 17 6 2 2" xfId="1056"/>
    <cellStyle name="Normal 17 6 2 2 2" xfId="1057"/>
    <cellStyle name="Normal 17 6 2 2 2 2" xfId="7418"/>
    <cellStyle name="Normal 17 6 2 2 2 2 2" xfId="8895"/>
    <cellStyle name="Normal 17 6 2 2 2 2 2 2" xfId="11792"/>
    <cellStyle name="Normal 17 6 2 2 2 2 3" xfId="10352"/>
    <cellStyle name="Normal 17 6 2 2 2 3" xfId="8237"/>
    <cellStyle name="Normal 17 6 2 2 2 3 2" xfId="11134"/>
    <cellStyle name="Normal 17 6 2 2 2 4" xfId="9694"/>
    <cellStyle name="Normal 17 6 2 2 2 5" xfId="6742"/>
    <cellStyle name="Normal 17 6 2 2 3" xfId="7185"/>
    <cellStyle name="Normal 17 6 2 2 3 2" xfId="8662"/>
    <cellStyle name="Normal 17 6 2 2 3 2 2" xfId="11559"/>
    <cellStyle name="Normal 17 6 2 2 3 3" xfId="10119"/>
    <cellStyle name="Normal 17 6 2 2 4" xfId="8004"/>
    <cellStyle name="Normal 17 6 2 2 4 2" xfId="10901"/>
    <cellStyle name="Normal 17 6 2 2 5" xfId="9461"/>
    <cellStyle name="Normal 17 6 2 2 6" xfId="6509"/>
    <cellStyle name="Normal 17 6 2 3" xfId="1058"/>
    <cellStyle name="Normal 17 6 2 3 2" xfId="7302"/>
    <cellStyle name="Normal 17 6 2 3 2 2" xfId="8779"/>
    <cellStyle name="Normal 17 6 2 3 2 2 2" xfId="11676"/>
    <cellStyle name="Normal 17 6 2 3 2 3" xfId="10236"/>
    <cellStyle name="Normal 17 6 2 3 3" xfId="8121"/>
    <cellStyle name="Normal 17 6 2 3 3 2" xfId="11018"/>
    <cellStyle name="Normal 17 6 2 3 4" xfId="9578"/>
    <cellStyle name="Normal 17 6 2 3 5" xfId="6626"/>
    <cellStyle name="Normal 17 6 2 4" xfId="1059"/>
    <cellStyle name="Normal 17 6 2 4 2" xfId="7069"/>
    <cellStyle name="Normal 17 6 2 4 2 2" xfId="8546"/>
    <cellStyle name="Normal 17 6 2 4 2 2 2" xfId="11443"/>
    <cellStyle name="Normal 17 6 2 4 2 3" xfId="10003"/>
    <cellStyle name="Normal 17 6 2 4 3" xfId="7887"/>
    <cellStyle name="Normal 17 6 2 4 3 2" xfId="10785"/>
    <cellStyle name="Normal 17 6 2 4 4" xfId="9345"/>
    <cellStyle name="Normal 17 6 2 4 5" xfId="6390"/>
    <cellStyle name="Normal 17 6 2 5" xfId="6897"/>
    <cellStyle name="Normal 17 6 2 5 2" xfId="8375"/>
    <cellStyle name="Normal 17 6 2 5 2 2" xfId="11272"/>
    <cellStyle name="Normal 17 6 2 5 3" xfId="9832"/>
    <cellStyle name="Normal 17 6 2 6" xfId="7714"/>
    <cellStyle name="Normal 17 6 2 6 2" xfId="10614"/>
    <cellStyle name="Normal 17 6 2 7" xfId="9174"/>
    <cellStyle name="Normal 17 6 2 8" xfId="6193"/>
    <cellStyle name="Normal 17 6 3" xfId="1060"/>
    <cellStyle name="Normal 17 6 3 2" xfId="1061"/>
    <cellStyle name="Normal 17 6 3 2 2" xfId="7336"/>
    <cellStyle name="Normal 17 6 3 2 2 2" xfId="8813"/>
    <cellStyle name="Normal 17 6 3 2 2 2 2" xfId="11710"/>
    <cellStyle name="Normal 17 6 3 2 2 3" xfId="10270"/>
    <cellStyle name="Normal 17 6 3 2 3" xfId="8155"/>
    <cellStyle name="Normal 17 6 3 2 3 2" xfId="11052"/>
    <cellStyle name="Normal 17 6 3 2 4" xfId="9612"/>
    <cellStyle name="Normal 17 6 3 2 5" xfId="6660"/>
    <cellStyle name="Normal 17 6 3 3" xfId="1062"/>
    <cellStyle name="Normal 17 6 3 3 2" xfId="7103"/>
    <cellStyle name="Normal 17 6 3 3 2 2" xfId="8580"/>
    <cellStyle name="Normal 17 6 3 3 2 2 2" xfId="11477"/>
    <cellStyle name="Normal 17 6 3 3 2 3" xfId="10037"/>
    <cellStyle name="Normal 17 6 3 3 3" xfId="7922"/>
    <cellStyle name="Normal 17 6 3 3 3 2" xfId="10819"/>
    <cellStyle name="Normal 17 6 3 3 4" xfId="9379"/>
    <cellStyle name="Normal 17 6 3 3 5" xfId="6427"/>
    <cellStyle name="Normal 17 6 3 4" xfId="6954"/>
    <cellStyle name="Normal 17 6 3 4 2" xfId="8431"/>
    <cellStyle name="Normal 17 6 3 4 2 2" xfId="11328"/>
    <cellStyle name="Normal 17 6 3 4 3" xfId="9888"/>
    <cellStyle name="Normal 17 6 3 5" xfId="7771"/>
    <cellStyle name="Normal 17 6 3 5 2" xfId="10670"/>
    <cellStyle name="Normal 17 6 3 6" xfId="9230"/>
    <cellStyle name="Normal 17 6 3 7" xfId="6255"/>
    <cellStyle name="Normal 17 6 4" xfId="1063"/>
    <cellStyle name="Normal 17 6 4 2" xfId="7220"/>
    <cellStyle name="Normal 17 6 4 2 2" xfId="8697"/>
    <cellStyle name="Normal 17 6 4 2 2 2" xfId="11594"/>
    <cellStyle name="Normal 17 6 4 2 3" xfId="10154"/>
    <cellStyle name="Normal 17 6 4 3" xfId="8039"/>
    <cellStyle name="Normal 17 6 4 3 2" xfId="10936"/>
    <cellStyle name="Normal 17 6 4 4" xfId="9496"/>
    <cellStyle name="Normal 17 6 4 5" xfId="6544"/>
    <cellStyle name="Normal 17 6 5" xfId="1064"/>
    <cellStyle name="Normal 17 6 5 2" xfId="6987"/>
    <cellStyle name="Normal 17 6 5 2 2" xfId="8464"/>
    <cellStyle name="Normal 17 6 5 2 2 2" xfId="11361"/>
    <cellStyle name="Normal 17 6 5 2 3" xfId="9921"/>
    <cellStyle name="Normal 17 6 5 3" xfId="7805"/>
    <cellStyle name="Normal 17 6 5 3 2" xfId="10703"/>
    <cellStyle name="Normal 17 6 5 4" xfId="9263"/>
    <cellStyle name="Normal 17 6 5 5" xfId="6308"/>
    <cellStyle name="Normal 17 6 6" xfId="7453"/>
    <cellStyle name="Normal 17 6 6 2" xfId="8927"/>
    <cellStyle name="Normal 17 6 6 2 2" xfId="11824"/>
    <cellStyle name="Normal 17 6 6 3" xfId="10384"/>
    <cellStyle name="Normal 17 6 7" xfId="7512"/>
    <cellStyle name="Normal 17 6 7 2" xfId="8984"/>
    <cellStyle name="Normal 17 6 7 2 2" xfId="11881"/>
    <cellStyle name="Normal 17 6 7 3" xfId="10441"/>
    <cellStyle name="Normal 17 6 8" xfId="6814"/>
    <cellStyle name="Normal 17 6 8 2" xfId="8294"/>
    <cellStyle name="Normal 17 6 8 2 2" xfId="11191"/>
    <cellStyle name="Normal 17 6 8 3" xfId="9751"/>
    <cellStyle name="Normal 17 6 9" xfId="7633"/>
    <cellStyle name="Normal 17 6 9 2" xfId="10533"/>
    <cellStyle name="Normal 17 7" xfId="1065"/>
    <cellStyle name="Normal 17 7 10" xfId="6157"/>
    <cellStyle name="Normal 17 7 2" xfId="1066"/>
    <cellStyle name="Normal 17 7 2 2" xfId="1067"/>
    <cellStyle name="Normal 17 7 2 2 2" xfId="7362"/>
    <cellStyle name="Normal 17 7 2 2 2 2" xfId="8839"/>
    <cellStyle name="Normal 17 7 2 2 2 2 2" xfId="11736"/>
    <cellStyle name="Normal 17 7 2 2 2 3" xfId="10296"/>
    <cellStyle name="Normal 17 7 2 2 3" xfId="8181"/>
    <cellStyle name="Normal 17 7 2 2 3 2" xfId="11078"/>
    <cellStyle name="Normal 17 7 2 2 4" xfId="9638"/>
    <cellStyle name="Normal 17 7 2 2 5" xfId="6686"/>
    <cellStyle name="Normal 17 7 2 3" xfId="7129"/>
    <cellStyle name="Normal 17 7 2 3 2" xfId="8606"/>
    <cellStyle name="Normal 17 7 2 3 2 2" xfId="11503"/>
    <cellStyle name="Normal 17 7 2 3 3" xfId="10063"/>
    <cellStyle name="Normal 17 7 2 4" xfId="7948"/>
    <cellStyle name="Normal 17 7 2 4 2" xfId="10845"/>
    <cellStyle name="Normal 17 7 2 5" xfId="9405"/>
    <cellStyle name="Normal 17 7 2 6" xfId="6453"/>
    <cellStyle name="Normal 17 7 3" xfId="1068"/>
    <cellStyle name="Normal 17 7 3 2" xfId="7246"/>
    <cellStyle name="Normal 17 7 3 2 2" xfId="8723"/>
    <cellStyle name="Normal 17 7 3 2 2 2" xfId="11620"/>
    <cellStyle name="Normal 17 7 3 2 3" xfId="10180"/>
    <cellStyle name="Normal 17 7 3 3" xfId="8065"/>
    <cellStyle name="Normal 17 7 3 3 2" xfId="10962"/>
    <cellStyle name="Normal 17 7 3 4" xfId="9522"/>
    <cellStyle name="Normal 17 7 3 5" xfId="6570"/>
    <cellStyle name="Normal 17 7 4" xfId="1069"/>
    <cellStyle name="Normal 17 7 4 2" xfId="7013"/>
    <cellStyle name="Normal 17 7 4 2 2" xfId="8490"/>
    <cellStyle name="Normal 17 7 4 2 2 2" xfId="11387"/>
    <cellStyle name="Normal 17 7 4 2 3" xfId="9947"/>
    <cellStyle name="Normal 17 7 4 3" xfId="7831"/>
    <cellStyle name="Normal 17 7 4 3 2" xfId="10729"/>
    <cellStyle name="Normal 17 7 4 4" xfId="9289"/>
    <cellStyle name="Normal 17 7 4 5" xfId="6334"/>
    <cellStyle name="Normal 17 7 5" xfId="7479"/>
    <cellStyle name="Normal 17 7 5 2" xfId="8953"/>
    <cellStyle name="Normal 17 7 5 2 2" xfId="11850"/>
    <cellStyle name="Normal 17 7 5 3" xfId="10410"/>
    <cellStyle name="Normal 17 7 6" xfId="7538"/>
    <cellStyle name="Normal 17 7 6 2" xfId="9010"/>
    <cellStyle name="Normal 17 7 6 2 2" xfId="11907"/>
    <cellStyle name="Normal 17 7 6 3" xfId="10467"/>
    <cellStyle name="Normal 17 7 7" xfId="6865"/>
    <cellStyle name="Normal 17 7 7 2" xfId="8343"/>
    <cellStyle name="Normal 17 7 7 2 2" xfId="11240"/>
    <cellStyle name="Normal 17 7 7 3" xfId="9800"/>
    <cellStyle name="Normal 17 7 8" xfId="7682"/>
    <cellStyle name="Normal 17 7 8 2" xfId="10582"/>
    <cellStyle name="Normal 17 7 9" xfId="9142"/>
    <cellStyle name="Normal 17 8" xfId="1070"/>
    <cellStyle name="Normal 17 8 2" xfId="1071"/>
    <cellStyle name="Normal 17 8 2 2" xfId="1072"/>
    <cellStyle name="Normal 17 8 2 2 2" xfId="7388"/>
    <cellStyle name="Normal 17 8 2 2 2 2" xfId="8865"/>
    <cellStyle name="Normal 17 8 2 2 2 2 2" xfId="11762"/>
    <cellStyle name="Normal 17 8 2 2 2 3" xfId="10322"/>
    <cellStyle name="Normal 17 8 2 2 3" xfId="8207"/>
    <cellStyle name="Normal 17 8 2 2 3 2" xfId="11104"/>
    <cellStyle name="Normal 17 8 2 2 4" xfId="9664"/>
    <cellStyle name="Normal 17 8 2 2 5" xfId="6712"/>
    <cellStyle name="Normal 17 8 2 3" xfId="7155"/>
    <cellStyle name="Normal 17 8 2 3 2" xfId="8632"/>
    <cellStyle name="Normal 17 8 2 3 2 2" xfId="11529"/>
    <cellStyle name="Normal 17 8 2 3 3" xfId="10089"/>
    <cellStyle name="Normal 17 8 2 4" xfId="7974"/>
    <cellStyle name="Normal 17 8 2 4 2" xfId="10871"/>
    <cellStyle name="Normal 17 8 2 5" xfId="9431"/>
    <cellStyle name="Normal 17 8 2 6" xfId="6479"/>
    <cellStyle name="Normal 17 8 3" xfId="1073"/>
    <cellStyle name="Normal 17 8 3 2" xfId="7272"/>
    <cellStyle name="Normal 17 8 3 2 2" xfId="8749"/>
    <cellStyle name="Normal 17 8 3 2 2 2" xfId="11646"/>
    <cellStyle name="Normal 17 8 3 2 3" xfId="10206"/>
    <cellStyle name="Normal 17 8 3 3" xfId="8091"/>
    <cellStyle name="Normal 17 8 3 3 2" xfId="10988"/>
    <cellStyle name="Normal 17 8 3 4" xfId="9548"/>
    <cellStyle name="Normal 17 8 3 5" xfId="6596"/>
    <cellStyle name="Normal 17 8 4" xfId="1074"/>
    <cellStyle name="Normal 17 8 4 2" xfId="7039"/>
    <cellStyle name="Normal 17 8 4 2 2" xfId="8516"/>
    <cellStyle name="Normal 17 8 4 2 2 2" xfId="11413"/>
    <cellStyle name="Normal 17 8 4 2 3" xfId="9973"/>
    <cellStyle name="Normal 17 8 4 3" xfId="7857"/>
    <cellStyle name="Normal 17 8 4 3 2" xfId="10755"/>
    <cellStyle name="Normal 17 8 4 4" xfId="9315"/>
    <cellStyle name="Normal 17 8 4 5" xfId="6360"/>
    <cellStyle name="Normal 17 8 5" xfId="6924"/>
    <cellStyle name="Normal 17 8 5 2" xfId="8401"/>
    <cellStyle name="Normal 17 8 5 2 2" xfId="11298"/>
    <cellStyle name="Normal 17 8 5 3" xfId="9858"/>
    <cellStyle name="Normal 17 8 6" xfId="7741"/>
    <cellStyle name="Normal 17 8 6 2" xfId="10640"/>
    <cellStyle name="Normal 17 8 7" xfId="9200"/>
    <cellStyle name="Normal 17 8 8" xfId="6224"/>
    <cellStyle name="Normal 17 9" xfId="1075"/>
    <cellStyle name="Normal 17 9 2" xfId="1076"/>
    <cellStyle name="Normal 17 9 2 2" xfId="7331"/>
    <cellStyle name="Normal 17 9 2 2 2" xfId="8808"/>
    <cellStyle name="Normal 17 9 2 2 2 2" xfId="11705"/>
    <cellStyle name="Normal 17 9 2 2 3" xfId="10265"/>
    <cellStyle name="Normal 17 9 2 3" xfId="8150"/>
    <cellStyle name="Normal 17 9 2 3 2" xfId="11047"/>
    <cellStyle name="Normal 17 9 2 4" xfId="9607"/>
    <cellStyle name="Normal 17 9 2 5" xfId="6655"/>
    <cellStyle name="Normal 17 9 3" xfId="7097"/>
    <cellStyle name="Normal 17 9 3 2" xfId="8574"/>
    <cellStyle name="Normal 17 9 3 2 2" xfId="11471"/>
    <cellStyle name="Normal 17 9 3 3" xfId="10031"/>
    <cellStyle name="Normal 17 9 4" xfId="7916"/>
    <cellStyle name="Normal 17 9 4 2" xfId="10813"/>
    <cellStyle name="Normal 17 9 5" xfId="9373"/>
    <cellStyle name="Normal 17 9 6" xfId="6420"/>
    <cellStyle name="Normal 18" xfId="1077"/>
    <cellStyle name="Normal 18 2" xfId="3287"/>
    <cellStyle name="Normal 18 3" xfId="3286"/>
    <cellStyle name="Normal 19" xfId="1078"/>
    <cellStyle name="Normal 19 2" xfId="1079"/>
    <cellStyle name="Normal 19 3" xfId="1080"/>
    <cellStyle name="Normal 19 4" xfId="3288"/>
    <cellStyle name="Normal 2" xfId="4"/>
    <cellStyle name="Normal-- 2" xfId="3290"/>
    <cellStyle name="Normal 2 10" xfId="3291"/>
    <cellStyle name="Normal 2 10 2" xfId="3292"/>
    <cellStyle name="Normal 2 11" xfId="3293"/>
    <cellStyle name="Normal 2 11 2" xfId="3294"/>
    <cellStyle name="Normal 2 12" xfId="3295"/>
    <cellStyle name="Normal 2 12 2" xfId="3296"/>
    <cellStyle name="Normal 2 13" xfId="3297"/>
    <cellStyle name="Normal 2 13 2" xfId="3298"/>
    <cellStyle name="Normal 2 14" xfId="3299"/>
    <cellStyle name="Normal 2 14 2" xfId="3300"/>
    <cellStyle name="Normal 2 15" xfId="3301"/>
    <cellStyle name="Normal 2 15 2" xfId="3302"/>
    <cellStyle name="Normal 2 16" xfId="3303"/>
    <cellStyle name="Normal 2 16 2" xfId="3304"/>
    <cellStyle name="Normal 2 17" xfId="3305"/>
    <cellStyle name="Normal 2 17 2" xfId="3306"/>
    <cellStyle name="Normal 2 18" xfId="3307"/>
    <cellStyle name="Normal 2 18 2" xfId="3308"/>
    <cellStyle name="Normal 2 19" xfId="3309"/>
    <cellStyle name="Normal 2 19 2" xfId="3310"/>
    <cellStyle name="Normal 2 2" xfId="1081"/>
    <cellStyle name="Normal 2 2 10" xfId="1506"/>
    <cellStyle name="Normal 2 2 10 2" xfId="8923"/>
    <cellStyle name="Normal 2 2 10 2 2" xfId="11820"/>
    <cellStyle name="Normal 2 2 10 3" xfId="10380"/>
    <cellStyle name="Normal 2 2 10 4" xfId="7449"/>
    <cellStyle name="Normal 2 2 11" xfId="3311"/>
    <cellStyle name="Normal 2 2 11 2" xfId="8980"/>
    <cellStyle name="Normal 2 2 11 2 2" xfId="11877"/>
    <cellStyle name="Normal 2 2 11 3" xfId="10437"/>
    <cellStyle name="Normal 2 2 11 4" xfId="7508"/>
    <cellStyle name="Normal 2 2 12" xfId="6789"/>
    <cellStyle name="Normal 2 2 12 2" xfId="8270"/>
    <cellStyle name="Normal 2 2 12 2 2" xfId="11167"/>
    <cellStyle name="Normal 2 2 12 3" xfId="9727"/>
    <cellStyle name="Normal 2 2 13" xfId="6073"/>
    <cellStyle name="Normal 2 2 13 2" xfId="7610"/>
    <cellStyle name="Normal 2 2 13 2 2" xfId="10510"/>
    <cellStyle name="Normal 2 2 13 3" xfId="9070"/>
    <cellStyle name="Normal 2 2 14" xfId="6052"/>
    <cellStyle name="Normal 2 2 2" xfId="1082"/>
    <cellStyle name="Normal 2 2 2 10" xfId="7617"/>
    <cellStyle name="Normal 2 2 2 10 2" xfId="10517"/>
    <cellStyle name="Normal 2 2 2 11" xfId="9077"/>
    <cellStyle name="Normal 2 2 2 12" xfId="6082"/>
    <cellStyle name="Normal 2 2 2 2" xfId="1083"/>
    <cellStyle name="Normal 2 2 2 2 10" xfId="9107"/>
    <cellStyle name="Normal 2 2 2 2 11" xfId="6119"/>
    <cellStyle name="Normal 2 2 2 2 2" xfId="1084"/>
    <cellStyle name="Normal 2 2 2 2 2 2" xfId="1085"/>
    <cellStyle name="Normal 2 2 2 2 2 2 2" xfId="1086"/>
    <cellStyle name="Normal 2 2 2 2 2 2 2 2" xfId="7432"/>
    <cellStyle name="Normal 2 2 2 2 2 2 2 2 2" xfId="8909"/>
    <cellStyle name="Normal 2 2 2 2 2 2 2 2 2 2" xfId="11806"/>
    <cellStyle name="Normal 2 2 2 2 2 2 2 2 3" xfId="10366"/>
    <cellStyle name="Normal 2 2 2 2 2 2 2 3" xfId="8251"/>
    <cellStyle name="Normal 2 2 2 2 2 2 2 3 2" xfId="11148"/>
    <cellStyle name="Normal 2 2 2 2 2 2 2 4" xfId="9708"/>
    <cellStyle name="Normal 2 2 2 2 2 2 2 5" xfId="6756"/>
    <cellStyle name="Normal 2 2 2 2 2 2 3" xfId="7199"/>
    <cellStyle name="Normal 2 2 2 2 2 2 3 2" xfId="8676"/>
    <cellStyle name="Normal 2 2 2 2 2 2 3 2 2" xfId="11573"/>
    <cellStyle name="Normal 2 2 2 2 2 2 3 3" xfId="10133"/>
    <cellStyle name="Normal 2 2 2 2 2 2 4" xfId="8018"/>
    <cellStyle name="Normal 2 2 2 2 2 2 4 2" xfId="10915"/>
    <cellStyle name="Normal 2 2 2 2 2 2 5" xfId="9475"/>
    <cellStyle name="Normal 2 2 2 2 2 2 6" xfId="6523"/>
    <cellStyle name="Normal 2 2 2 2 2 3" xfId="1087"/>
    <cellStyle name="Normal 2 2 2 2 2 3 2" xfId="7316"/>
    <cellStyle name="Normal 2 2 2 2 2 3 2 2" xfId="8793"/>
    <cellStyle name="Normal 2 2 2 2 2 3 2 2 2" xfId="11690"/>
    <cellStyle name="Normal 2 2 2 2 2 3 2 3" xfId="10250"/>
    <cellStyle name="Normal 2 2 2 2 2 3 3" xfId="8135"/>
    <cellStyle name="Normal 2 2 2 2 2 3 3 2" xfId="11032"/>
    <cellStyle name="Normal 2 2 2 2 2 3 4" xfId="9592"/>
    <cellStyle name="Normal 2 2 2 2 2 3 5" xfId="6640"/>
    <cellStyle name="Normal 2 2 2 2 2 4" xfId="1088"/>
    <cellStyle name="Normal 2 2 2 2 2 4 2" xfId="7083"/>
    <cellStyle name="Normal 2 2 2 2 2 4 2 2" xfId="8560"/>
    <cellStyle name="Normal 2 2 2 2 2 4 2 2 2" xfId="11457"/>
    <cellStyle name="Normal 2 2 2 2 2 4 2 3" xfId="10017"/>
    <cellStyle name="Normal 2 2 2 2 2 4 3" xfId="7901"/>
    <cellStyle name="Normal 2 2 2 2 2 4 3 2" xfId="10799"/>
    <cellStyle name="Normal 2 2 2 2 2 4 4" xfId="9359"/>
    <cellStyle name="Normal 2 2 2 2 2 4 5" xfId="6404"/>
    <cellStyle name="Normal 2 2 2 2 2 5" xfId="3314"/>
    <cellStyle name="Normal 2 2 2 2 2 5 2" xfId="8389"/>
    <cellStyle name="Normal 2 2 2 2 2 5 2 2" xfId="11286"/>
    <cellStyle name="Normal 2 2 2 2 2 5 3" xfId="9846"/>
    <cellStyle name="Normal 2 2 2 2 2 5 4" xfId="6911"/>
    <cellStyle name="Normal 2 2 2 2 2 6" xfId="7728"/>
    <cellStyle name="Normal 2 2 2 2 2 6 2" xfId="10628"/>
    <cellStyle name="Normal 2 2 2 2 2 7" xfId="9188"/>
    <cellStyle name="Normal 2 2 2 2 2 8" xfId="6207"/>
    <cellStyle name="Normal 2 2 2 2 3" xfId="1089"/>
    <cellStyle name="Normal 2 2 2 2 3 2" xfId="1090"/>
    <cellStyle name="Normal 2 2 2 2 3 2 2" xfId="7376"/>
    <cellStyle name="Normal 2 2 2 2 3 2 2 2" xfId="8853"/>
    <cellStyle name="Normal 2 2 2 2 3 2 2 2 2" xfId="11750"/>
    <cellStyle name="Normal 2 2 2 2 3 2 2 3" xfId="10310"/>
    <cellStyle name="Normal 2 2 2 2 3 2 3" xfId="8195"/>
    <cellStyle name="Normal 2 2 2 2 3 2 3 2" xfId="11092"/>
    <cellStyle name="Normal 2 2 2 2 3 2 4" xfId="9652"/>
    <cellStyle name="Normal 2 2 2 2 3 2 5" xfId="6700"/>
    <cellStyle name="Normal 2 2 2 2 3 3" xfId="1091"/>
    <cellStyle name="Normal 2 2 2 2 3 3 2" xfId="7143"/>
    <cellStyle name="Normal 2 2 2 2 3 3 2 2" xfId="8620"/>
    <cellStyle name="Normal 2 2 2 2 3 3 2 2 2" xfId="11517"/>
    <cellStyle name="Normal 2 2 2 2 3 3 2 3" xfId="10077"/>
    <cellStyle name="Normal 2 2 2 2 3 3 3" xfId="7962"/>
    <cellStyle name="Normal 2 2 2 2 3 3 3 2" xfId="10859"/>
    <cellStyle name="Normal 2 2 2 2 3 3 4" xfId="9419"/>
    <cellStyle name="Normal 2 2 2 2 3 3 5" xfId="6467"/>
    <cellStyle name="Normal 2 2 2 2 3 4" xfId="6968"/>
    <cellStyle name="Normal 2 2 2 2 3 4 2" xfId="8445"/>
    <cellStyle name="Normal 2 2 2 2 3 4 2 2" xfId="11342"/>
    <cellStyle name="Normal 2 2 2 2 3 4 3" xfId="9902"/>
    <cellStyle name="Normal 2 2 2 2 3 5" xfId="7785"/>
    <cellStyle name="Normal 2 2 2 2 3 5 2" xfId="10684"/>
    <cellStyle name="Normal 2 2 2 2 3 6" xfId="9244"/>
    <cellStyle name="Normal 2 2 2 2 3 7" xfId="6269"/>
    <cellStyle name="Normal 2 2 2 2 4" xfId="1092"/>
    <cellStyle name="Normal 2 2 2 2 4 2" xfId="7260"/>
    <cellStyle name="Normal 2 2 2 2 4 2 2" xfId="8737"/>
    <cellStyle name="Normal 2 2 2 2 4 2 2 2" xfId="11634"/>
    <cellStyle name="Normal 2 2 2 2 4 2 3" xfId="10194"/>
    <cellStyle name="Normal 2 2 2 2 4 3" xfId="8079"/>
    <cellStyle name="Normal 2 2 2 2 4 3 2" xfId="10976"/>
    <cellStyle name="Normal 2 2 2 2 4 4" xfId="9536"/>
    <cellStyle name="Normal 2 2 2 2 4 5" xfId="6584"/>
    <cellStyle name="Normal 2 2 2 2 5" xfId="1093"/>
    <cellStyle name="Normal 2 2 2 2 5 2" xfId="7027"/>
    <cellStyle name="Normal 2 2 2 2 5 2 2" xfId="8504"/>
    <cellStyle name="Normal 2 2 2 2 5 2 2 2" xfId="11401"/>
    <cellStyle name="Normal 2 2 2 2 5 2 3" xfId="9961"/>
    <cellStyle name="Normal 2 2 2 2 5 3" xfId="7845"/>
    <cellStyle name="Normal 2 2 2 2 5 3 2" xfId="10743"/>
    <cellStyle name="Normal 2 2 2 2 5 4" xfId="9303"/>
    <cellStyle name="Normal 2 2 2 2 5 5" xfId="6348"/>
    <cellStyle name="Normal 2 2 2 2 6" xfId="3313"/>
    <cellStyle name="Normal 2 2 2 2 6 2" xfId="8967"/>
    <cellStyle name="Normal 2 2 2 2 6 2 2" xfId="11864"/>
    <cellStyle name="Normal 2 2 2 2 6 3" xfId="10424"/>
    <cellStyle name="Normal 2 2 2 2 6 4" xfId="7493"/>
    <cellStyle name="Normal 2 2 2 2 7" xfId="7552"/>
    <cellStyle name="Normal 2 2 2 2 7 2" xfId="9024"/>
    <cellStyle name="Normal 2 2 2 2 7 2 2" xfId="11921"/>
    <cellStyle name="Normal 2 2 2 2 7 3" xfId="10481"/>
    <cellStyle name="Normal 2 2 2 2 8" xfId="6828"/>
    <cellStyle name="Normal 2 2 2 2 8 2" xfId="8308"/>
    <cellStyle name="Normal 2 2 2 2 8 2 2" xfId="11205"/>
    <cellStyle name="Normal 2 2 2 2 8 3" xfId="9765"/>
    <cellStyle name="Normal 2 2 2 2 9" xfId="7647"/>
    <cellStyle name="Normal 2 2 2 2 9 2" xfId="10547"/>
    <cellStyle name="Normal 2 2 2 3" xfId="1094"/>
    <cellStyle name="Normal 2 2 2 3 2" xfId="1095"/>
    <cellStyle name="Normal 2 2 2 3 2 2" xfId="1096"/>
    <cellStyle name="Normal 2 2 2 3 2 2 2" xfId="7402"/>
    <cellStyle name="Normal 2 2 2 3 2 2 2 2" xfId="8879"/>
    <cellStyle name="Normal 2 2 2 3 2 2 2 2 2" xfId="11776"/>
    <cellStyle name="Normal 2 2 2 3 2 2 2 3" xfId="10336"/>
    <cellStyle name="Normal 2 2 2 3 2 2 3" xfId="8221"/>
    <cellStyle name="Normal 2 2 2 3 2 2 3 2" xfId="11118"/>
    <cellStyle name="Normal 2 2 2 3 2 2 4" xfId="9678"/>
    <cellStyle name="Normal 2 2 2 3 2 2 5" xfId="6726"/>
    <cellStyle name="Normal 2 2 2 3 2 3" xfId="7169"/>
    <cellStyle name="Normal 2 2 2 3 2 3 2" xfId="8646"/>
    <cellStyle name="Normal 2 2 2 3 2 3 2 2" xfId="11543"/>
    <cellStyle name="Normal 2 2 2 3 2 3 3" xfId="10103"/>
    <cellStyle name="Normal 2 2 2 3 2 4" xfId="7988"/>
    <cellStyle name="Normal 2 2 2 3 2 4 2" xfId="10885"/>
    <cellStyle name="Normal 2 2 2 3 2 5" xfId="9445"/>
    <cellStyle name="Normal 2 2 2 3 2 6" xfId="6493"/>
    <cellStyle name="Normal 2 2 2 3 3" xfId="1097"/>
    <cellStyle name="Normal 2 2 2 3 3 2" xfId="7286"/>
    <cellStyle name="Normal 2 2 2 3 3 2 2" xfId="8763"/>
    <cellStyle name="Normal 2 2 2 3 3 2 2 2" xfId="11660"/>
    <cellStyle name="Normal 2 2 2 3 3 2 3" xfId="10220"/>
    <cellStyle name="Normal 2 2 2 3 3 3" xfId="8105"/>
    <cellStyle name="Normal 2 2 2 3 3 3 2" xfId="11002"/>
    <cellStyle name="Normal 2 2 2 3 3 4" xfId="9562"/>
    <cellStyle name="Normal 2 2 2 3 3 5" xfId="6610"/>
    <cellStyle name="Normal 2 2 2 3 4" xfId="1098"/>
    <cellStyle name="Normal 2 2 2 3 4 2" xfId="7053"/>
    <cellStyle name="Normal 2 2 2 3 4 2 2" xfId="8530"/>
    <cellStyle name="Normal 2 2 2 3 4 2 2 2" xfId="11427"/>
    <cellStyle name="Normal 2 2 2 3 4 2 3" xfId="9987"/>
    <cellStyle name="Normal 2 2 2 3 4 3" xfId="7871"/>
    <cellStyle name="Normal 2 2 2 3 4 3 2" xfId="10769"/>
    <cellStyle name="Normal 2 2 2 3 4 4" xfId="9329"/>
    <cellStyle name="Normal 2 2 2 3 4 5" xfId="6374"/>
    <cellStyle name="Normal 2 2 2 3 5" xfId="3315"/>
    <cellStyle name="Normal 2 2 2 3 5 2" xfId="8359"/>
    <cellStyle name="Normal 2 2 2 3 5 2 2" xfId="11256"/>
    <cellStyle name="Normal 2 2 2 3 5 3" xfId="9816"/>
    <cellStyle name="Normal 2 2 2 3 5 4" xfId="6881"/>
    <cellStyle name="Normal 2 2 2 3 6" xfId="7698"/>
    <cellStyle name="Normal 2 2 2 3 6 2" xfId="10598"/>
    <cellStyle name="Normal 2 2 2 3 7" xfId="9158"/>
    <cellStyle name="Normal 2 2 2 3 8" xfId="6176"/>
    <cellStyle name="Normal 2 2 2 4" xfId="1099"/>
    <cellStyle name="Normal 2 2 2 4 2" xfId="1100"/>
    <cellStyle name="Normal 2 2 2 4 2 2" xfId="7350"/>
    <cellStyle name="Normal 2 2 2 4 2 2 2" xfId="8827"/>
    <cellStyle name="Normal 2 2 2 4 2 2 2 2" xfId="11724"/>
    <cellStyle name="Normal 2 2 2 4 2 2 3" xfId="10284"/>
    <cellStyle name="Normal 2 2 2 4 2 3" xfId="8169"/>
    <cellStyle name="Normal 2 2 2 4 2 3 2" xfId="11066"/>
    <cellStyle name="Normal 2 2 2 4 2 4" xfId="9626"/>
    <cellStyle name="Normal 2 2 2 4 2 5" xfId="6674"/>
    <cellStyle name="Normal 2 2 2 4 3" xfId="1101"/>
    <cellStyle name="Normal 2 2 2 4 3 2" xfId="7117"/>
    <cellStyle name="Normal 2 2 2 4 3 2 2" xfId="8594"/>
    <cellStyle name="Normal 2 2 2 4 3 2 2 2" xfId="11491"/>
    <cellStyle name="Normal 2 2 2 4 3 2 3" xfId="10051"/>
    <cellStyle name="Normal 2 2 2 4 3 3" xfId="7936"/>
    <cellStyle name="Normal 2 2 2 4 3 3 2" xfId="10833"/>
    <cellStyle name="Normal 2 2 2 4 3 4" xfId="9393"/>
    <cellStyle name="Normal 2 2 2 4 3 5" xfId="6441"/>
    <cellStyle name="Normal 2 2 2 4 4" xfId="3316"/>
    <cellStyle name="Normal 2 2 2 4 4 2" xfId="8415"/>
    <cellStyle name="Normal 2 2 2 4 4 2 2" xfId="11312"/>
    <cellStyle name="Normal 2 2 2 4 4 3" xfId="9872"/>
    <cellStyle name="Normal 2 2 2 4 4 4" xfId="6938"/>
    <cellStyle name="Normal 2 2 2 4 5" xfId="7755"/>
    <cellStyle name="Normal 2 2 2 4 5 2" xfId="10654"/>
    <cellStyle name="Normal 2 2 2 4 6" xfId="9214"/>
    <cellStyle name="Normal 2 2 2 4 7" xfId="6239"/>
    <cellStyle name="Normal 2 2 2 5" xfId="1102"/>
    <cellStyle name="Normal 2 2 2 5 2" xfId="3317"/>
    <cellStyle name="Normal 2 2 2 5 2 2" xfId="8711"/>
    <cellStyle name="Normal 2 2 2 5 2 2 2" xfId="11608"/>
    <cellStyle name="Normal 2 2 2 5 2 3" xfId="10168"/>
    <cellStyle name="Normal 2 2 2 5 2 4" xfId="7234"/>
    <cellStyle name="Normal 2 2 2 5 3" xfId="8053"/>
    <cellStyle name="Normal 2 2 2 5 3 2" xfId="10950"/>
    <cellStyle name="Normal 2 2 2 5 4" xfId="9510"/>
    <cellStyle name="Normal 2 2 2 5 5" xfId="6558"/>
    <cellStyle name="Normal 2 2 2 6" xfId="1103"/>
    <cellStyle name="Normal 2 2 2 6 2" xfId="3318"/>
    <cellStyle name="Normal 2 2 2 6 2 2" xfId="8478"/>
    <cellStyle name="Normal 2 2 2 6 2 2 2" xfId="11375"/>
    <cellStyle name="Normal 2 2 2 6 2 3" xfId="9935"/>
    <cellStyle name="Normal 2 2 2 6 2 4" xfId="7001"/>
    <cellStyle name="Normal 2 2 2 6 3" xfId="7819"/>
    <cellStyle name="Normal 2 2 2 6 3 2" xfId="10717"/>
    <cellStyle name="Normal 2 2 2 6 4" xfId="9277"/>
    <cellStyle name="Normal 2 2 2 6 5" xfId="6322"/>
    <cellStyle name="Normal 2 2 2 7" xfId="3312"/>
    <cellStyle name="Normal 2 2 2 7 2" xfId="8941"/>
    <cellStyle name="Normal 2 2 2 7 2 2" xfId="11838"/>
    <cellStyle name="Normal 2 2 2 7 3" xfId="10398"/>
    <cellStyle name="Normal 2 2 2 7 4" xfId="7467"/>
    <cellStyle name="Normal 2 2 2 8" xfId="7526"/>
    <cellStyle name="Normal 2 2 2 8 2" xfId="8998"/>
    <cellStyle name="Normal 2 2 2 8 2 2" xfId="11895"/>
    <cellStyle name="Normal 2 2 2 8 3" xfId="10455"/>
    <cellStyle name="Normal 2 2 2 9" xfId="6797"/>
    <cellStyle name="Normal 2 2 2 9 2" xfId="8278"/>
    <cellStyle name="Normal 2 2 2 9 2 2" xfId="11175"/>
    <cellStyle name="Normal 2 2 2 9 3" xfId="9735"/>
    <cellStyle name="Normal 2 2 3" xfId="1104"/>
    <cellStyle name="Normal 2 2 3 10" xfId="7625"/>
    <cellStyle name="Normal 2 2 3 10 2" xfId="10525"/>
    <cellStyle name="Normal 2 2 3 11" xfId="9085"/>
    <cellStyle name="Normal 2 2 3 12" xfId="6090"/>
    <cellStyle name="Normal 2 2 3 2" xfId="1105"/>
    <cellStyle name="Normal 2 2 3 2 10" xfId="9115"/>
    <cellStyle name="Normal 2 2 3 2 11" xfId="6127"/>
    <cellStyle name="Normal 2 2 3 2 2" xfId="1106"/>
    <cellStyle name="Normal 2 2 3 2 2 2" xfId="1107"/>
    <cellStyle name="Normal 2 2 3 2 2 2 2" xfId="1108"/>
    <cellStyle name="Normal 2 2 3 2 2 2 2 2" xfId="7440"/>
    <cellStyle name="Normal 2 2 3 2 2 2 2 2 2" xfId="8917"/>
    <cellStyle name="Normal 2 2 3 2 2 2 2 2 2 2" xfId="11814"/>
    <cellStyle name="Normal 2 2 3 2 2 2 2 2 3" xfId="10374"/>
    <cellStyle name="Normal 2 2 3 2 2 2 2 3" xfId="8259"/>
    <cellStyle name="Normal 2 2 3 2 2 2 2 3 2" xfId="11156"/>
    <cellStyle name="Normal 2 2 3 2 2 2 2 4" xfId="9716"/>
    <cellStyle name="Normal 2 2 3 2 2 2 2 5" xfId="6764"/>
    <cellStyle name="Normal 2 2 3 2 2 2 3" xfId="7207"/>
    <cellStyle name="Normal 2 2 3 2 2 2 3 2" xfId="8684"/>
    <cellStyle name="Normal 2 2 3 2 2 2 3 2 2" xfId="11581"/>
    <cellStyle name="Normal 2 2 3 2 2 2 3 3" xfId="10141"/>
    <cellStyle name="Normal 2 2 3 2 2 2 4" xfId="8026"/>
    <cellStyle name="Normal 2 2 3 2 2 2 4 2" xfId="10923"/>
    <cellStyle name="Normal 2 2 3 2 2 2 5" xfId="9483"/>
    <cellStyle name="Normal 2 2 3 2 2 2 6" xfId="6531"/>
    <cellStyle name="Normal 2 2 3 2 2 3" xfId="1109"/>
    <cellStyle name="Normal 2 2 3 2 2 3 2" xfId="7324"/>
    <cellStyle name="Normal 2 2 3 2 2 3 2 2" xfId="8801"/>
    <cellStyle name="Normal 2 2 3 2 2 3 2 2 2" xfId="11698"/>
    <cellStyle name="Normal 2 2 3 2 2 3 2 3" xfId="10258"/>
    <cellStyle name="Normal 2 2 3 2 2 3 3" xfId="8143"/>
    <cellStyle name="Normal 2 2 3 2 2 3 3 2" xfId="11040"/>
    <cellStyle name="Normal 2 2 3 2 2 3 4" xfId="9600"/>
    <cellStyle name="Normal 2 2 3 2 2 3 5" xfId="6648"/>
    <cellStyle name="Normal 2 2 3 2 2 4" xfId="1110"/>
    <cellStyle name="Normal 2 2 3 2 2 4 2" xfId="7091"/>
    <cellStyle name="Normal 2 2 3 2 2 4 2 2" xfId="8568"/>
    <cellStyle name="Normal 2 2 3 2 2 4 2 2 2" xfId="11465"/>
    <cellStyle name="Normal 2 2 3 2 2 4 2 3" xfId="10025"/>
    <cellStyle name="Normal 2 2 3 2 2 4 3" xfId="7909"/>
    <cellStyle name="Normal 2 2 3 2 2 4 3 2" xfId="10807"/>
    <cellStyle name="Normal 2 2 3 2 2 4 4" xfId="9367"/>
    <cellStyle name="Normal 2 2 3 2 2 4 5" xfId="6412"/>
    <cellStyle name="Normal 2 2 3 2 2 5" xfId="6919"/>
    <cellStyle name="Normal 2 2 3 2 2 5 2" xfId="8397"/>
    <cellStyle name="Normal 2 2 3 2 2 5 2 2" xfId="11294"/>
    <cellStyle name="Normal 2 2 3 2 2 5 3" xfId="9854"/>
    <cellStyle name="Normal 2 2 3 2 2 6" xfId="7736"/>
    <cellStyle name="Normal 2 2 3 2 2 6 2" xfId="10636"/>
    <cellStyle name="Normal 2 2 3 2 2 7" xfId="9196"/>
    <cellStyle name="Normal 2 2 3 2 2 8" xfId="6215"/>
    <cellStyle name="Normal 2 2 3 2 3" xfId="1111"/>
    <cellStyle name="Normal 2 2 3 2 3 2" xfId="1112"/>
    <cellStyle name="Normal 2 2 3 2 3 2 2" xfId="7384"/>
    <cellStyle name="Normal 2 2 3 2 3 2 2 2" xfId="8861"/>
    <cellStyle name="Normal 2 2 3 2 3 2 2 2 2" xfId="11758"/>
    <cellStyle name="Normal 2 2 3 2 3 2 2 3" xfId="10318"/>
    <cellStyle name="Normal 2 2 3 2 3 2 3" xfId="8203"/>
    <cellStyle name="Normal 2 2 3 2 3 2 3 2" xfId="11100"/>
    <cellStyle name="Normal 2 2 3 2 3 2 4" xfId="9660"/>
    <cellStyle name="Normal 2 2 3 2 3 2 5" xfId="6708"/>
    <cellStyle name="Normal 2 2 3 2 3 3" xfId="1113"/>
    <cellStyle name="Normal 2 2 3 2 3 3 2" xfId="7151"/>
    <cellStyle name="Normal 2 2 3 2 3 3 2 2" xfId="8628"/>
    <cellStyle name="Normal 2 2 3 2 3 3 2 2 2" xfId="11525"/>
    <cellStyle name="Normal 2 2 3 2 3 3 2 3" xfId="10085"/>
    <cellStyle name="Normal 2 2 3 2 3 3 3" xfId="7970"/>
    <cellStyle name="Normal 2 2 3 2 3 3 3 2" xfId="10867"/>
    <cellStyle name="Normal 2 2 3 2 3 3 4" xfId="9427"/>
    <cellStyle name="Normal 2 2 3 2 3 3 5" xfId="6475"/>
    <cellStyle name="Normal 2 2 3 2 3 4" xfId="6976"/>
    <cellStyle name="Normal 2 2 3 2 3 4 2" xfId="8453"/>
    <cellStyle name="Normal 2 2 3 2 3 4 2 2" xfId="11350"/>
    <cellStyle name="Normal 2 2 3 2 3 4 3" xfId="9910"/>
    <cellStyle name="Normal 2 2 3 2 3 5" xfId="7793"/>
    <cellStyle name="Normal 2 2 3 2 3 5 2" xfId="10692"/>
    <cellStyle name="Normal 2 2 3 2 3 6" xfId="9252"/>
    <cellStyle name="Normal 2 2 3 2 3 7" xfId="6277"/>
    <cellStyle name="Normal 2 2 3 2 4" xfId="1114"/>
    <cellStyle name="Normal 2 2 3 2 4 2" xfId="7268"/>
    <cellStyle name="Normal 2 2 3 2 4 2 2" xfId="8745"/>
    <cellStyle name="Normal 2 2 3 2 4 2 2 2" xfId="11642"/>
    <cellStyle name="Normal 2 2 3 2 4 2 3" xfId="10202"/>
    <cellStyle name="Normal 2 2 3 2 4 3" xfId="8087"/>
    <cellStyle name="Normal 2 2 3 2 4 3 2" xfId="10984"/>
    <cellStyle name="Normal 2 2 3 2 4 4" xfId="9544"/>
    <cellStyle name="Normal 2 2 3 2 4 5" xfId="6592"/>
    <cellStyle name="Normal 2 2 3 2 5" xfId="1115"/>
    <cellStyle name="Normal 2 2 3 2 5 2" xfId="7035"/>
    <cellStyle name="Normal 2 2 3 2 5 2 2" xfId="8512"/>
    <cellStyle name="Normal 2 2 3 2 5 2 2 2" xfId="11409"/>
    <cellStyle name="Normal 2 2 3 2 5 2 3" xfId="9969"/>
    <cellStyle name="Normal 2 2 3 2 5 3" xfId="7853"/>
    <cellStyle name="Normal 2 2 3 2 5 3 2" xfId="10751"/>
    <cellStyle name="Normal 2 2 3 2 5 4" xfId="9311"/>
    <cellStyle name="Normal 2 2 3 2 5 5" xfId="6356"/>
    <cellStyle name="Normal 2 2 3 2 6" xfId="7501"/>
    <cellStyle name="Normal 2 2 3 2 6 2" xfId="8975"/>
    <cellStyle name="Normal 2 2 3 2 6 2 2" xfId="11872"/>
    <cellStyle name="Normal 2 2 3 2 6 3" xfId="10432"/>
    <cellStyle name="Normal 2 2 3 2 7" xfId="7560"/>
    <cellStyle name="Normal 2 2 3 2 7 2" xfId="9032"/>
    <cellStyle name="Normal 2 2 3 2 7 2 2" xfId="11929"/>
    <cellStyle name="Normal 2 2 3 2 7 3" xfId="10489"/>
    <cellStyle name="Normal 2 2 3 2 8" xfId="6836"/>
    <cellStyle name="Normal 2 2 3 2 8 2" xfId="8316"/>
    <cellStyle name="Normal 2 2 3 2 8 2 2" xfId="11213"/>
    <cellStyle name="Normal 2 2 3 2 8 3" xfId="9773"/>
    <cellStyle name="Normal 2 2 3 2 9" xfId="7655"/>
    <cellStyle name="Normal 2 2 3 2 9 2" xfId="10555"/>
    <cellStyle name="Normal 2 2 3 3" xfId="1116"/>
    <cellStyle name="Normal 2 2 3 3 2" xfId="1117"/>
    <cellStyle name="Normal 2 2 3 3 2 2" xfId="1118"/>
    <cellStyle name="Normal 2 2 3 3 2 2 2" xfId="7410"/>
    <cellStyle name="Normal 2 2 3 3 2 2 2 2" xfId="8887"/>
    <cellStyle name="Normal 2 2 3 3 2 2 2 2 2" xfId="11784"/>
    <cellStyle name="Normal 2 2 3 3 2 2 2 3" xfId="10344"/>
    <cellStyle name="Normal 2 2 3 3 2 2 3" xfId="8229"/>
    <cellStyle name="Normal 2 2 3 3 2 2 3 2" xfId="11126"/>
    <cellStyle name="Normal 2 2 3 3 2 2 4" xfId="9686"/>
    <cellStyle name="Normal 2 2 3 3 2 2 5" xfId="6734"/>
    <cellStyle name="Normal 2 2 3 3 2 3" xfId="7177"/>
    <cellStyle name="Normal 2 2 3 3 2 3 2" xfId="8654"/>
    <cellStyle name="Normal 2 2 3 3 2 3 2 2" xfId="11551"/>
    <cellStyle name="Normal 2 2 3 3 2 3 3" xfId="10111"/>
    <cellStyle name="Normal 2 2 3 3 2 4" xfId="7996"/>
    <cellStyle name="Normal 2 2 3 3 2 4 2" xfId="10893"/>
    <cellStyle name="Normal 2 2 3 3 2 5" xfId="9453"/>
    <cellStyle name="Normal 2 2 3 3 2 6" xfId="6501"/>
    <cellStyle name="Normal 2 2 3 3 3" xfId="1119"/>
    <cellStyle name="Normal 2 2 3 3 3 2" xfId="7294"/>
    <cellStyle name="Normal 2 2 3 3 3 2 2" xfId="8771"/>
    <cellStyle name="Normal 2 2 3 3 3 2 2 2" xfId="11668"/>
    <cellStyle name="Normal 2 2 3 3 3 2 3" xfId="10228"/>
    <cellStyle name="Normal 2 2 3 3 3 3" xfId="8113"/>
    <cellStyle name="Normal 2 2 3 3 3 3 2" xfId="11010"/>
    <cellStyle name="Normal 2 2 3 3 3 4" xfId="9570"/>
    <cellStyle name="Normal 2 2 3 3 3 5" xfId="6618"/>
    <cellStyle name="Normal 2 2 3 3 4" xfId="1120"/>
    <cellStyle name="Normal 2 2 3 3 4 2" xfId="7061"/>
    <cellStyle name="Normal 2 2 3 3 4 2 2" xfId="8538"/>
    <cellStyle name="Normal 2 2 3 3 4 2 2 2" xfId="11435"/>
    <cellStyle name="Normal 2 2 3 3 4 2 3" xfId="9995"/>
    <cellStyle name="Normal 2 2 3 3 4 3" xfId="7879"/>
    <cellStyle name="Normal 2 2 3 3 4 3 2" xfId="10777"/>
    <cellStyle name="Normal 2 2 3 3 4 4" xfId="9337"/>
    <cellStyle name="Normal 2 2 3 3 4 5" xfId="6382"/>
    <cellStyle name="Normal 2 2 3 3 5" xfId="6889"/>
    <cellStyle name="Normal 2 2 3 3 5 2" xfId="8367"/>
    <cellStyle name="Normal 2 2 3 3 5 2 2" xfId="11264"/>
    <cellStyle name="Normal 2 2 3 3 5 3" xfId="9824"/>
    <cellStyle name="Normal 2 2 3 3 6" xfId="7706"/>
    <cellStyle name="Normal 2 2 3 3 6 2" xfId="10606"/>
    <cellStyle name="Normal 2 2 3 3 7" xfId="9166"/>
    <cellStyle name="Normal 2 2 3 3 8" xfId="6184"/>
    <cellStyle name="Normal 2 2 3 4" xfId="1121"/>
    <cellStyle name="Normal 2 2 3 4 2" xfId="1122"/>
    <cellStyle name="Normal 2 2 3 4 2 2" xfId="7358"/>
    <cellStyle name="Normal 2 2 3 4 2 2 2" xfId="8835"/>
    <cellStyle name="Normal 2 2 3 4 2 2 2 2" xfId="11732"/>
    <cellStyle name="Normal 2 2 3 4 2 2 3" xfId="10292"/>
    <cellStyle name="Normal 2 2 3 4 2 3" xfId="8177"/>
    <cellStyle name="Normal 2 2 3 4 2 3 2" xfId="11074"/>
    <cellStyle name="Normal 2 2 3 4 2 4" xfId="9634"/>
    <cellStyle name="Normal 2 2 3 4 2 5" xfId="6682"/>
    <cellStyle name="Normal 2 2 3 4 3" xfId="1123"/>
    <cellStyle name="Normal 2 2 3 4 3 2" xfId="7125"/>
    <cellStyle name="Normal 2 2 3 4 3 2 2" xfId="8602"/>
    <cellStyle name="Normal 2 2 3 4 3 2 2 2" xfId="11499"/>
    <cellStyle name="Normal 2 2 3 4 3 2 3" xfId="10059"/>
    <cellStyle name="Normal 2 2 3 4 3 3" xfId="7944"/>
    <cellStyle name="Normal 2 2 3 4 3 3 2" xfId="10841"/>
    <cellStyle name="Normal 2 2 3 4 3 4" xfId="9401"/>
    <cellStyle name="Normal 2 2 3 4 3 5" xfId="6449"/>
    <cellStyle name="Normal 2 2 3 4 4" xfId="6946"/>
    <cellStyle name="Normal 2 2 3 4 4 2" xfId="8423"/>
    <cellStyle name="Normal 2 2 3 4 4 2 2" xfId="11320"/>
    <cellStyle name="Normal 2 2 3 4 4 3" xfId="9880"/>
    <cellStyle name="Normal 2 2 3 4 5" xfId="7763"/>
    <cellStyle name="Normal 2 2 3 4 5 2" xfId="10662"/>
    <cellStyle name="Normal 2 2 3 4 6" xfId="9222"/>
    <cellStyle name="Normal 2 2 3 4 7" xfId="6247"/>
    <cellStyle name="Normal 2 2 3 5" xfId="1124"/>
    <cellStyle name="Normal 2 2 3 5 2" xfId="7242"/>
    <cellStyle name="Normal 2 2 3 5 2 2" xfId="8719"/>
    <cellStyle name="Normal 2 2 3 5 2 2 2" xfId="11616"/>
    <cellStyle name="Normal 2 2 3 5 2 3" xfId="10176"/>
    <cellStyle name="Normal 2 2 3 5 3" xfId="8061"/>
    <cellStyle name="Normal 2 2 3 5 3 2" xfId="10958"/>
    <cellStyle name="Normal 2 2 3 5 4" xfId="9518"/>
    <cellStyle name="Normal 2 2 3 5 5" xfId="6566"/>
    <cellStyle name="Normal 2 2 3 6" xfId="1125"/>
    <cellStyle name="Normal 2 2 3 6 2" xfId="7009"/>
    <cellStyle name="Normal 2 2 3 6 2 2" xfId="8486"/>
    <cellStyle name="Normal 2 2 3 6 2 2 2" xfId="11383"/>
    <cellStyle name="Normal 2 2 3 6 2 3" xfId="9943"/>
    <cellStyle name="Normal 2 2 3 6 3" xfId="7827"/>
    <cellStyle name="Normal 2 2 3 6 3 2" xfId="10725"/>
    <cellStyle name="Normal 2 2 3 6 4" xfId="9285"/>
    <cellStyle name="Normal 2 2 3 6 5" xfId="6330"/>
    <cellStyle name="Normal 2 2 3 7" xfId="3319"/>
    <cellStyle name="Normal 2 2 3 7 2" xfId="8949"/>
    <cellStyle name="Normal 2 2 3 7 2 2" xfId="11846"/>
    <cellStyle name="Normal 2 2 3 7 3" xfId="10406"/>
    <cellStyle name="Normal 2 2 3 7 4" xfId="7475"/>
    <cellStyle name="Normal 2 2 3 8" xfId="7534"/>
    <cellStyle name="Normal 2 2 3 8 2" xfId="9006"/>
    <cellStyle name="Normal 2 2 3 8 2 2" xfId="11903"/>
    <cellStyle name="Normal 2 2 3 8 3" xfId="10463"/>
    <cellStyle name="Normal 2 2 3 9" xfId="6805"/>
    <cellStyle name="Normal 2 2 3 9 2" xfId="8286"/>
    <cellStyle name="Normal 2 2 3 9 2 2" xfId="11183"/>
    <cellStyle name="Normal 2 2 3 9 3" xfId="9743"/>
    <cellStyle name="Normal 2 2 4" xfId="1126"/>
    <cellStyle name="Normal 2 2 4 10" xfId="9099"/>
    <cellStyle name="Normal 2 2 4 11" xfId="6111"/>
    <cellStyle name="Normal 2 2 4 2" xfId="1127"/>
    <cellStyle name="Normal 2 2 4 2 2" xfId="1128"/>
    <cellStyle name="Normal 2 2 4 2 2 2" xfId="1129"/>
    <cellStyle name="Normal 2 2 4 2 2 2 2" xfId="7424"/>
    <cellStyle name="Normal 2 2 4 2 2 2 2 2" xfId="8901"/>
    <cellStyle name="Normal 2 2 4 2 2 2 2 2 2" xfId="11798"/>
    <cellStyle name="Normal 2 2 4 2 2 2 2 3" xfId="10358"/>
    <cellStyle name="Normal 2 2 4 2 2 2 3" xfId="8243"/>
    <cellStyle name="Normal 2 2 4 2 2 2 3 2" xfId="11140"/>
    <cellStyle name="Normal 2 2 4 2 2 2 4" xfId="9700"/>
    <cellStyle name="Normal 2 2 4 2 2 2 5" xfId="6748"/>
    <cellStyle name="Normal 2 2 4 2 2 3" xfId="7191"/>
    <cellStyle name="Normal 2 2 4 2 2 3 2" xfId="8668"/>
    <cellStyle name="Normal 2 2 4 2 2 3 2 2" xfId="11565"/>
    <cellStyle name="Normal 2 2 4 2 2 3 3" xfId="10125"/>
    <cellStyle name="Normal 2 2 4 2 2 4" xfId="8010"/>
    <cellStyle name="Normal 2 2 4 2 2 4 2" xfId="10907"/>
    <cellStyle name="Normal 2 2 4 2 2 5" xfId="9467"/>
    <cellStyle name="Normal 2 2 4 2 2 6" xfId="6515"/>
    <cellStyle name="Normal 2 2 4 2 3" xfId="1130"/>
    <cellStyle name="Normal 2 2 4 2 3 2" xfId="7308"/>
    <cellStyle name="Normal 2 2 4 2 3 2 2" xfId="8785"/>
    <cellStyle name="Normal 2 2 4 2 3 2 2 2" xfId="11682"/>
    <cellStyle name="Normal 2 2 4 2 3 2 3" xfId="10242"/>
    <cellStyle name="Normal 2 2 4 2 3 3" xfId="8127"/>
    <cellStyle name="Normal 2 2 4 2 3 3 2" xfId="11024"/>
    <cellStyle name="Normal 2 2 4 2 3 4" xfId="9584"/>
    <cellStyle name="Normal 2 2 4 2 3 5" xfId="6632"/>
    <cellStyle name="Normal 2 2 4 2 4" xfId="1131"/>
    <cellStyle name="Normal 2 2 4 2 4 2" xfId="7075"/>
    <cellStyle name="Normal 2 2 4 2 4 2 2" xfId="8552"/>
    <cellStyle name="Normal 2 2 4 2 4 2 2 2" xfId="11449"/>
    <cellStyle name="Normal 2 2 4 2 4 2 3" xfId="10009"/>
    <cellStyle name="Normal 2 2 4 2 4 3" xfId="7893"/>
    <cellStyle name="Normal 2 2 4 2 4 3 2" xfId="10791"/>
    <cellStyle name="Normal 2 2 4 2 4 4" xfId="9351"/>
    <cellStyle name="Normal 2 2 4 2 4 5" xfId="6396"/>
    <cellStyle name="Normal 2 2 4 2 5" xfId="3321"/>
    <cellStyle name="Normal 2 2 4 2 5 2" xfId="8381"/>
    <cellStyle name="Normal 2 2 4 2 5 2 2" xfId="11278"/>
    <cellStyle name="Normal 2 2 4 2 5 3" xfId="9838"/>
    <cellStyle name="Normal 2 2 4 2 5 4" xfId="6903"/>
    <cellStyle name="Normal 2 2 4 2 6" xfId="7720"/>
    <cellStyle name="Normal 2 2 4 2 6 2" xfId="10620"/>
    <cellStyle name="Normal 2 2 4 2 7" xfId="9180"/>
    <cellStyle name="Normal 2 2 4 2 8" xfId="6199"/>
    <cellStyle name="Normal 2 2 4 3" xfId="1132"/>
    <cellStyle name="Normal 2 2 4 3 2" xfId="1133"/>
    <cellStyle name="Normal 2 2 4 3 2 2" xfId="7342"/>
    <cellStyle name="Normal 2 2 4 3 2 2 2" xfId="8819"/>
    <cellStyle name="Normal 2 2 4 3 2 2 2 2" xfId="11716"/>
    <cellStyle name="Normal 2 2 4 3 2 2 3" xfId="10276"/>
    <cellStyle name="Normal 2 2 4 3 2 3" xfId="8161"/>
    <cellStyle name="Normal 2 2 4 3 2 3 2" xfId="11058"/>
    <cellStyle name="Normal 2 2 4 3 2 4" xfId="9618"/>
    <cellStyle name="Normal 2 2 4 3 2 5" xfId="6666"/>
    <cellStyle name="Normal 2 2 4 3 3" xfId="1134"/>
    <cellStyle name="Normal 2 2 4 3 3 2" xfId="7109"/>
    <cellStyle name="Normal 2 2 4 3 3 2 2" xfId="8586"/>
    <cellStyle name="Normal 2 2 4 3 3 2 2 2" xfId="11483"/>
    <cellStyle name="Normal 2 2 4 3 3 2 3" xfId="10043"/>
    <cellStyle name="Normal 2 2 4 3 3 3" xfId="7928"/>
    <cellStyle name="Normal 2 2 4 3 3 3 2" xfId="10825"/>
    <cellStyle name="Normal 2 2 4 3 3 4" xfId="9385"/>
    <cellStyle name="Normal 2 2 4 3 3 5" xfId="6433"/>
    <cellStyle name="Normal 2 2 4 3 4" xfId="3322"/>
    <cellStyle name="Normal 2 2 4 3 4 2" xfId="8437"/>
    <cellStyle name="Normal 2 2 4 3 4 2 2" xfId="11334"/>
    <cellStyle name="Normal 2 2 4 3 4 3" xfId="9894"/>
    <cellStyle name="Normal 2 2 4 3 4 4" xfId="6960"/>
    <cellStyle name="Normal 2 2 4 3 5" xfId="7777"/>
    <cellStyle name="Normal 2 2 4 3 5 2" xfId="10676"/>
    <cellStyle name="Normal 2 2 4 3 6" xfId="9236"/>
    <cellStyle name="Normal 2 2 4 3 7" xfId="6261"/>
    <cellStyle name="Normal 2 2 4 4" xfId="1135"/>
    <cellStyle name="Normal 2 2 4 4 2" xfId="7226"/>
    <cellStyle name="Normal 2 2 4 4 2 2" xfId="8703"/>
    <cellStyle name="Normal 2 2 4 4 2 2 2" xfId="11600"/>
    <cellStyle name="Normal 2 2 4 4 2 3" xfId="10160"/>
    <cellStyle name="Normal 2 2 4 4 3" xfId="8045"/>
    <cellStyle name="Normal 2 2 4 4 3 2" xfId="10942"/>
    <cellStyle name="Normal 2 2 4 4 4" xfId="9502"/>
    <cellStyle name="Normal 2 2 4 4 5" xfId="6550"/>
    <cellStyle name="Normal 2 2 4 5" xfId="1136"/>
    <cellStyle name="Normal 2 2 4 5 2" xfId="6993"/>
    <cellStyle name="Normal 2 2 4 5 2 2" xfId="8470"/>
    <cellStyle name="Normal 2 2 4 5 2 2 2" xfId="11367"/>
    <cellStyle name="Normal 2 2 4 5 2 3" xfId="9927"/>
    <cellStyle name="Normal 2 2 4 5 3" xfId="7811"/>
    <cellStyle name="Normal 2 2 4 5 3 2" xfId="10709"/>
    <cellStyle name="Normal 2 2 4 5 4" xfId="9269"/>
    <cellStyle name="Normal 2 2 4 5 5" xfId="6314"/>
    <cellStyle name="Normal 2 2 4 6" xfId="3320"/>
    <cellStyle name="Normal 2 2 4 6 2" xfId="8933"/>
    <cellStyle name="Normal 2 2 4 6 2 2" xfId="11830"/>
    <cellStyle name="Normal 2 2 4 6 3" xfId="10390"/>
    <cellStyle name="Normal 2 2 4 6 4" xfId="7459"/>
    <cellStyle name="Normal 2 2 4 7" xfId="7518"/>
    <cellStyle name="Normal 2 2 4 7 2" xfId="8990"/>
    <cellStyle name="Normal 2 2 4 7 2 2" xfId="11887"/>
    <cellStyle name="Normal 2 2 4 7 3" xfId="10447"/>
    <cellStyle name="Normal 2 2 4 8" xfId="6820"/>
    <cellStyle name="Normal 2 2 4 8 2" xfId="8300"/>
    <cellStyle name="Normal 2 2 4 8 2 2" xfId="11197"/>
    <cellStyle name="Normal 2 2 4 8 3" xfId="9757"/>
    <cellStyle name="Normal 2 2 4 9" xfId="7639"/>
    <cellStyle name="Normal 2 2 4 9 2" xfId="10539"/>
    <cellStyle name="Normal 2 2 5" xfId="1137"/>
    <cellStyle name="Normal 2 2 5 10" xfId="6168"/>
    <cellStyle name="Normal 2 2 5 2" xfId="1138"/>
    <cellStyle name="Normal 2 2 5 2 2" xfId="1139"/>
    <cellStyle name="Normal 2 2 5 2 2 2" xfId="7368"/>
    <cellStyle name="Normal 2 2 5 2 2 2 2" xfId="8845"/>
    <cellStyle name="Normal 2 2 5 2 2 2 2 2" xfId="11742"/>
    <cellStyle name="Normal 2 2 5 2 2 2 3" xfId="10302"/>
    <cellStyle name="Normal 2 2 5 2 2 3" xfId="8187"/>
    <cellStyle name="Normal 2 2 5 2 2 3 2" xfId="11084"/>
    <cellStyle name="Normal 2 2 5 2 2 4" xfId="9644"/>
    <cellStyle name="Normal 2 2 5 2 2 5" xfId="6692"/>
    <cellStyle name="Normal 2 2 5 2 3" xfId="7135"/>
    <cellStyle name="Normal 2 2 5 2 3 2" xfId="8612"/>
    <cellStyle name="Normal 2 2 5 2 3 2 2" xfId="11509"/>
    <cellStyle name="Normal 2 2 5 2 3 3" xfId="10069"/>
    <cellStyle name="Normal 2 2 5 2 4" xfId="7954"/>
    <cellStyle name="Normal 2 2 5 2 4 2" xfId="10851"/>
    <cellStyle name="Normal 2 2 5 2 5" xfId="9411"/>
    <cellStyle name="Normal 2 2 5 2 6" xfId="6459"/>
    <cellStyle name="Normal 2 2 5 3" xfId="1140"/>
    <cellStyle name="Normal 2 2 5 3 2" xfId="7252"/>
    <cellStyle name="Normal 2 2 5 3 2 2" xfId="8729"/>
    <cellStyle name="Normal 2 2 5 3 2 2 2" xfId="11626"/>
    <cellStyle name="Normal 2 2 5 3 2 3" xfId="10186"/>
    <cellStyle name="Normal 2 2 5 3 3" xfId="8071"/>
    <cellStyle name="Normal 2 2 5 3 3 2" xfId="10968"/>
    <cellStyle name="Normal 2 2 5 3 4" xfId="9528"/>
    <cellStyle name="Normal 2 2 5 3 5" xfId="6576"/>
    <cellStyle name="Normal 2 2 5 4" xfId="1141"/>
    <cellStyle name="Normal 2 2 5 4 2" xfId="7019"/>
    <cellStyle name="Normal 2 2 5 4 2 2" xfId="8496"/>
    <cellStyle name="Normal 2 2 5 4 2 2 2" xfId="11393"/>
    <cellStyle name="Normal 2 2 5 4 2 3" xfId="9953"/>
    <cellStyle name="Normal 2 2 5 4 3" xfId="7837"/>
    <cellStyle name="Normal 2 2 5 4 3 2" xfId="10735"/>
    <cellStyle name="Normal 2 2 5 4 4" xfId="9295"/>
    <cellStyle name="Normal 2 2 5 4 5" xfId="6340"/>
    <cellStyle name="Normal 2 2 5 5" xfId="3323"/>
    <cellStyle name="Normal 2 2 5 5 2" xfId="8959"/>
    <cellStyle name="Normal 2 2 5 5 2 2" xfId="11856"/>
    <cellStyle name="Normal 2 2 5 5 3" xfId="10416"/>
    <cellStyle name="Normal 2 2 5 5 4" xfId="7485"/>
    <cellStyle name="Normal 2 2 5 6" xfId="7544"/>
    <cellStyle name="Normal 2 2 5 6 2" xfId="9016"/>
    <cellStyle name="Normal 2 2 5 6 2 2" xfId="11913"/>
    <cellStyle name="Normal 2 2 5 6 3" xfId="10473"/>
    <cellStyle name="Normal 2 2 5 7" xfId="6873"/>
    <cellStyle name="Normal 2 2 5 7 2" xfId="8351"/>
    <cellStyle name="Normal 2 2 5 7 2 2" xfId="11248"/>
    <cellStyle name="Normal 2 2 5 7 3" xfId="9808"/>
    <cellStyle name="Normal 2 2 5 8" xfId="7690"/>
    <cellStyle name="Normal 2 2 5 8 2" xfId="10590"/>
    <cellStyle name="Normal 2 2 5 9" xfId="9150"/>
    <cellStyle name="Normal 2 2 6" xfId="1142"/>
    <cellStyle name="Normal 2 2 6 2" xfId="1143"/>
    <cellStyle name="Normal 2 2 6 2 2" xfId="1144"/>
    <cellStyle name="Normal 2 2 6 2 2 2" xfId="7394"/>
    <cellStyle name="Normal 2 2 6 2 2 2 2" xfId="8871"/>
    <cellStyle name="Normal 2 2 6 2 2 2 2 2" xfId="11768"/>
    <cellStyle name="Normal 2 2 6 2 2 2 3" xfId="10328"/>
    <cellStyle name="Normal 2 2 6 2 2 3" xfId="8213"/>
    <cellStyle name="Normal 2 2 6 2 2 3 2" xfId="11110"/>
    <cellStyle name="Normal 2 2 6 2 2 4" xfId="9670"/>
    <cellStyle name="Normal 2 2 6 2 2 5" xfId="6718"/>
    <cellStyle name="Normal 2 2 6 2 3" xfId="7161"/>
    <cellStyle name="Normal 2 2 6 2 3 2" xfId="8638"/>
    <cellStyle name="Normal 2 2 6 2 3 2 2" xfId="11535"/>
    <cellStyle name="Normal 2 2 6 2 3 3" xfId="10095"/>
    <cellStyle name="Normal 2 2 6 2 4" xfId="7980"/>
    <cellStyle name="Normal 2 2 6 2 4 2" xfId="10877"/>
    <cellStyle name="Normal 2 2 6 2 5" xfId="9437"/>
    <cellStyle name="Normal 2 2 6 2 6" xfId="6485"/>
    <cellStyle name="Normal 2 2 6 3" xfId="1145"/>
    <cellStyle name="Normal 2 2 6 3 2" xfId="7278"/>
    <cellStyle name="Normal 2 2 6 3 2 2" xfId="8755"/>
    <cellStyle name="Normal 2 2 6 3 2 2 2" xfId="11652"/>
    <cellStyle name="Normal 2 2 6 3 2 3" xfId="10212"/>
    <cellStyle name="Normal 2 2 6 3 3" xfId="8097"/>
    <cellStyle name="Normal 2 2 6 3 3 2" xfId="10994"/>
    <cellStyle name="Normal 2 2 6 3 4" xfId="9554"/>
    <cellStyle name="Normal 2 2 6 3 5" xfId="6602"/>
    <cellStyle name="Normal 2 2 6 4" xfId="1146"/>
    <cellStyle name="Normal 2 2 6 4 2" xfId="7045"/>
    <cellStyle name="Normal 2 2 6 4 2 2" xfId="8522"/>
    <cellStyle name="Normal 2 2 6 4 2 2 2" xfId="11419"/>
    <cellStyle name="Normal 2 2 6 4 2 3" xfId="9979"/>
    <cellStyle name="Normal 2 2 6 4 3" xfId="7863"/>
    <cellStyle name="Normal 2 2 6 4 3 2" xfId="10761"/>
    <cellStyle name="Normal 2 2 6 4 4" xfId="9321"/>
    <cellStyle name="Normal 2 2 6 4 5" xfId="6366"/>
    <cellStyle name="Normal 2 2 6 5" xfId="3324"/>
    <cellStyle name="Normal 2 2 6 5 2" xfId="8407"/>
    <cellStyle name="Normal 2 2 6 5 2 2" xfId="11304"/>
    <cellStyle name="Normal 2 2 6 5 3" xfId="9864"/>
    <cellStyle name="Normal 2 2 6 5 4" xfId="6930"/>
    <cellStyle name="Normal 2 2 6 6" xfId="7747"/>
    <cellStyle name="Normal 2 2 6 6 2" xfId="10646"/>
    <cellStyle name="Normal 2 2 6 7" xfId="9206"/>
    <cellStyle name="Normal 2 2 6 8" xfId="6231"/>
    <cellStyle name="Normal 2 2 7" xfId="1147"/>
    <cellStyle name="Normal 2 2 7 2" xfId="1148"/>
    <cellStyle name="Normal 2 2 7 2 2" xfId="7332"/>
    <cellStyle name="Normal 2 2 7 2 2 2" xfId="8809"/>
    <cellStyle name="Normal 2 2 7 2 2 2 2" xfId="11706"/>
    <cellStyle name="Normal 2 2 7 2 2 3" xfId="10266"/>
    <cellStyle name="Normal 2 2 7 2 3" xfId="8151"/>
    <cellStyle name="Normal 2 2 7 2 3 2" xfId="11048"/>
    <cellStyle name="Normal 2 2 7 2 4" xfId="9608"/>
    <cellStyle name="Normal 2 2 7 2 5" xfId="6656"/>
    <cellStyle name="Normal 2 2 7 3" xfId="7099"/>
    <cellStyle name="Normal 2 2 7 3 2" xfId="8576"/>
    <cellStyle name="Normal 2 2 7 3 2 2" xfId="11473"/>
    <cellStyle name="Normal 2 2 7 3 3" xfId="10033"/>
    <cellStyle name="Normal 2 2 7 4" xfId="7918"/>
    <cellStyle name="Normal 2 2 7 4 2" xfId="10815"/>
    <cellStyle name="Normal 2 2 7 5" xfId="9375"/>
    <cellStyle name="Normal 2 2 7 6" xfId="6423"/>
    <cellStyle name="Normal 2 2 8" xfId="1149"/>
    <cellStyle name="Normal 2 2 8 2" xfId="7216"/>
    <cellStyle name="Normal 2 2 8 2 2" xfId="8693"/>
    <cellStyle name="Normal 2 2 8 2 2 2" xfId="11590"/>
    <cellStyle name="Normal 2 2 8 2 3" xfId="10150"/>
    <cellStyle name="Normal 2 2 8 3" xfId="8035"/>
    <cellStyle name="Normal 2 2 8 3 2" xfId="10932"/>
    <cellStyle name="Normal 2 2 8 4" xfId="9492"/>
    <cellStyle name="Normal 2 2 8 5" xfId="6540"/>
    <cellStyle name="Normal 2 2 9" xfId="1150"/>
    <cellStyle name="Normal 2 2 9 2" xfId="6983"/>
    <cellStyle name="Normal 2 2 9 2 2" xfId="8460"/>
    <cellStyle name="Normal 2 2 9 2 2 2" xfId="11357"/>
    <cellStyle name="Normal 2 2 9 2 3" xfId="9917"/>
    <cellStyle name="Normal 2 2 9 3" xfId="7801"/>
    <cellStyle name="Normal 2 2 9 3 2" xfId="10699"/>
    <cellStyle name="Normal 2 2 9 4" xfId="9259"/>
    <cellStyle name="Normal 2 2 9 5" xfId="6303"/>
    <cellStyle name="Normal 2 20" xfId="3325"/>
    <cellStyle name="Normal 2 20 2" xfId="3326"/>
    <cellStyle name="Normal 2 21" xfId="3327"/>
    <cellStyle name="Normal 2 21 2" xfId="3328"/>
    <cellStyle name="Normal 2 22" xfId="3329"/>
    <cellStyle name="Normal 2 22 2" xfId="3330"/>
    <cellStyle name="Normal 2 23" xfId="3331"/>
    <cellStyle name="Normal 2 23 2" xfId="3332"/>
    <cellStyle name="Normal 2 24" xfId="3333"/>
    <cellStyle name="Normal 2 24 2" xfId="3334"/>
    <cellStyle name="Normal 2 24 2 2" xfId="3335"/>
    <cellStyle name="Normal 2 24 3" xfId="3336"/>
    <cellStyle name="Normal 2 24 4" xfId="3337"/>
    <cellStyle name="Normal 2 25" xfId="3338"/>
    <cellStyle name="Normal 2 25 2" xfId="3339"/>
    <cellStyle name="Normal 2 26" xfId="3340"/>
    <cellStyle name="Normal 2 26 2" xfId="3341"/>
    <cellStyle name="Normal 2 27" xfId="3342"/>
    <cellStyle name="Normal 2 27 2" xfId="3343"/>
    <cellStyle name="Normal 2 28" xfId="3344"/>
    <cellStyle name="Normal 2 28 2" xfId="3345"/>
    <cellStyle name="Normal 2 29" xfId="3346"/>
    <cellStyle name="Normal 2 29 2" xfId="3347"/>
    <cellStyle name="Normal 2 3" xfId="1151"/>
    <cellStyle name="Normal 2 3 2" xfId="3349"/>
    <cellStyle name="Normal 2 3 3" xfId="3350"/>
    <cellStyle name="Normal 2 3 4" xfId="3348"/>
    <cellStyle name="Normal 2 3 5" xfId="6097"/>
    <cellStyle name="Normal 2 30" xfId="3351"/>
    <cellStyle name="Normal 2 30 2" xfId="3352"/>
    <cellStyle name="Normal 2 31" xfId="3353"/>
    <cellStyle name="Normal 2 31 2" xfId="3354"/>
    <cellStyle name="Normal 2 32" xfId="3355"/>
    <cellStyle name="Normal 2 33" xfId="3356"/>
    <cellStyle name="Normal 2 34" xfId="3357"/>
    <cellStyle name="Normal 2 35" xfId="3358"/>
    <cellStyle name="Normal 2 36" xfId="3359"/>
    <cellStyle name="Normal 2 37" xfId="3360"/>
    <cellStyle name="Normal 2 38" xfId="3361"/>
    <cellStyle name="Normal 2 39" xfId="3362"/>
    <cellStyle name="Normal 2 4" xfId="1152"/>
    <cellStyle name="Normal 2 4 2" xfId="3363"/>
    <cellStyle name="Normal 2 4 3" xfId="3364"/>
    <cellStyle name="Normal 2 4 4" xfId="3365"/>
    <cellStyle name="Normal 2 40" xfId="3366"/>
    <cellStyle name="Normal 2 41" xfId="3367"/>
    <cellStyle name="Normal 2 42" xfId="3368"/>
    <cellStyle name="Normal 2 43" xfId="3369"/>
    <cellStyle name="Normal 2 44" xfId="3370"/>
    <cellStyle name="Normal 2 45" xfId="3371"/>
    <cellStyle name="Normal 2 46" xfId="3372"/>
    <cellStyle name="Normal 2 47" xfId="3373"/>
    <cellStyle name="Normal 2 48" xfId="3289"/>
    <cellStyle name="Normal 2 49" xfId="6001"/>
    <cellStyle name="Normal 2 5" xfId="3374"/>
    <cellStyle name="Normal 2 5 2" xfId="3375"/>
    <cellStyle name="Normal 2 5 3" xfId="3376"/>
    <cellStyle name="Normal 2 5 4" xfId="6060"/>
    <cellStyle name="Normal 2 50" xfId="6004"/>
    <cellStyle name="Normal 2 6" xfId="3377"/>
    <cellStyle name="Normal 2 6 2" xfId="3378"/>
    <cellStyle name="Normal 2 7" xfId="3379"/>
    <cellStyle name="Normal 2 7 2" xfId="3380"/>
    <cellStyle name="Normal 2 8" xfId="3381"/>
    <cellStyle name="Normal 2 8 2" xfId="3382"/>
    <cellStyle name="Normal 2 9" xfId="3383"/>
    <cellStyle name="Normal 2 9 2" xfId="3384"/>
    <cellStyle name="Normal 20" xfId="16"/>
    <cellStyle name="Normal 20 2" xfId="3385"/>
    <cellStyle name="Normal 20 3" xfId="6061"/>
    <cellStyle name="Normal 21" xfId="1153"/>
    <cellStyle name="Normal 21 2" xfId="3386"/>
    <cellStyle name="Normal 22" xfId="1154"/>
    <cellStyle name="Normal 22 2" xfId="1155"/>
    <cellStyle name="Normal 22 2 2" xfId="6101"/>
    <cellStyle name="Normal 22 3" xfId="1156"/>
    <cellStyle name="Normal 22 3 2" xfId="1157"/>
    <cellStyle name="Normal 22 3 2 2" xfId="7413"/>
    <cellStyle name="Normal 22 3 2 2 2" xfId="8890"/>
    <cellStyle name="Normal 22 3 2 2 2 2" xfId="11787"/>
    <cellStyle name="Normal 22 3 2 2 3" xfId="10347"/>
    <cellStyle name="Normal 22 3 2 3" xfId="8232"/>
    <cellStyle name="Normal 22 3 2 3 2" xfId="11129"/>
    <cellStyle name="Normal 22 3 2 4" xfId="9689"/>
    <cellStyle name="Normal 22 3 2 5" xfId="6737"/>
    <cellStyle name="Normal 22 3 3" xfId="1158"/>
    <cellStyle name="Normal 22 3 3 2" xfId="7180"/>
    <cellStyle name="Normal 22 3 3 2 2" xfId="8657"/>
    <cellStyle name="Normal 22 3 3 2 2 2" xfId="11554"/>
    <cellStyle name="Normal 22 3 3 2 3" xfId="10114"/>
    <cellStyle name="Normal 22 3 3 3" xfId="7999"/>
    <cellStyle name="Normal 22 3 3 3 2" xfId="10896"/>
    <cellStyle name="Normal 22 3 3 4" xfId="9456"/>
    <cellStyle name="Normal 22 3 3 5" xfId="6504"/>
    <cellStyle name="Normal 22 3 4" xfId="6892"/>
    <cellStyle name="Normal 22 3 4 2" xfId="8370"/>
    <cellStyle name="Normal 22 3 4 2 2" xfId="11267"/>
    <cellStyle name="Normal 22 3 4 3" xfId="9827"/>
    <cellStyle name="Normal 22 3 5" xfId="7709"/>
    <cellStyle name="Normal 22 3 5 2" xfId="10609"/>
    <cellStyle name="Normal 22 3 6" xfId="9169"/>
    <cellStyle name="Normal 22 3 7" xfId="6187"/>
    <cellStyle name="Normal 22 4" xfId="1159"/>
    <cellStyle name="Normal 22 4 2" xfId="1160"/>
    <cellStyle name="Normal 22 4 2 2" xfId="7297"/>
    <cellStyle name="Normal 22 4 2 2 2" xfId="8774"/>
    <cellStyle name="Normal 22 4 2 2 2 2" xfId="11671"/>
    <cellStyle name="Normal 22 4 2 2 3" xfId="10231"/>
    <cellStyle name="Normal 22 4 2 3" xfId="8116"/>
    <cellStyle name="Normal 22 4 2 3 2" xfId="11013"/>
    <cellStyle name="Normal 22 4 2 4" xfId="9573"/>
    <cellStyle name="Normal 22 4 2 5" xfId="6621"/>
    <cellStyle name="Normal 22 4 3" xfId="6949"/>
    <cellStyle name="Normal 22 4 3 2" xfId="8426"/>
    <cellStyle name="Normal 22 4 3 2 2" xfId="11323"/>
    <cellStyle name="Normal 22 4 3 3" xfId="9883"/>
    <cellStyle name="Normal 22 4 4" xfId="7766"/>
    <cellStyle name="Normal 22 4 4 2" xfId="10665"/>
    <cellStyle name="Normal 22 4 5" xfId="9225"/>
    <cellStyle name="Normal 22 4 6" xfId="6250"/>
    <cellStyle name="Normal 22 5" xfId="1161"/>
    <cellStyle name="Normal 22 5 2" xfId="7064"/>
    <cellStyle name="Normal 22 5 2 2" xfId="8541"/>
    <cellStyle name="Normal 22 5 2 2 2" xfId="11438"/>
    <cellStyle name="Normal 22 5 2 3" xfId="9998"/>
    <cellStyle name="Normal 22 5 3" xfId="7882"/>
    <cellStyle name="Normal 22 5 3 2" xfId="10780"/>
    <cellStyle name="Normal 22 5 4" xfId="9340"/>
    <cellStyle name="Normal 22 5 5" xfId="6385"/>
    <cellStyle name="Normal 22 6" xfId="3387"/>
    <cellStyle name="Normal 22 6 2" xfId="8289"/>
    <cellStyle name="Normal 22 6 2 2" xfId="11186"/>
    <cellStyle name="Normal 22 6 3" xfId="9746"/>
    <cellStyle name="Normal 22 6 4" xfId="6808"/>
    <cellStyle name="Normal 22 7" xfId="7628"/>
    <cellStyle name="Normal 22 7 2" xfId="10528"/>
    <cellStyle name="Normal 22 8" xfId="9088"/>
    <cellStyle name="Normal 22 9" xfId="6093"/>
    <cellStyle name="Normal 23" xfId="1162"/>
    <cellStyle name="Normal 23 2" xfId="1163"/>
    <cellStyle name="Normal 23 2 2" xfId="1164"/>
    <cellStyle name="Normal 23 2 2 2" xfId="7414"/>
    <cellStyle name="Normal 23 2 2 2 2" xfId="8891"/>
    <cellStyle name="Normal 23 2 2 2 2 2" xfId="11788"/>
    <cellStyle name="Normal 23 2 2 2 3" xfId="10348"/>
    <cellStyle name="Normal 23 2 2 3" xfId="8233"/>
    <cellStyle name="Normal 23 2 2 3 2" xfId="11130"/>
    <cellStyle name="Normal 23 2 2 4" xfId="9690"/>
    <cellStyle name="Normal 23 2 2 5" xfId="6738"/>
    <cellStyle name="Normal 23 2 3" xfId="1165"/>
    <cellStyle name="Normal 23 2 3 2" xfId="7181"/>
    <cellStyle name="Normal 23 2 3 2 2" xfId="8658"/>
    <cellStyle name="Normal 23 2 3 2 2 2" xfId="11555"/>
    <cellStyle name="Normal 23 2 3 2 3" xfId="10115"/>
    <cellStyle name="Normal 23 2 3 3" xfId="8000"/>
    <cellStyle name="Normal 23 2 3 3 2" xfId="10897"/>
    <cellStyle name="Normal 23 2 3 4" xfId="9457"/>
    <cellStyle name="Normal 23 2 3 5" xfId="6505"/>
    <cellStyle name="Normal 23 2 4" xfId="6893"/>
    <cellStyle name="Normal 23 2 4 2" xfId="8371"/>
    <cellStyle name="Normal 23 2 4 2 2" xfId="11268"/>
    <cellStyle name="Normal 23 2 4 3" xfId="9828"/>
    <cellStyle name="Normal 23 2 5" xfId="7710"/>
    <cellStyle name="Normal 23 2 5 2" xfId="10610"/>
    <cellStyle name="Normal 23 2 6" xfId="9170"/>
    <cellStyle name="Normal 23 2 7" xfId="6189"/>
    <cellStyle name="Normal 23 3" xfId="1166"/>
    <cellStyle name="Normal 23 3 2" xfId="1167"/>
    <cellStyle name="Normal 23 3 2 2" xfId="7298"/>
    <cellStyle name="Normal 23 3 2 2 2" xfId="8775"/>
    <cellStyle name="Normal 23 3 2 2 2 2" xfId="11672"/>
    <cellStyle name="Normal 23 3 2 2 3" xfId="10232"/>
    <cellStyle name="Normal 23 3 2 3" xfId="8117"/>
    <cellStyle name="Normal 23 3 2 3 2" xfId="11014"/>
    <cellStyle name="Normal 23 3 2 4" xfId="9574"/>
    <cellStyle name="Normal 23 3 2 5" xfId="6622"/>
    <cellStyle name="Normal 23 3 3" xfId="6950"/>
    <cellStyle name="Normal 23 3 3 2" xfId="8427"/>
    <cellStyle name="Normal 23 3 3 2 2" xfId="11324"/>
    <cellStyle name="Normal 23 3 3 3" xfId="9884"/>
    <cellStyle name="Normal 23 3 4" xfId="7767"/>
    <cellStyle name="Normal 23 3 4 2" xfId="10666"/>
    <cellStyle name="Normal 23 3 5" xfId="9226"/>
    <cellStyle name="Normal 23 3 6" xfId="6251"/>
    <cellStyle name="Normal 23 4" xfId="1168"/>
    <cellStyle name="Normal 23 4 2" xfId="7065"/>
    <cellStyle name="Normal 23 4 2 2" xfId="8542"/>
    <cellStyle name="Normal 23 4 2 2 2" xfId="11439"/>
    <cellStyle name="Normal 23 4 2 3" xfId="9999"/>
    <cellStyle name="Normal 23 4 3" xfId="7883"/>
    <cellStyle name="Normal 23 4 3 2" xfId="10781"/>
    <cellStyle name="Normal 23 4 4" xfId="9341"/>
    <cellStyle name="Normal 23 4 5" xfId="6386"/>
    <cellStyle name="Normal 23 5" xfId="3388"/>
    <cellStyle name="Normal 23 5 2" xfId="8290"/>
    <cellStyle name="Normal 23 5 2 2" xfId="11187"/>
    <cellStyle name="Normal 23 5 3" xfId="9747"/>
    <cellStyle name="Normal 23 5 4" xfId="6809"/>
    <cellStyle name="Normal 23 6" xfId="7629"/>
    <cellStyle name="Normal 23 6 2" xfId="10529"/>
    <cellStyle name="Normal 23 7" xfId="9089"/>
    <cellStyle name="Normal 23 8" xfId="6098"/>
    <cellStyle name="Normal 24" xfId="1169"/>
    <cellStyle name="Normal 24 2" xfId="1170"/>
    <cellStyle name="Normal 24 2 2" xfId="6417"/>
    <cellStyle name="Normal 24 3" xfId="3389"/>
    <cellStyle name="Normal 25" xfId="1171"/>
    <cellStyle name="Normal 25 10" xfId="3391"/>
    <cellStyle name="Normal 25 100" xfId="3392"/>
    <cellStyle name="Normal 25 101" xfId="3393"/>
    <cellStyle name="Normal 25 102" xfId="3394"/>
    <cellStyle name="Normal 25 103" xfId="3395"/>
    <cellStyle name="Normal 25 104" xfId="3396"/>
    <cellStyle name="Normal 25 105" xfId="3397"/>
    <cellStyle name="Normal 25 106" xfId="3398"/>
    <cellStyle name="Normal 25 107" xfId="3399"/>
    <cellStyle name="Normal 25 108" xfId="3400"/>
    <cellStyle name="Normal 25 109" xfId="3401"/>
    <cellStyle name="Normal 25 11" xfId="3402"/>
    <cellStyle name="Normal 25 110" xfId="3390"/>
    <cellStyle name="Normal 25 12" xfId="3403"/>
    <cellStyle name="Normal 25 13" xfId="3404"/>
    <cellStyle name="Normal 25 14" xfId="3405"/>
    <cellStyle name="Normal 25 15" xfId="3406"/>
    <cellStyle name="Normal 25 16" xfId="3407"/>
    <cellStyle name="Normal 25 17" xfId="3408"/>
    <cellStyle name="Normal 25 18" xfId="3409"/>
    <cellStyle name="Normal 25 19" xfId="3410"/>
    <cellStyle name="Normal 25 2" xfId="1172"/>
    <cellStyle name="Normal 25 2 2" xfId="3411"/>
    <cellStyle name="Normal 25 2 2 2" xfId="8806"/>
    <cellStyle name="Normal 25 2 2 2 2" xfId="11703"/>
    <cellStyle name="Normal 25 2 2 3" xfId="10263"/>
    <cellStyle name="Normal 25 2 2 4" xfId="7329"/>
    <cellStyle name="Normal 25 2 3" xfId="8148"/>
    <cellStyle name="Normal 25 2 3 2" xfId="11045"/>
    <cellStyle name="Normal 25 2 4" xfId="9605"/>
    <cellStyle name="Normal 25 2 5" xfId="6653"/>
    <cellStyle name="Normal 25 20" xfId="3412"/>
    <cellStyle name="Normal 25 21" xfId="3413"/>
    <cellStyle name="Normal 25 22" xfId="3414"/>
    <cellStyle name="Normal 25 23" xfId="3415"/>
    <cellStyle name="Normal 25 24" xfId="3416"/>
    <cellStyle name="Normal 25 25" xfId="3417"/>
    <cellStyle name="Normal 25 26" xfId="3418"/>
    <cellStyle name="Normal 25 27" xfId="3419"/>
    <cellStyle name="Normal 25 28" xfId="3420"/>
    <cellStyle name="Normal 25 29" xfId="3421"/>
    <cellStyle name="Normal 25 3" xfId="1173"/>
    <cellStyle name="Normal 25 3 2" xfId="3422"/>
    <cellStyle name="Normal 25 3 2 2" xfId="8572"/>
    <cellStyle name="Normal 25 3 2 2 2" xfId="11469"/>
    <cellStyle name="Normal 25 3 2 3" xfId="10029"/>
    <cellStyle name="Normal 25 3 2 4" xfId="7095"/>
    <cellStyle name="Normal 25 3 3" xfId="7913"/>
    <cellStyle name="Normal 25 3 3 2" xfId="10811"/>
    <cellStyle name="Normal 25 3 4" xfId="9371"/>
    <cellStyle name="Normal 25 3 5" xfId="6416"/>
    <cellStyle name="Normal 25 30" xfId="3423"/>
    <cellStyle name="Normal 25 31" xfId="3424"/>
    <cellStyle name="Normal 25 32" xfId="3425"/>
    <cellStyle name="Normal 25 33" xfId="3426"/>
    <cellStyle name="Normal 25 34" xfId="3427"/>
    <cellStyle name="Normal 25 35" xfId="3428"/>
    <cellStyle name="Normal 25 36" xfId="3429"/>
    <cellStyle name="Normal 25 37" xfId="3430"/>
    <cellStyle name="Normal 25 38" xfId="3431"/>
    <cellStyle name="Normal 25 39" xfId="3432"/>
    <cellStyle name="Normal 25 4" xfId="3433"/>
    <cellStyle name="Normal 25 40" xfId="3434"/>
    <cellStyle name="Normal 25 41" xfId="3435"/>
    <cellStyle name="Normal 25 42" xfId="3436"/>
    <cellStyle name="Normal 25 43" xfId="3437"/>
    <cellStyle name="Normal 25 44" xfId="3438"/>
    <cellStyle name="Normal 25 45" xfId="3439"/>
    <cellStyle name="Normal 25 46" xfId="3440"/>
    <cellStyle name="Normal 25 47" xfId="3441"/>
    <cellStyle name="Normal 25 48" xfId="3442"/>
    <cellStyle name="Normal 25 49" xfId="3443"/>
    <cellStyle name="Normal 25 5" xfId="3444"/>
    <cellStyle name="Normal 25 50" xfId="3445"/>
    <cellStyle name="Normal 25 51" xfId="3446"/>
    <cellStyle name="Normal 25 52" xfId="3447"/>
    <cellStyle name="Normal 25 53" xfId="3448"/>
    <cellStyle name="Normal 25 54" xfId="3449"/>
    <cellStyle name="Normal 25 55" xfId="3450"/>
    <cellStyle name="Normal 25 56" xfId="3451"/>
    <cellStyle name="Normal 25 57" xfId="3452"/>
    <cellStyle name="Normal 25 58" xfId="3453"/>
    <cellStyle name="Normal 25 59" xfId="3454"/>
    <cellStyle name="Normal 25 6" xfId="3455"/>
    <cellStyle name="Normal 25 60" xfId="3456"/>
    <cellStyle name="Normal 25 61" xfId="3457"/>
    <cellStyle name="Normal 25 62" xfId="3458"/>
    <cellStyle name="Normal 25 63" xfId="3459"/>
    <cellStyle name="Normal 25 64" xfId="3460"/>
    <cellStyle name="Normal 25 65" xfId="3461"/>
    <cellStyle name="Normal 25 66" xfId="3462"/>
    <cellStyle name="Normal 25 67" xfId="3463"/>
    <cellStyle name="Normal 25 68" xfId="3464"/>
    <cellStyle name="Normal 25 69" xfId="3465"/>
    <cellStyle name="Normal 25 7" xfId="3466"/>
    <cellStyle name="Normal 25 70" xfId="3467"/>
    <cellStyle name="Normal 25 71" xfId="3468"/>
    <cellStyle name="Normal 25 72" xfId="3469"/>
    <cellStyle name="Normal 25 73" xfId="3470"/>
    <cellStyle name="Normal 25 74" xfId="3471"/>
    <cellStyle name="Normal 25 75" xfId="3472"/>
    <cellStyle name="Normal 25 76" xfId="3473"/>
    <cellStyle name="Normal 25 77" xfId="3474"/>
    <cellStyle name="Normal 25 78" xfId="3475"/>
    <cellStyle name="Normal 25 79" xfId="3476"/>
    <cellStyle name="Normal 25 8" xfId="3477"/>
    <cellStyle name="Normal 25 80" xfId="3478"/>
    <cellStyle name="Normal 25 81" xfId="3479"/>
    <cellStyle name="Normal 25 82" xfId="3480"/>
    <cellStyle name="Normal 25 83" xfId="3481"/>
    <cellStyle name="Normal 25 84" xfId="3482"/>
    <cellStyle name="Normal 25 85" xfId="3483"/>
    <cellStyle name="Normal 25 86" xfId="3484"/>
    <cellStyle name="Normal 25 87" xfId="3485"/>
    <cellStyle name="Normal 25 88" xfId="3486"/>
    <cellStyle name="Normal 25 89" xfId="3487"/>
    <cellStyle name="Normal 25 9" xfId="3488"/>
    <cellStyle name="Normal 25 90" xfId="3489"/>
    <cellStyle name="Normal 25 91" xfId="3490"/>
    <cellStyle name="Normal 25 92" xfId="3491"/>
    <cellStyle name="Normal 25 93" xfId="3492"/>
    <cellStyle name="Normal 25 94" xfId="3493"/>
    <cellStyle name="Normal 25 95" xfId="3494"/>
    <cellStyle name="Normal 25 96" xfId="3495"/>
    <cellStyle name="Normal 25 97" xfId="3496"/>
    <cellStyle name="Normal 25 98" xfId="3497"/>
    <cellStyle name="Normal 25 99" xfId="3498"/>
    <cellStyle name="Normal 26" xfId="1174"/>
    <cellStyle name="Normal 26 10" xfId="3500"/>
    <cellStyle name="Normal 26 100" xfId="3501"/>
    <cellStyle name="Normal 26 101" xfId="3502"/>
    <cellStyle name="Normal 26 102" xfId="3503"/>
    <cellStyle name="Normal 26 103" xfId="3504"/>
    <cellStyle name="Normal 26 104" xfId="3505"/>
    <cellStyle name="Normal 26 105" xfId="3506"/>
    <cellStyle name="Normal 26 106" xfId="3507"/>
    <cellStyle name="Normal 26 107" xfId="3508"/>
    <cellStyle name="Normal 26 108" xfId="3509"/>
    <cellStyle name="Normal 26 109" xfId="3510"/>
    <cellStyle name="Normal 26 11" xfId="3511"/>
    <cellStyle name="Normal 26 110" xfId="3499"/>
    <cellStyle name="Normal 26 12" xfId="3512"/>
    <cellStyle name="Normal 26 13" xfId="3513"/>
    <cellStyle name="Normal 26 14" xfId="3514"/>
    <cellStyle name="Normal 26 15" xfId="3515"/>
    <cellStyle name="Normal 26 16" xfId="3516"/>
    <cellStyle name="Normal 26 17" xfId="3517"/>
    <cellStyle name="Normal 26 18" xfId="3518"/>
    <cellStyle name="Normal 26 19" xfId="3519"/>
    <cellStyle name="Normal 26 2" xfId="1175"/>
    <cellStyle name="Normal 26 2 2" xfId="3520"/>
    <cellStyle name="Normal 26 2 2 2" xfId="8688"/>
    <cellStyle name="Normal 26 2 2 2 2" xfId="11585"/>
    <cellStyle name="Normal 26 2 2 3" xfId="10145"/>
    <cellStyle name="Normal 26 2 2 4" xfId="7211"/>
    <cellStyle name="Normal 26 2 3" xfId="8030"/>
    <cellStyle name="Normal 26 2 3 2" xfId="10927"/>
    <cellStyle name="Normal 26 2 4" xfId="9487"/>
    <cellStyle name="Normal 26 2 5" xfId="6535"/>
    <cellStyle name="Normal 26 20" xfId="3521"/>
    <cellStyle name="Normal 26 21" xfId="3522"/>
    <cellStyle name="Normal 26 22" xfId="3523"/>
    <cellStyle name="Normal 26 23" xfId="3524"/>
    <cellStyle name="Normal 26 24" xfId="3525"/>
    <cellStyle name="Normal 26 25" xfId="3526"/>
    <cellStyle name="Normal 26 26" xfId="3527"/>
    <cellStyle name="Normal 26 27" xfId="3528"/>
    <cellStyle name="Normal 26 28" xfId="3529"/>
    <cellStyle name="Normal 26 29" xfId="3530"/>
    <cellStyle name="Normal 26 3" xfId="3531"/>
    <cellStyle name="Normal 26 30" xfId="3532"/>
    <cellStyle name="Normal 26 31" xfId="3533"/>
    <cellStyle name="Normal 26 32" xfId="3534"/>
    <cellStyle name="Normal 26 33" xfId="3535"/>
    <cellStyle name="Normal 26 34" xfId="3536"/>
    <cellStyle name="Normal 26 35" xfId="3537"/>
    <cellStyle name="Normal 26 36" xfId="3538"/>
    <cellStyle name="Normal 26 37" xfId="3539"/>
    <cellStyle name="Normal 26 38" xfId="3540"/>
    <cellStyle name="Normal 26 39" xfId="3541"/>
    <cellStyle name="Normal 26 4" xfId="3542"/>
    <cellStyle name="Normal 26 40" xfId="3543"/>
    <cellStyle name="Normal 26 41" xfId="3544"/>
    <cellStyle name="Normal 26 42" xfId="3545"/>
    <cellStyle name="Normal 26 43" xfId="3546"/>
    <cellStyle name="Normal 26 44" xfId="3547"/>
    <cellStyle name="Normal 26 45" xfId="3548"/>
    <cellStyle name="Normal 26 46" xfId="3549"/>
    <cellStyle name="Normal 26 47" xfId="3550"/>
    <cellStyle name="Normal 26 48" xfId="3551"/>
    <cellStyle name="Normal 26 49" xfId="3552"/>
    <cellStyle name="Normal 26 5" xfId="3553"/>
    <cellStyle name="Normal 26 50" xfId="3554"/>
    <cellStyle name="Normal 26 51" xfId="3555"/>
    <cellStyle name="Normal 26 52" xfId="3556"/>
    <cellStyle name="Normal 26 53" xfId="3557"/>
    <cellStyle name="Normal 26 54" xfId="3558"/>
    <cellStyle name="Normal 26 55" xfId="3559"/>
    <cellStyle name="Normal 26 56" xfId="3560"/>
    <cellStyle name="Normal 26 57" xfId="3561"/>
    <cellStyle name="Normal 26 58" xfId="3562"/>
    <cellStyle name="Normal 26 59" xfId="3563"/>
    <cellStyle name="Normal 26 6" xfId="3564"/>
    <cellStyle name="Normal 26 60" xfId="3565"/>
    <cellStyle name="Normal 26 61" xfId="3566"/>
    <cellStyle name="Normal 26 62" xfId="3567"/>
    <cellStyle name="Normal 26 63" xfId="3568"/>
    <cellStyle name="Normal 26 64" xfId="3569"/>
    <cellStyle name="Normal 26 65" xfId="3570"/>
    <cellStyle name="Normal 26 66" xfId="3571"/>
    <cellStyle name="Normal 26 67" xfId="3572"/>
    <cellStyle name="Normal 26 68" xfId="3573"/>
    <cellStyle name="Normal 26 69" xfId="3574"/>
    <cellStyle name="Normal 26 7" xfId="3575"/>
    <cellStyle name="Normal 26 70" xfId="3576"/>
    <cellStyle name="Normal 26 71" xfId="3577"/>
    <cellStyle name="Normal 26 72" xfId="3578"/>
    <cellStyle name="Normal 26 73" xfId="3579"/>
    <cellStyle name="Normal 26 74" xfId="3580"/>
    <cellStyle name="Normal 26 75" xfId="3581"/>
    <cellStyle name="Normal 26 76" xfId="3582"/>
    <cellStyle name="Normal 26 77" xfId="3583"/>
    <cellStyle name="Normal 26 78" xfId="3584"/>
    <cellStyle name="Normal 26 79" xfId="3585"/>
    <cellStyle name="Normal 26 8" xfId="3586"/>
    <cellStyle name="Normal 26 80" xfId="3587"/>
    <cellStyle name="Normal 26 81" xfId="3588"/>
    <cellStyle name="Normal 26 82" xfId="3589"/>
    <cellStyle name="Normal 26 83" xfId="3590"/>
    <cellStyle name="Normal 26 84" xfId="3591"/>
    <cellStyle name="Normal 26 85" xfId="3592"/>
    <cellStyle name="Normal 26 86" xfId="3593"/>
    <cellStyle name="Normal 26 87" xfId="3594"/>
    <cellStyle name="Normal 26 88" xfId="3595"/>
    <cellStyle name="Normal 26 89" xfId="3596"/>
    <cellStyle name="Normal 26 9" xfId="3597"/>
    <cellStyle name="Normal 26 90" xfId="3598"/>
    <cellStyle name="Normal 26 91" xfId="3599"/>
    <cellStyle name="Normal 26 92" xfId="3600"/>
    <cellStyle name="Normal 26 93" xfId="3601"/>
    <cellStyle name="Normal 26 94" xfId="3602"/>
    <cellStyle name="Normal 26 95" xfId="3603"/>
    <cellStyle name="Normal 26 96" xfId="3604"/>
    <cellStyle name="Normal 26 97" xfId="3605"/>
    <cellStyle name="Normal 26 98" xfId="3606"/>
    <cellStyle name="Normal 26 99" xfId="3607"/>
    <cellStyle name="Normal 27" xfId="1176"/>
    <cellStyle name="Normal 27 10" xfId="3609"/>
    <cellStyle name="Normal 27 100" xfId="3610"/>
    <cellStyle name="Normal 27 101" xfId="3611"/>
    <cellStyle name="Normal 27 102" xfId="3612"/>
    <cellStyle name="Normal 27 103" xfId="3613"/>
    <cellStyle name="Normal 27 104" xfId="3614"/>
    <cellStyle name="Normal 27 105" xfId="3615"/>
    <cellStyle name="Normal 27 106" xfId="3616"/>
    <cellStyle name="Normal 27 107" xfId="3617"/>
    <cellStyle name="Normal 27 108" xfId="3618"/>
    <cellStyle name="Normal 27 109" xfId="3619"/>
    <cellStyle name="Normal 27 11" xfId="3620"/>
    <cellStyle name="Normal 27 110" xfId="3608"/>
    <cellStyle name="Normal 27 12" xfId="3621"/>
    <cellStyle name="Normal 27 13" xfId="3622"/>
    <cellStyle name="Normal 27 14" xfId="3623"/>
    <cellStyle name="Normal 27 15" xfId="3624"/>
    <cellStyle name="Normal 27 16" xfId="3625"/>
    <cellStyle name="Normal 27 17" xfId="3626"/>
    <cellStyle name="Normal 27 18" xfId="3627"/>
    <cellStyle name="Normal 27 19" xfId="3628"/>
    <cellStyle name="Normal 27 2" xfId="3629"/>
    <cellStyle name="Normal 27 20" xfId="3630"/>
    <cellStyle name="Normal 27 21" xfId="3631"/>
    <cellStyle name="Normal 27 22" xfId="3632"/>
    <cellStyle name="Normal 27 23" xfId="3633"/>
    <cellStyle name="Normal 27 24" xfId="3634"/>
    <cellStyle name="Normal 27 25" xfId="3635"/>
    <cellStyle name="Normal 27 26" xfId="3636"/>
    <cellStyle name="Normal 27 27" xfId="3637"/>
    <cellStyle name="Normal 27 28" xfId="3638"/>
    <cellStyle name="Normal 27 29" xfId="3639"/>
    <cellStyle name="Normal 27 3" xfId="3640"/>
    <cellStyle name="Normal 27 30" xfId="3641"/>
    <cellStyle name="Normal 27 31" xfId="3642"/>
    <cellStyle name="Normal 27 32" xfId="3643"/>
    <cellStyle name="Normal 27 33" xfId="3644"/>
    <cellStyle name="Normal 27 34" xfId="3645"/>
    <cellStyle name="Normal 27 35" xfId="3646"/>
    <cellStyle name="Normal 27 36" xfId="3647"/>
    <cellStyle name="Normal 27 37" xfId="3648"/>
    <cellStyle name="Normal 27 38" xfId="3649"/>
    <cellStyle name="Normal 27 39" xfId="3650"/>
    <cellStyle name="Normal 27 4" xfId="3651"/>
    <cellStyle name="Normal 27 40" xfId="3652"/>
    <cellStyle name="Normal 27 41" xfId="3653"/>
    <cellStyle name="Normal 27 42" xfId="3654"/>
    <cellStyle name="Normal 27 43" xfId="3655"/>
    <cellStyle name="Normal 27 44" xfId="3656"/>
    <cellStyle name="Normal 27 45" xfId="3657"/>
    <cellStyle name="Normal 27 46" xfId="3658"/>
    <cellStyle name="Normal 27 47" xfId="3659"/>
    <cellStyle name="Normal 27 48" xfId="3660"/>
    <cellStyle name="Normal 27 49" xfId="3661"/>
    <cellStyle name="Normal 27 5" xfId="3662"/>
    <cellStyle name="Normal 27 50" xfId="3663"/>
    <cellStyle name="Normal 27 51" xfId="3664"/>
    <cellStyle name="Normal 27 52" xfId="3665"/>
    <cellStyle name="Normal 27 53" xfId="3666"/>
    <cellStyle name="Normal 27 54" xfId="3667"/>
    <cellStyle name="Normal 27 55" xfId="3668"/>
    <cellStyle name="Normal 27 56" xfId="3669"/>
    <cellStyle name="Normal 27 57" xfId="3670"/>
    <cellStyle name="Normal 27 58" xfId="3671"/>
    <cellStyle name="Normal 27 59" xfId="3672"/>
    <cellStyle name="Normal 27 6" xfId="3673"/>
    <cellStyle name="Normal 27 60" xfId="3674"/>
    <cellStyle name="Normal 27 61" xfId="3675"/>
    <cellStyle name="Normal 27 62" xfId="3676"/>
    <cellStyle name="Normal 27 63" xfId="3677"/>
    <cellStyle name="Normal 27 64" xfId="3678"/>
    <cellStyle name="Normal 27 65" xfId="3679"/>
    <cellStyle name="Normal 27 66" xfId="3680"/>
    <cellStyle name="Normal 27 67" xfId="3681"/>
    <cellStyle name="Normal 27 68" xfId="3682"/>
    <cellStyle name="Normal 27 69" xfId="3683"/>
    <cellStyle name="Normal 27 7" xfId="3684"/>
    <cellStyle name="Normal 27 70" xfId="3685"/>
    <cellStyle name="Normal 27 71" xfId="3686"/>
    <cellStyle name="Normal 27 72" xfId="3687"/>
    <cellStyle name="Normal 27 73" xfId="3688"/>
    <cellStyle name="Normal 27 74" xfId="3689"/>
    <cellStyle name="Normal 27 75" xfId="3690"/>
    <cellStyle name="Normal 27 76" xfId="3691"/>
    <cellStyle name="Normal 27 77" xfId="3692"/>
    <cellStyle name="Normal 27 78" xfId="3693"/>
    <cellStyle name="Normal 27 79" xfId="3694"/>
    <cellStyle name="Normal 27 8" xfId="3695"/>
    <cellStyle name="Normal 27 80" xfId="3696"/>
    <cellStyle name="Normal 27 81" xfId="3697"/>
    <cellStyle name="Normal 27 82" xfId="3698"/>
    <cellStyle name="Normal 27 83" xfId="3699"/>
    <cellStyle name="Normal 27 84" xfId="3700"/>
    <cellStyle name="Normal 27 85" xfId="3701"/>
    <cellStyle name="Normal 27 86" xfId="3702"/>
    <cellStyle name="Normal 27 87" xfId="3703"/>
    <cellStyle name="Normal 27 88" xfId="3704"/>
    <cellStyle name="Normal 27 89" xfId="3705"/>
    <cellStyle name="Normal 27 9" xfId="3706"/>
    <cellStyle name="Normal 27 90" xfId="3707"/>
    <cellStyle name="Normal 27 91" xfId="3708"/>
    <cellStyle name="Normal 27 92" xfId="3709"/>
    <cellStyle name="Normal 27 93" xfId="3710"/>
    <cellStyle name="Normal 27 94" xfId="3711"/>
    <cellStyle name="Normal 27 95" xfId="3712"/>
    <cellStyle name="Normal 27 96" xfId="3713"/>
    <cellStyle name="Normal 27 97" xfId="3714"/>
    <cellStyle name="Normal 27 98" xfId="3715"/>
    <cellStyle name="Normal 27 99" xfId="3716"/>
    <cellStyle name="Normal 28" xfId="18"/>
    <cellStyle name="Normal 28 10" xfId="3718"/>
    <cellStyle name="Normal 28 100" xfId="3719"/>
    <cellStyle name="Normal 28 101" xfId="3720"/>
    <cellStyle name="Normal 28 102" xfId="3721"/>
    <cellStyle name="Normal 28 103" xfId="3722"/>
    <cellStyle name="Normal 28 104" xfId="3723"/>
    <cellStyle name="Normal 28 105" xfId="3724"/>
    <cellStyle name="Normal 28 106" xfId="3725"/>
    <cellStyle name="Normal 28 107" xfId="3726"/>
    <cellStyle name="Normal 28 108" xfId="3727"/>
    <cellStyle name="Normal 28 109" xfId="3728"/>
    <cellStyle name="Normal 28 11" xfId="3729"/>
    <cellStyle name="Normal 28 110" xfId="3717"/>
    <cellStyle name="Normal 28 111" xfId="6222"/>
    <cellStyle name="Normal 28 12" xfId="3730"/>
    <cellStyle name="Normal 28 13" xfId="3731"/>
    <cellStyle name="Normal 28 14" xfId="3732"/>
    <cellStyle name="Normal 28 15" xfId="3733"/>
    <cellStyle name="Normal 28 16" xfId="3734"/>
    <cellStyle name="Normal 28 17" xfId="3735"/>
    <cellStyle name="Normal 28 18" xfId="3736"/>
    <cellStyle name="Normal 28 19" xfId="3737"/>
    <cellStyle name="Normal 28 2" xfId="3738"/>
    <cellStyle name="Normal 28 20" xfId="3739"/>
    <cellStyle name="Normal 28 21" xfId="3740"/>
    <cellStyle name="Normal 28 22" xfId="3741"/>
    <cellStyle name="Normal 28 23" xfId="3742"/>
    <cellStyle name="Normal 28 24" xfId="3743"/>
    <cellStyle name="Normal 28 25" xfId="3744"/>
    <cellStyle name="Normal 28 26" xfId="3745"/>
    <cellStyle name="Normal 28 27" xfId="3746"/>
    <cellStyle name="Normal 28 28" xfId="3747"/>
    <cellStyle name="Normal 28 29" xfId="3748"/>
    <cellStyle name="Normal 28 3" xfId="3749"/>
    <cellStyle name="Normal 28 30" xfId="3750"/>
    <cellStyle name="Normal 28 31" xfId="3751"/>
    <cellStyle name="Normal 28 32" xfId="3752"/>
    <cellStyle name="Normal 28 33" xfId="3753"/>
    <cellStyle name="Normal 28 34" xfId="3754"/>
    <cellStyle name="Normal 28 35" xfId="3755"/>
    <cellStyle name="Normal 28 36" xfId="3756"/>
    <cellStyle name="Normal 28 37" xfId="3757"/>
    <cellStyle name="Normal 28 38" xfId="3758"/>
    <cellStyle name="Normal 28 39" xfId="3759"/>
    <cellStyle name="Normal 28 4" xfId="3760"/>
    <cellStyle name="Normal 28 40" xfId="3761"/>
    <cellStyle name="Normal 28 41" xfId="3762"/>
    <cellStyle name="Normal 28 42" xfId="3763"/>
    <cellStyle name="Normal 28 43" xfId="3764"/>
    <cellStyle name="Normal 28 44" xfId="3765"/>
    <cellStyle name="Normal 28 45" xfId="3766"/>
    <cellStyle name="Normal 28 46" xfId="3767"/>
    <cellStyle name="Normal 28 47" xfId="3768"/>
    <cellStyle name="Normal 28 48" xfId="3769"/>
    <cellStyle name="Normal 28 49" xfId="3770"/>
    <cellStyle name="Normal 28 5" xfId="3771"/>
    <cellStyle name="Normal 28 50" xfId="3772"/>
    <cellStyle name="Normal 28 51" xfId="3773"/>
    <cellStyle name="Normal 28 52" xfId="3774"/>
    <cellStyle name="Normal 28 53" xfId="3775"/>
    <cellStyle name="Normal 28 54" xfId="3776"/>
    <cellStyle name="Normal 28 55" xfId="3777"/>
    <cellStyle name="Normal 28 56" xfId="3778"/>
    <cellStyle name="Normal 28 57" xfId="3779"/>
    <cellStyle name="Normal 28 58" xfId="3780"/>
    <cellStyle name="Normal 28 59" xfId="3781"/>
    <cellStyle name="Normal 28 6" xfId="3782"/>
    <cellStyle name="Normal 28 60" xfId="3783"/>
    <cellStyle name="Normal 28 61" xfId="3784"/>
    <cellStyle name="Normal 28 62" xfId="3785"/>
    <cellStyle name="Normal 28 63" xfId="3786"/>
    <cellStyle name="Normal 28 64" xfId="3787"/>
    <cellStyle name="Normal 28 65" xfId="3788"/>
    <cellStyle name="Normal 28 66" xfId="3789"/>
    <cellStyle name="Normal 28 67" xfId="3790"/>
    <cellStyle name="Normal 28 68" xfId="3791"/>
    <cellStyle name="Normal 28 69" xfId="3792"/>
    <cellStyle name="Normal 28 7" xfId="3793"/>
    <cellStyle name="Normal 28 70" xfId="3794"/>
    <cellStyle name="Normal 28 71" xfId="3795"/>
    <cellStyle name="Normal 28 72" xfId="3796"/>
    <cellStyle name="Normal 28 73" xfId="3797"/>
    <cellStyle name="Normal 28 74" xfId="3798"/>
    <cellStyle name="Normal 28 75" xfId="3799"/>
    <cellStyle name="Normal 28 76" xfId="3800"/>
    <cellStyle name="Normal 28 77" xfId="3801"/>
    <cellStyle name="Normal 28 78" xfId="3802"/>
    <cellStyle name="Normal 28 79" xfId="3803"/>
    <cellStyle name="Normal 28 8" xfId="3804"/>
    <cellStyle name="Normal 28 80" xfId="3805"/>
    <cellStyle name="Normal 28 81" xfId="3806"/>
    <cellStyle name="Normal 28 82" xfId="3807"/>
    <cellStyle name="Normal 28 83" xfId="3808"/>
    <cellStyle name="Normal 28 84" xfId="3809"/>
    <cellStyle name="Normal 28 85" xfId="3810"/>
    <cellStyle name="Normal 28 86" xfId="3811"/>
    <cellStyle name="Normal 28 87" xfId="3812"/>
    <cellStyle name="Normal 28 88" xfId="3813"/>
    <cellStyle name="Normal 28 89" xfId="3814"/>
    <cellStyle name="Normal 28 9" xfId="3815"/>
    <cellStyle name="Normal 28 90" xfId="3816"/>
    <cellStyle name="Normal 28 91" xfId="3817"/>
    <cellStyle name="Normal 28 92" xfId="3818"/>
    <cellStyle name="Normal 28 93" xfId="3819"/>
    <cellStyle name="Normal 28 94" xfId="3820"/>
    <cellStyle name="Normal 28 95" xfId="3821"/>
    <cellStyle name="Normal 28 96" xfId="3822"/>
    <cellStyle name="Normal 28 97" xfId="3823"/>
    <cellStyle name="Normal 28 98" xfId="3824"/>
    <cellStyle name="Normal 28 99" xfId="3825"/>
    <cellStyle name="Normal 29" xfId="1177"/>
    <cellStyle name="Normal 29 10" xfId="3827"/>
    <cellStyle name="Normal 29 100" xfId="3828"/>
    <cellStyle name="Normal 29 101" xfId="3829"/>
    <cellStyle name="Normal 29 102" xfId="3830"/>
    <cellStyle name="Normal 29 103" xfId="3831"/>
    <cellStyle name="Normal 29 104" xfId="3832"/>
    <cellStyle name="Normal 29 105" xfId="3833"/>
    <cellStyle name="Normal 29 106" xfId="3834"/>
    <cellStyle name="Normal 29 107" xfId="3835"/>
    <cellStyle name="Normal 29 108" xfId="3836"/>
    <cellStyle name="Normal 29 109" xfId="3837"/>
    <cellStyle name="Normal 29 11" xfId="3838"/>
    <cellStyle name="Normal 29 110" xfId="3826"/>
    <cellStyle name="Normal 29 111" xfId="6289"/>
    <cellStyle name="Normal 29 12" xfId="3839"/>
    <cellStyle name="Normal 29 13" xfId="3840"/>
    <cellStyle name="Normal 29 14" xfId="3841"/>
    <cellStyle name="Normal 29 15" xfId="3842"/>
    <cellStyle name="Normal 29 16" xfId="3843"/>
    <cellStyle name="Normal 29 17" xfId="3844"/>
    <cellStyle name="Normal 29 18" xfId="3845"/>
    <cellStyle name="Normal 29 19" xfId="3846"/>
    <cellStyle name="Normal 29 2" xfId="3847"/>
    <cellStyle name="Normal 29 20" xfId="3848"/>
    <cellStyle name="Normal 29 21" xfId="3849"/>
    <cellStyle name="Normal 29 22" xfId="3850"/>
    <cellStyle name="Normal 29 23" xfId="3851"/>
    <cellStyle name="Normal 29 24" xfId="3852"/>
    <cellStyle name="Normal 29 25" xfId="3853"/>
    <cellStyle name="Normal 29 26" xfId="3854"/>
    <cellStyle name="Normal 29 27" xfId="3855"/>
    <cellStyle name="Normal 29 28" xfId="3856"/>
    <cellStyle name="Normal 29 29" xfId="3857"/>
    <cellStyle name="Normal 29 3" xfId="3858"/>
    <cellStyle name="Normal 29 30" xfId="3859"/>
    <cellStyle name="Normal 29 31" xfId="3860"/>
    <cellStyle name="Normal 29 32" xfId="3861"/>
    <cellStyle name="Normal 29 33" xfId="3862"/>
    <cellStyle name="Normal 29 34" xfId="3863"/>
    <cellStyle name="Normal 29 35" xfId="3864"/>
    <cellStyle name="Normal 29 36" xfId="3865"/>
    <cellStyle name="Normal 29 37" xfId="3866"/>
    <cellStyle name="Normal 29 38" xfId="3867"/>
    <cellStyle name="Normal 29 39" xfId="3868"/>
    <cellStyle name="Normal 29 4" xfId="3869"/>
    <cellStyle name="Normal 29 40" xfId="3870"/>
    <cellStyle name="Normal 29 41" xfId="3871"/>
    <cellStyle name="Normal 29 42" xfId="3872"/>
    <cellStyle name="Normal 29 43" xfId="3873"/>
    <cellStyle name="Normal 29 44" xfId="3874"/>
    <cellStyle name="Normal 29 45" xfId="3875"/>
    <cellStyle name="Normal 29 46" xfId="3876"/>
    <cellStyle name="Normal 29 47" xfId="3877"/>
    <cellStyle name="Normal 29 48" xfId="3878"/>
    <cellStyle name="Normal 29 49" xfId="3879"/>
    <cellStyle name="Normal 29 5" xfId="3880"/>
    <cellStyle name="Normal 29 50" xfId="3881"/>
    <cellStyle name="Normal 29 51" xfId="3882"/>
    <cellStyle name="Normal 29 52" xfId="3883"/>
    <cellStyle name="Normal 29 53" xfId="3884"/>
    <cellStyle name="Normal 29 54" xfId="3885"/>
    <cellStyle name="Normal 29 55" xfId="3886"/>
    <cellStyle name="Normal 29 56" xfId="3887"/>
    <cellStyle name="Normal 29 57" xfId="3888"/>
    <cellStyle name="Normal 29 58" xfId="3889"/>
    <cellStyle name="Normal 29 59" xfId="3890"/>
    <cellStyle name="Normal 29 6" xfId="3891"/>
    <cellStyle name="Normal 29 60" xfId="3892"/>
    <cellStyle name="Normal 29 61" xfId="3893"/>
    <cellStyle name="Normal 29 62" xfId="3894"/>
    <cellStyle name="Normal 29 63" xfId="3895"/>
    <cellStyle name="Normal 29 64" xfId="3896"/>
    <cellStyle name="Normal 29 65" xfId="3897"/>
    <cellStyle name="Normal 29 66" xfId="3898"/>
    <cellStyle name="Normal 29 67" xfId="3899"/>
    <cellStyle name="Normal 29 68" xfId="3900"/>
    <cellStyle name="Normal 29 69" xfId="3901"/>
    <cellStyle name="Normal 29 7" xfId="3902"/>
    <cellStyle name="Normal 29 70" xfId="3903"/>
    <cellStyle name="Normal 29 71" xfId="3904"/>
    <cellStyle name="Normal 29 72" xfId="3905"/>
    <cellStyle name="Normal 29 73" xfId="3906"/>
    <cellStyle name="Normal 29 74" xfId="3907"/>
    <cellStyle name="Normal 29 75" xfId="3908"/>
    <cellStyle name="Normal 29 76" xfId="3909"/>
    <cellStyle name="Normal 29 77" xfId="3910"/>
    <cellStyle name="Normal 29 78" xfId="3911"/>
    <cellStyle name="Normal 29 79" xfId="3912"/>
    <cellStyle name="Normal 29 8" xfId="3913"/>
    <cellStyle name="Normal 29 80" xfId="3914"/>
    <cellStyle name="Normal 29 81" xfId="3915"/>
    <cellStyle name="Normal 29 82" xfId="3916"/>
    <cellStyle name="Normal 29 83" xfId="3917"/>
    <cellStyle name="Normal 29 84" xfId="3918"/>
    <cellStyle name="Normal 29 85" xfId="3919"/>
    <cellStyle name="Normal 29 86" xfId="3920"/>
    <cellStyle name="Normal 29 87" xfId="3921"/>
    <cellStyle name="Normal 29 88" xfId="3922"/>
    <cellStyle name="Normal 29 89" xfId="3923"/>
    <cellStyle name="Normal 29 9" xfId="3924"/>
    <cellStyle name="Normal 29 90" xfId="3925"/>
    <cellStyle name="Normal 29 91" xfId="3926"/>
    <cellStyle name="Normal 29 92" xfId="3927"/>
    <cellStyle name="Normal 29 93" xfId="3928"/>
    <cellStyle name="Normal 29 94" xfId="3929"/>
    <cellStyle name="Normal 29 95" xfId="3930"/>
    <cellStyle name="Normal 29 96" xfId="3931"/>
    <cellStyle name="Normal 29 97" xfId="3932"/>
    <cellStyle name="Normal 29 98" xfId="3933"/>
    <cellStyle name="Normal 29 99" xfId="3934"/>
    <cellStyle name="Normal 3" xfId="12"/>
    <cellStyle name="Normal-- 3" xfId="3936"/>
    <cellStyle name="Normal 3 10" xfId="3937"/>
    <cellStyle name="Normal 3 11" xfId="3938"/>
    <cellStyle name="Normal 3 12" xfId="3939"/>
    <cellStyle name="Normal 3 13" xfId="3940"/>
    <cellStyle name="Normal 3 14" xfId="3941"/>
    <cellStyle name="Normal 3 15" xfId="3942"/>
    <cellStyle name="Normal 3 16" xfId="3943"/>
    <cellStyle name="Normal 3 17" xfId="3944"/>
    <cellStyle name="Normal 3 18" xfId="3945"/>
    <cellStyle name="Normal 3 19" xfId="3946"/>
    <cellStyle name="Normal 3 2" xfId="1178"/>
    <cellStyle name="Normal 3 2 2" xfId="3948"/>
    <cellStyle name="Normal 3 2 2 2" xfId="3949"/>
    <cellStyle name="Normal 3 2 3" xfId="3950"/>
    <cellStyle name="Normal 3 2 4" xfId="3951"/>
    <cellStyle name="Normal 3 20" xfId="3952"/>
    <cellStyle name="Normal 3 21" xfId="3953"/>
    <cellStyle name="Normal 3 22" xfId="3954"/>
    <cellStyle name="Normal 3 22 2" xfId="3955"/>
    <cellStyle name="Normal 3 22 2 2" xfId="3956"/>
    <cellStyle name="Normal 3 22 2 2 2" xfId="3957"/>
    <cellStyle name="Normal 3 22 2 3" xfId="3958"/>
    <cellStyle name="Normal 3 22 3" xfId="3959"/>
    <cellStyle name="Normal 3 22 3 2" xfId="3960"/>
    <cellStyle name="Normal 3 22 4" xfId="3961"/>
    <cellStyle name="Normal 3 23" xfId="3962"/>
    <cellStyle name="Normal 3 24" xfId="3963"/>
    <cellStyle name="Normal 3 24 2" xfId="3964"/>
    <cellStyle name="Normal 3 24 2 2" xfId="3965"/>
    <cellStyle name="Normal 3 24 3" xfId="3966"/>
    <cellStyle name="Normal 3 25" xfId="3967"/>
    <cellStyle name="Normal 3 26" xfId="3968"/>
    <cellStyle name="Normal 3 27" xfId="3969"/>
    <cellStyle name="Normal 3 28" xfId="3970"/>
    <cellStyle name="Normal 3 29" xfId="3971"/>
    <cellStyle name="Normal 3 3" xfId="1179"/>
    <cellStyle name="Normal 3 3 2" xfId="1180"/>
    <cellStyle name="Normal 3 3 2 2" xfId="3973"/>
    <cellStyle name="Normal 3 3 3" xfId="3974"/>
    <cellStyle name="Normal 3 3 4" xfId="3975"/>
    <cellStyle name="Normal 3 3 5" xfId="3972"/>
    <cellStyle name="Normal 3 30" xfId="3976"/>
    <cellStyle name="Normal 3 31" xfId="3977"/>
    <cellStyle name="Normal 3 32" xfId="3978"/>
    <cellStyle name="Normal 3 33" xfId="3979"/>
    <cellStyle name="Normal 3 34" xfId="3980"/>
    <cellStyle name="Normal 3 35" xfId="3981"/>
    <cellStyle name="Normal 3 36" xfId="3982"/>
    <cellStyle name="Normal 3 37" xfId="3983"/>
    <cellStyle name="Normal 3 38" xfId="3984"/>
    <cellStyle name="Normal 3 39" xfId="3985"/>
    <cellStyle name="Normal 3 39 2" xfId="3986"/>
    <cellStyle name="Normal 3 4" xfId="1181"/>
    <cellStyle name="Normal 3 4 2" xfId="1182"/>
    <cellStyle name="Normal 3 4 2 2" xfId="3988"/>
    <cellStyle name="Normal 3 4 2 3" xfId="6188"/>
    <cellStyle name="Normal 3 4 3" xfId="3989"/>
    <cellStyle name="Normal 3 4 4" xfId="3987"/>
    <cellStyle name="Normal 3 4 5" xfId="6094"/>
    <cellStyle name="Normal 3 40" xfId="3990"/>
    <cellStyle name="Normal 3 41" xfId="3991"/>
    <cellStyle name="Normal 3 42" xfId="3992"/>
    <cellStyle name="Normal 3 43" xfId="3993"/>
    <cellStyle name="Normal 3 44" xfId="3994"/>
    <cellStyle name="Normal 3 45" xfId="3995"/>
    <cellStyle name="Normal 3 46" xfId="3996"/>
    <cellStyle name="Normal 3 47" xfId="3997"/>
    <cellStyle name="Normal 3 48" xfId="3998"/>
    <cellStyle name="Normal 3 49" xfId="3999"/>
    <cellStyle name="Normal 3 5" xfId="1183"/>
    <cellStyle name="Normal 3 5 2" xfId="4001"/>
    <cellStyle name="Normal 3 5 2 2" xfId="8319"/>
    <cellStyle name="Normal 3 5 2 2 2" xfId="11216"/>
    <cellStyle name="Normal 3 5 2 3" xfId="9776"/>
    <cellStyle name="Normal 3 5 2 4" xfId="6839"/>
    <cellStyle name="Normal 3 5 3" xfId="4000"/>
    <cellStyle name="Normal 3 5 3 2" xfId="10558"/>
    <cellStyle name="Normal 3 5 3 3" xfId="7658"/>
    <cellStyle name="Normal 3 5 4" xfId="9118"/>
    <cellStyle name="Normal 3 5 5" xfId="6132"/>
    <cellStyle name="Normal 3 50" xfId="4002"/>
    <cellStyle name="Normal 3 51" xfId="4003"/>
    <cellStyle name="Normal 3 52" xfId="4004"/>
    <cellStyle name="Normal 3 53" xfId="4005"/>
    <cellStyle name="Normal 3 54" xfId="3935"/>
    <cellStyle name="Normal 3 55" xfId="6003"/>
    <cellStyle name="Normal 3 56" xfId="6002"/>
    <cellStyle name="Normal 3 57" xfId="6029"/>
    <cellStyle name="Normal 3 58" xfId="6031"/>
    <cellStyle name="Normal 3 59" xfId="6032"/>
    <cellStyle name="Normal 3 6" xfId="1184"/>
    <cellStyle name="Normal 3 6 2" xfId="4006"/>
    <cellStyle name="Normal 3 6 2 2" xfId="8456"/>
    <cellStyle name="Normal 3 6 2 2 2" xfId="11353"/>
    <cellStyle name="Normal 3 6 2 3" xfId="9913"/>
    <cellStyle name="Normal 3 6 2 4" xfId="6979"/>
    <cellStyle name="Normal 3 6 3" xfId="7797"/>
    <cellStyle name="Normal 3 6 3 2" xfId="10695"/>
    <cellStyle name="Normal 3 6 4" xfId="9255"/>
    <cellStyle name="Normal 3 6 5" xfId="6285"/>
    <cellStyle name="Normal 3 60" xfId="6035"/>
    <cellStyle name="Normal 3 61" xfId="6036"/>
    <cellStyle name="Normal 3 62" xfId="6039"/>
    <cellStyle name="Normal 3 63" xfId="6040"/>
    <cellStyle name="Normal 3 64" xfId="6037"/>
    <cellStyle name="Normal 3 65" xfId="6038"/>
    <cellStyle name="Normal 3 66" xfId="6041"/>
    <cellStyle name="Normal 3 67" xfId="6049"/>
    <cellStyle name="Normal 3 68" xfId="6065"/>
    <cellStyle name="Normal 3 7" xfId="1185"/>
    <cellStyle name="Normal 3 7 2" xfId="4007"/>
    <cellStyle name="Normal 3 7 3" xfId="6062"/>
    <cellStyle name="Normal 3 8" xfId="1507"/>
    <cellStyle name="Normal 3 8 2" xfId="4008"/>
    <cellStyle name="Normal 3 9" xfId="4009"/>
    <cellStyle name="Normal 30" xfId="1186"/>
    <cellStyle name="Normal 30 10" xfId="4011"/>
    <cellStyle name="Normal 30 100" xfId="4012"/>
    <cellStyle name="Normal 30 101" xfId="4013"/>
    <cellStyle name="Normal 30 102" xfId="4014"/>
    <cellStyle name="Normal 30 103" xfId="4015"/>
    <cellStyle name="Normal 30 104" xfId="4016"/>
    <cellStyle name="Normal 30 105" xfId="4017"/>
    <cellStyle name="Normal 30 106" xfId="4018"/>
    <cellStyle name="Normal 30 107" xfId="4019"/>
    <cellStyle name="Normal 30 108" xfId="4020"/>
    <cellStyle name="Normal 30 109" xfId="4021"/>
    <cellStyle name="Normal 30 11" xfId="4022"/>
    <cellStyle name="Normal 30 110" xfId="4010"/>
    <cellStyle name="Normal 30 111" xfId="6287"/>
    <cellStyle name="Normal 30 12" xfId="4023"/>
    <cellStyle name="Normal 30 13" xfId="4024"/>
    <cellStyle name="Normal 30 14" xfId="4025"/>
    <cellStyle name="Normal 30 15" xfId="4026"/>
    <cellStyle name="Normal 30 16" xfId="4027"/>
    <cellStyle name="Normal 30 17" xfId="4028"/>
    <cellStyle name="Normal 30 18" xfId="4029"/>
    <cellStyle name="Normal 30 19" xfId="4030"/>
    <cellStyle name="Normal 30 2" xfId="4031"/>
    <cellStyle name="Normal 30 20" xfId="4032"/>
    <cellStyle name="Normal 30 21" xfId="4033"/>
    <cellStyle name="Normal 30 22" xfId="4034"/>
    <cellStyle name="Normal 30 23" xfId="4035"/>
    <cellStyle name="Normal 30 24" xfId="4036"/>
    <cellStyle name="Normal 30 25" xfId="4037"/>
    <cellStyle name="Normal 30 26" xfId="4038"/>
    <cellStyle name="Normal 30 27" xfId="4039"/>
    <cellStyle name="Normal 30 28" xfId="4040"/>
    <cellStyle name="Normal 30 29" xfId="4041"/>
    <cellStyle name="Normal 30 3" xfId="4042"/>
    <cellStyle name="Normal 30 30" xfId="4043"/>
    <cellStyle name="Normal 30 31" xfId="4044"/>
    <cellStyle name="Normal 30 32" xfId="4045"/>
    <cellStyle name="Normal 30 33" xfId="4046"/>
    <cellStyle name="Normal 30 34" xfId="4047"/>
    <cellStyle name="Normal 30 35" xfId="4048"/>
    <cellStyle name="Normal 30 36" xfId="4049"/>
    <cellStyle name="Normal 30 37" xfId="4050"/>
    <cellStyle name="Normal 30 38" xfId="4051"/>
    <cellStyle name="Normal 30 39" xfId="4052"/>
    <cellStyle name="Normal 30 4" xfId="4053"/>
    <cellStyle name="Normal 30 40" xfId="4054"/>
    <cellStyle name="Normal 30 41" xfId="4055"/>
    <cellStyle name="Normal 30 42" xfId="4056"/>
    <cellStyle name="Normal 30 43" xfId="4057"/>
    <cellStyle name="Normal 30 44" xfId="4058"/>
    <cellStyle name="Normal 30 45" xfId="4059"/>
    <cellStyle name="Normal 30 46" xfId="4060"/>
    <cellStyle name="Normal 30 47" xfId="4061"/>
    <cellStyle name="Normal 30 48" xfId="4062"/>
    <cellStyle name="Normal 30 49" xfId="4063"/>
    <cellStyle name="Normal 30 5" xfId="4064"/>
    <cellStyle name="Normal 30 50" xfId="4065"/>
    <cellStyle name="Normal 30 51" xfId="4066"/>
    <cellStyle name="Normal 30 52" xfId="4067"/>
    <cellStyle name="Normal 30 53" xfId="4068"/>
    <cellStyle name="Normal 30 54" xfId="4069"/>
    <cellStyle name="Normal 30 55" xfId="4070"/>
    <cellStyle name="Normal 30 56" xfId="4071"/>
    <cellStyle name="Normal 30 57" xfId="4072"/>
    <cellStyle name="Normal 30 58" xfId="4073"/>
    <cellStyle name="Normal 30 59" xfId="4074"/>
    <cellStyle name="Normal 30 6" xfId="4075"/>
    <cellStyle name="Normal 30 60" xfId="4076"/>
    <cellStyle name="Normal 30 61" xfId="4077"/>
    <cellStyle name="Normal 30 62" xfId="4078"/>
    <cellStyle name="Normal 30 63" xfId="4079"/>
    <cellStyle name="Normal 30 64" xfId="4080"/>
    <cellStyle name="Normal 30 65" xfId="4081"/>
    <cellStyle name="Normal 30 66" xfId="4082"/>
    <cellStyle name="Normal 30 67" xfId="4083"/>
    <cellStyle name="Normal 30 68" xfId="4084"/>
    <cellStyle name="Normal 30 69" xfId="4085"/>
    <cellStyle name="Normal 30 7" xfId="4086"/>
    <cellStyle name="Normal 30 70" xfId="4087"/>
    <cellStyle name="Normal 30 71" xfId="4088"/>
    <cellStyle name="Normal 30 72" xfId="4089"/>
    <cellStyle name="Normal 30 73" xfId="4090"/>
    <cellStyle name="Normal 30 74" xfId="4091"/>
    <cellStyle name="Normal 30 75" xfId="4092"/>
    <cellStyle name="Normal 30 76" xfId="4093"/>
    <cellStyle name="Normal 30 77" xfId="4094"/>
    <cellStyle name="Normal 30 78" xfId="4095"/>
    <cellStyle name="Normal 30 79" xfId="4096"/>
    <cellStyle name="Normal 30 8" xfId="4097"/>
    <cellStyle name="Normal 30 80" xfId="4098"/>
    <cellStyle name="Normal 30 81" xfId="4099"/>
    <cellStyle name="Normal 30 82" xfId="4100"/>
    <cellStyle name="Normal 30 83" xfId="4101"/>
    <cellStyle name="Normal 30 84" xfId="4102"/>
    <cellStyle name="Normal 30 85" xfId="4103"/>
    <cellStyle name="Normal 30 86" xfId="4104"/>
    <cellStyle name="Normal 30 87" xfId="4105"/>
    <cellStyle name="Normal 30 88" xfId="4106"/>
    <cellStyle name="Normal 30 89" xfId="4107"/>
    <cellStyle name="Normal 30 9" xfId="4108"/>
    <cellStyle name="Normal 30 90" xfId="4109"/>
    <cellStyle name="Normal 30 91" xfId="4110"/>
    <cellStyle name="Normal 30 92" xfId="4111"/>
    <cellStyle name="Normal 30 93" xfId="4112"/>
    <cellStyle name="Normal 30 94" xfId="4113"/>
    <cellStyle name="Normal 30 95" xfId="4114"/>
    <cellStyle name="Normal 30 96" xfId="4115"/>
    <cellStyle name="Normal 30 97" xfId="4116"/>
    <cellStyle name="Normal 30 98" xfId="4117"/>
    <cellStyle name="Normal 30 99" xfId="4118"/>
    <cellStyle name="Normal 31" xfId="15"/>
    <cellStyle name="Normal 31 10" xfId="4120"/>
    <cellStyle name="Normal 31 100" xfId="4121"/>
    <cellStyle name="Normal 31 101" xfId="4122"/>
    <cellStyle name="Normal 31 102" xfId="4123"/>
    <cellStyle name="Normal 31 103" xfId="4124"/>
    <cellStyle name="Normal 31 104" xfId="4125"/>
    <cellStyle name="Normal 31 105" xfId="4126"/>
    <cellStyle name="Normal 31 106" xfId="4127"/>
    <cellStyle name="Normal 31 107" xfId="4128"/>
    <cellStyle name="Normal 31 108" xfId="4129"/>
    <cellStyle name="Normal 31 109" xfId="4130"/>
    <cellStyle name="Normal 31 11" xfId="4131"/>
    <cellStyle name="Normal 31 110" xfId="4119"/>
    <cellStyle name="Normal 31 111" xfId="6768"/>
    <cellStyle name="Normal 31 12" xfId="4132"/>
    <cellStyle name="Normal 31 13" xfId="4133"/>
    <cellStyle name="Normal 31 14" xfId="4134"/>
    <cellStyle name="Normal 31 15" xfId="4135"/>
    <cellStyle name="Normal 31 16" xfId="4136"/>
    <cellStyle name="Normal 31 17" xfId="4137"/>
    <cellStyle name="Normal 31 18" xfId="4138"/>
    <cellStyle name="Normal 31 19" xfId="4139"/>
    <cellStyle name="Normal 31 2" xfId="4140"/>
    <cellStyle name="Normal 31 20" xfId="4141"/>
    <cellStyle name="Normal 31 21" xfId="4142"/>
    <cellStyle name="Normal 31 22" xfId="4143"/>
    <cellStyle name="Normal 31 23" xfId="4144"/>
    <cellStyle name="Normal 31 24" xfId="4145"/>
    <cellStyle name="Normal 31 25" xfId="4146"/>
    <cellStyle name="Normal 31 26" xfId="4147"/>
    <cellStyle name="Normal 31 27" xfId="4148"/>
    <cellStyle name="Normal 31 28" xfId="4149"/>
    <cellStyle name="Normal 31 29" xfId="4150"/>
    <cellStyle name="Normal 31 3" xfId="4151"/>
    <cellStyle name="Normal 31 30" xfId="4152"/>
    <cellStyle name="Normal 31 31" xfId="4153"/>
    <cellStyle name="Normal 31 32" xfId="4154"/>
    <cellStyle name="Normal 31 33" xfId="4155"/>
    <cellStyle name="Normal 31 34" xfId="4156"/>
    <cellStyle name="Normal 31 35" xfId="4157"/>
    <cellStyle name="Normal 31 36" xfId="4158"/>
    <cellStyle name="Normal 31 37" xfId="4159"/>
    <cellStyle name="Normal 31 38" xfId="4160"/>
    <cellStyle name="Normal 31 39" xfId="4161"/>
    <cellStyle name="Normal 31 4" xfId="4162"/>
    <cellStyle name="Normal 31 40" xfId="4163"/>
    <cellStyle name="Normal 31 41" xfId="4164"/>
    <cellStyle name="Normal 31 42" xfId="4165"/>
    <cellStyle name="Normal 31 43" xfId="4166"/>
    <cellStyle name="Normal 31 44" xfId="4167"/>
    <cellStyle name="Normal 31 45" xfId="4168"/>
    <cellStyle name="Normal 31 46" xfId="4169"/>
    <cellStyle name="Normal 31 47" xfId="4170"/>
    <cellStyle name="Normal 31 48" xfId="4171"/>
    <cellStyle name="Normal 31 49" xfId="4172"/>
    <cellStyle name="Normal 31 5" xfId="4173"/>
    <cellStyle name="Normal 31 50" xfId="4174"/>
    <cellStyle name="Normal 31 51" xfId="4175"/>
    <cellStyle name="Normal 31 52" xfId="4176"/>
    <cellStyle name="Normal 31 53" xfId="4177"/>
    <cellStyle name="Normal 31 54" xfId="4178"/>
    <cellStyle name="Normal 31 55" xfId="4179"/>
    <cellStyle name="Normal 31 56" xfId="4180"/>
    <cellStyle name="Normal 31 57" xfId="4181"/>
    <cellStyle name="Normal 31 58" xfId="4182"/>
    <cellStyle name="Normal 31 59" xfId="4183"/>
    <cellStyle name="Normal 31 6" xfId="4184"/>
    <cellStyle name="Normal 31 60" xfId="4185"/>
    <cellStyle name="Normal 31 61" xfId="4186"/>
    <cellStyle name="Normal 31 62" xfId="4187"/>
    <cellStyle name="Normal 31 63" xfId="4188"/>
    <cellStyle name="Normal 31 64" xfId="4189"/>
    <cellStyle name="Normal 31 65" xfId="4190"/>
    <cellStyle name="Normal 31 66" xfId="4191"/>
    <cellStyle name="Normal 31 67" xfId="4192"/>
    <cellStyle name="Normal 31 68" xfId="4193"/>
    <cellStyle name="Normal 31 69" xfId="4194"/>
    <cellStyle name="Normal 31 7" xfId="4195"/>
    <cellStyle name="Normal 31 70" xfId="4196"/>
    <cellStyle name="Normal 31 71" xfId="4197"/>
    <cellStyle name="Normal 31 72" xfId="4198"/>
    <cellStyle name="Normal 31 73" xfId="4199"/>
    <cellStyle name="Normal 31 74" xfId="4200"/>
    <cellStyle name="Normal 31 75" xfId="4201"/>
    <cellStyle name="Normal 31 76" xfId="4202"/>
    <cellStyle name="Normal 31 77" xfId="4203"/>
    <cellStyle name="Normal 31 78" xfId="4204"/>
    <cellStyle name="Normal 31 79" xfId="4205"/>
    <cellStyle name="Normal 31 8" xfId="4206"/>
    <cellStyle name="Normal 31 80" xfId="4207"/>
    <cellStyle name="Normal 31 81" xfId="4208"/>
    <cellStyle name="Normal 31 82" xfId="4209"/>
    <cellStyle name="Normal 31 83" xfId="4210"/>
    <cellStyle name="Normal 31 84" xfId="4211"/>
    <cellStyle name="Normal 31 85" xfId="4212"/>
    <cellStyle name="Normal 31 86" xfId="4213"/>
    <cellStyle name="Normal 31 87" xfId="4214"/>
    <cellStyle name="Normal 31 88" xfId="4215"/>
    <cellStyle name="Normal 31 89" xfId="4216"/>
    <cellStyle name="Normal 31 9" xfId="4217"/>
    <cellStyle name="Normal 31 90" xfId="4218"/>
    <cellStyle name="Normal 31 91" xfId="4219"/>
    <cellStyle name="Normal 31 92" xfId="4220"/>
    <cellStyle name="Normal 31 93" xfId="4221"/>
    <cellStyle name="Normal 31 94" xfId="4222"/>
    <cellStyle name="Normal 31 95" xfId="4223"/>
    <cellStyle name="Normal 31 96" xfId="4224"/>
    <cellStyle name="Normal 31 97" xfId="4225"/>
    <cellStyle name="Normal 31 98" xfId="4226"/>
    <cellStyle name="Normal 31 99" xfId="4227"/>
    <cellStyle name="Normal 32" xfId="1187"/>
    <cellStyle name="Normal 32 2" xfId="4229"/>
    <cellStyle name="Normal 32 3" xfId="4228"/>
    <cellStyle name="Normal 33" xfId="1188"/>
    <cellStyle name="Normal 33 2" xfId="4231"/>
    <cellStyle name="Normal 33 3" xfId="4230"/>
    <cellStyle name="Normal 34" xfId="1189"/>
    <cellStyle name="Normal 34 2" xfId="4232"/>
    <cellStyle name="Normal 35" xfId="1190"/>
    <cellStyle name="Normal 35 10" xfId="4234"/>
    <cellStyle name="Normal 35 100" xfId="4235"/>
    <cellStyle name="Normal 35 101" xfId="4236"/>
    <cellStyle name="Normal 35 102" xfId="4237"/>
    <cellStyle name="Normal 35 103" xfId="4238"/>
    <cellStyle name="Normal 35 104" xfId="4239"/>
    <cellStyle name="Normal 35 105" xfId="4240"/>
    <cellStyle name="Normal 35 106" xfId="4241"/>
    <cellStyle name="Normal 35 107" xfId="4242"/>
    <cellStyle name="Normal 35 108" xfId="4243"/>
    <cellStyle name="Normal 35 109" xfId="4244"/>
    <cellStyle name="Normal 35 11" xfId="4245"/>
    <cellStyle name="Normal 35 110" xfId="4233"/>
    <cellStyle name="Normal 35 12" xfId="4246"/>
    <cellStyle name="Normal 35 13" xfId="4247"/>
    <cellStyle name="Normal 35 14" xfId="4248"/>
    <cellStyle name="Normal 35 15" xfId="4249"/>
    <cellStyle name="Normal 35 16" xfId="4250"/>
    <cellStyle name="Normal 35 17" xfId="4251"/>
    <cellStyle name="Normal 35 18" xfId="4252"/>
    <cellStyle name="Normal 35 19" xfId="4253"/>
    <cellStyle name="Normal 35 2" xfId="4254"/>
    <cellStyle name="Normal 35 20" xfId="4255"/>
    <cellStyle name="Normal 35 21" xfId="4256"/>
    <cellStyle name="Normal 35 22" xfId="4257"/>
    <cellStyle name="Normal 35 23" xfId="4258"/>
    <cellStyle name="Normal 35 24" xfId="4259"/>
    <cellStyle name="Normal 35 25" xfId="4260"/>
    <cellStyle name="Normal 35 26" xfId="4261"/>
    <cellStyle name="Normal 35 27" xfId="4262"/>
    <cellStyle name="Normal 35 28" xfId="4263"/>
    <cellStyle name="Normal 35 29" xfId="4264"/>
    <cellStyle name="Normal 35 3" xfId="4265"/>
    <cellStyle name="Normal 35 30" xfId="4266"/>
    <cellStyle name="Normal 35 31" xfId="4267"/>
    <cellStyle name="Normal 35 32" xfId="4268"/>
    <cellStyle name="Normal 35 33" xfId="4269"/>
    <cellStyle name="Normal 35 34" xfId="4270"/>
    <cellStyle name="Normal 35 35" xfId="4271"/>
    <cellStyle name="Normal 35 36" xfId="4272"/>
    <cellStyle name="Normal 35 37" xfId="4273"/>
    <cellStyle name="Normal 35 38" xfId="4274"/>
    <cellStyle name="Normal 35 39" xfId="4275"/>
    <cellStyle name="Normal 35 4" xfId="4276"/>
    <cellStyle name="Normal 35 40" xfId="4277"/>
    <cellStyle name="Normal 35 41" xfId="4278"/>
    <cellStyle name="Normal 35 42" xfId="4279"/>
    <cellStyle name="Normal 35 43" xfId="4280"/>
    <cellStyle name="Normal 35 44" xfId="4281"/>
    <cellStyle name="Normal 35 45" xfId="4282"/>
    <cellStyle name="Normal 35 46" xfId="4283"/>
    <cellStyle name="Normal 35 47" xfId="4284"/>
    <cellStyle name="Normal 35 48" xfId="4285"/>
    <cellStyle name="Normal 35 49" xfId="4286"/>
    <cellStyle name="Normal 35 5" xfId="4287"/>
    <cellStyle name="Normal 35 50" xfId="4288"/>
    <cellStyle name="Normal 35 51" xfId="4289"/>
    <cellStyle name="Normal 35 52" xfId="4290"/>
    <cellStyle name="Normal 35 53" xfId="4291"/>
    <cellStyle name="Normal 35 54" xfId="4292"/>
    <cellStyle name="Normal 35 55" xfId="4293"/>
    <cellStyle name="Normal 35 56" xfId="4294"/>
    <cellStyle name="Normal 35 57" xfId="4295"/>
    <cellStyle name="Normal 35 58" xfId="4296"/>
    <cellStyle name="Normal 35 59" xfId="4297"/>
    <cellStyle name="Normal 35 6" xfId="4298"/>
    <cellStyle name="Normal 35 60" xfId="4299"/>
    <cellStyle name="Normal 35 61" xfId="4300"/>
    <cellStyle name="Normal 35 62" xfId="4301"/>
    <cellStyle name="Normal 35 63" xfId="4302"/>
    <cellStyle name="Normal 35 64" xfId="4303"/>
    <cellStyle name="Normal 35 65" xfId="4304"/>
    <cellStyle name="Normal 35 66" xfId="4305"/>
    <cellStyle name="Normal 35 67" xfId="4306"/>
    <cellStyle name="Normal 35 68" xfId="4307"/>
    <cellStyle name="Normal 35 69" xfId="4308"/>
    <cellStyle name="Normal 35 7" xfId="4309"/>
    <cellStyle name="Normal 35 70" xfId="4310"/>
    <cellStyle name="Normal 35 71" xfId="4311"/>
    <cellStyle name="Normal 35 72" xfId="4312"/>
    <cellStyle name="Normal 35 73" xfId="4313"/>
    <cellStyle name="Normal 35 74" xfId="4314"/>
    <cellStyle name="Normal 35 75" xfId="4315"/>
    <cellStyle name="Normal 35 76" xfId="4316"/>
    <cellStyle name="Normal 35 77" xfId="4317"/>
    <cellStyle name="Normal 35 78" xfId="4318"/>
    <cellStyle name="Normal 35 79" xfId="4319"/>
    <cellStyle name="Normal 35 8" xfId="4320"/>
    <cellStyle name="Normal 35 80" xfId="4321"/>
    <cellStyle name="Normal 35 81" xfId="4322"/>
    <cellStyle name="Normal 35 82" xfId="4323"/>
    <cellStyle name="Normal 35 83" xfId="4324"/>
    <cellStyle name="Normal 35 84" xfId="4325"/>
    <cellStyle name="Normal 35 85" xfId="4326"/>
    <cellStyle name="Normal 35 86" xfId="4327"/>
    <cellStyle name="Normal 35 87" xfId="4328"/>
    <cellStyle name="Normal 35 88" xfId="4329"/>
    <cellStyle name="Normal 35 89" xfId="4330"/>
    <cellStyle name="Normal 35 9" xfId="4331"/>
    <cellStyle name="Normal 35 90" xfId="4332"/>
    <cellStyle name="Normal 35 91" xfId="4333"/>
    <cellStyle name="Normal 35 92" xfId="4334"/>
    <cellStyle name="Normal 35 93" xfId="4335"/>
    <cellStyle name="Normal 35 94" xfId="4336"/>
    <cellStyle name="Normal 35 95" xfId="4337"/>
    <cellStyle name="Normal 35 96" xfId="4338"/>
    <cellStyle name="Normal 35 97" xfId="4339"/>
    <cellStyle name="Normal 35 98" xfId="4340"/>
    <cellStyle name="Normal 35 99" xfId="4341"/>
    <cellStyle name="Normal 36" xfId="1191"/>
    <cellStyle name="Normal 36 10" xfId="4343"/>
    <cellStyle name="Normal 36 100" xfId="4344"/>
    <cellStyle name="Normal 36 101" xfId="4345"/>
    <cellStyle name="Normal 36 102" xfId="4346"/>
    <cellStyle name="Normal 36 103" xfId="4347"/>
    <cellStyle name="Normal 36 104" xfId="4348"/>
    <cellStyle name="Normal 36 105" xfId="4349"/>
    <cellStyle name="Normal 36 106" xfId="4350"/>
    <cellStyle name="Normal 36 107" xfId="4351"/>
    <cellStyle name="Normal 36 108" xfId="4352"/>
    <cellStyle name="Normal 36 109" xfId="4353"/>
    <cellStyle name="Normal 36 11" xfId="4354"/>
    <cellStyle name="Normal 36 110" xfId="4342"/>
    <cellStyle name="Normal 36 12" xfId="4355"/>
    <cellStyle name="Normal 36 13" xfId="4356"/>
    <cellStyle name="Normal 36 14" xfId="4357"/>
    <cellStyle name="Normal 36 15" xfId="4358"/>
    <cellStyle name="Normal 36 16" xfId="4359"/>
    <cellStyle name="Normal 36 17" xfId="4360"/>
    <cellStyle name="Normal 36 18" xfId="4361"/>
    <cellStyle name="Normal 36 19" xfId="4362"/>
    <cellStyle name="Normal 36 2" xfId="4363"/>
    <cellStyle name="Normal 36 20" xfId="4364"/>
    <cellStyle name="Normal 36 21" xfId="4365"/>
    <cellStyle name="Normal 36 22" xfId="4366"/>
    <cellStyle name="Normal 36 23" xfId="4367"/>
    <cellStyle name="Normal 36 24" xfId="4368"/>
    <cellStyle name="Normal 36 25" xfId="4369"/>
    <cellStyle name="Normal 36 26" xfId="4370"/>
    <cellStyle name="Normal 36 27" xfId="4371"/>
    <cellStyle name="Normal 36 28" xfId="4372"/>
    <cellStyle name="Normal 36 29" xfId="4373"/>
    <cellStyle name="Normal 36 3" xfId="4374"/>
    <cellStyle name="Normal 36 30" xfId="4375"/>
    <cellStyle name="Normal 36 31" xfId="4376"/>
    <cellStyle name="Normal 36 32" xfId="4377"/>
    <cellStyle name="Normal 36 33" xfId="4378"/>
    <cellStyle name="Normal 36 34" xfId="4379"/>
    <cellStyle name="Normal 36 35" xfId="4380"/>
    <cellStyle name="Normal 36 36" xfId="4381"/>
    <cellStyle name="Normal 36 37" xfId="4382"/>
    <cellStyle name="Normal 36 38" xfId="4383"/>
    <cellStyle name="Normal 36 39" xfId="4384"/>
    <cellStyle name="Normal 36 4" xfId="4385"/>
    <cellStyle name="Normal 36 40" xfId="4386"/>
    <cellStyle name="Normal 36 41" xfId="4387"/>
    <cellStyle name="Normal 36 42" xfId="4388"/>
    <cellStyle name="Normal 36 43" xfId="4389"/>
    <cellStyle name="Normal 36 44" xfId="4390"/>
    <cellStyle name="Normal 36 45" xfId="4391"/>
    <cellStyle name="Normal 36 46" xfId="4392"/>
    <cellStyle name="Normal 36 47" xfId="4393"/>
    <cellStyle name="Normal 36 48" xfId="4394"/>
    <cellStyle name="Normal 36 49" xfId="4395"/>
    <cellStyle name="Normal 36 5" xfId="4396"/>
    <cellStyle name="Normal 36 50" xfId="4397"/>
    <cellStyle name="Normal 36 51" xfId="4398"/>
    <cellStyle name="Normal 36 52" xfId="4399"/>
    <cellStyle name="Normal 36 53" xfId="4400"/>
    <cellStyle name="Normal 36 54" xfId="4401"/>
    <cellStyle name="Normal 36 55" xfId="4402"/>
    <cellStyle name="Normal 36 56" xfId="4403"/>
    <cellStyle name="Normal 36 57" xfId="4404"/>
    <cellStyle name="Normal 36 58" xfId="4405"/>
    <cellStyle name="Normal 36 59" xfId="4406"/>
    <cellStyle name="Normal 36 6" xfId="4407"/>
    <cellStyle name="Normal 36 60" xfId="4408"/>
    <cellStyle name="Normal 36 61" xfId="4409"/>
    <cellStyle name="Normal 36 62" xfId="4410"/>
    <cellStyle name="Normal 36 63" xfId="4411"/>
    <cellStyle name="Normal 36 64" xfId="4412"/>
    <cellStyle name="Normal 36 65" xfId="4413"/>
    <cellStyle name="Normal 36 66" xfId="4414"/>
    <cellStyle name="Normal 36 67" xfId="4415"/>
    <cellStyle name="Normal 36 68" xfId="4416"/>
    <cellStyle name="Normal 36 69" xfId="4417"/>
    <cellStyle name="Normal 36 7" xfId="4418"/>
    <cellStyle name="Normal 36 70" xfId="4419"/>
    <cellStyle name="Normal 36 71" xfId="4420"/>
    <cellStyle name="Normal 36 72" xfId="4421"/>
    <cellStyle name="Normal 36 73" xfId="4422"/>
    <cellStyle name="Normal 36 74" xfId="4423"/>
    <cellStyle name="Normal 36 75" xfId="4424"/>
    <cellStyle name="Normal 36 76" xfId="4425"/>
    <cellStyle name="Normal 36 77" xfId="4426"/>
    <cellStyle name="Normal 36 78" xfId="4427"/>
    <cellStyle name="Normal 36 79" xfId="4428"/>
    <cellStyle name="Normal 36 8" xfId="4429"/>
    <cellStyle name="Normal 36 80" xfId="4430"/>
    <cellStyle name="Normal 36 81" xfId="4431"/>
    <cellStyle name="Normal 36 82" xfId="4432"/>
    <cellStyle name="Normal 36 83" xfId="4433"/>
    <cellStyle name="Normal 36 84" xfId="4434"/>
    <cellStyle name="Normal 36 85" xfId="4435"/>
    <cellStyle name="Normal 36 86" xfId="4436"/>
    <cellStyle name="Normal 36 87" xfId="4437"/>
    <cellStyle name="Normal 36 88" xfId="4438"/>
    <cellStyle name="Normal 36 89" xfId="4439"/>
    <cellStyle name="Normal 36 9" xfId="4440"/>
    <cellStyle name="Normal 36 90" xfId="4441"/>
    <cellStyle name="Normal 36 91" xfId="4442"/>
    <cellStyle name="Normal 36 92" xfId="4443"/>
    <cellStyle name="Normal 36 93" xfId="4444"/>
    <cellStyle name="Normal 36 94" xfId="4445"/>
    <cellStyle name="Normal 36 95" xfId="4446"/>
    <cellStyle name="Normal 36 96" xfId="4447"/>
    <cellStyle name="Normal 36 97" xfId="4448"/>
    <cellStyle name="Normal 36 98" xfId="4449"/>
    <cellStyle name="Normal 36 99" xfId="4450"/>
    <cellStyle name="Normal 37" xfId="1192"/>
    <cellStyle name="Normal 37 2" xfId="4451"/>
    <cellStyle name="Normal 38" xfId="1193"/>
    <cellStyle name="Normal 38 2" xfId="4452"/>
    <cellStyle name="Normal 39" xfId="1194"/>
    <cellStyle name="Normal 39 2" xfId="4453"/>
    <cellStyle name="Normal 4" xfId="1195"/>
    <cellStyle name="Normal-- 4" xfId="4454"/>
    <cellStyle name="Normal 4 10" xfId="4455"/>
    <cellStyle name="Normal 4 10 2" xfId="4456"/>
    <cellStyle name="Normal 4 100" xfId="4457"/>
    <cellStyle name="Normal 4 101" xfId="4458"/>
    <cellStyle name="Normal 4 102" xfId="4459"/>
    <cellStyle name="Normal 4 103" xfId="4460"/>
    <cellStyle name="Normal 4 104" xfId="4461"/>
    <cellStyle name="Normal 4 105" xfId="4462"/>
    <cellStyle name="Normal 4 106" xfId="4463"/>
    <cellStyle name="Normal 4 107" xfId="4464"/>
    <cellStyle name="Normal 4 108" xfId="4465"/>
    <cellStyle name="Normal 4 109" xfId="4466"/>
    <cellStyle name="Normal 4 11" xfId="4467"/>
    <cellStyle name="Normal 4 11 2" xfId="4468"/>
    <cellStyle name="Normal 4 110" xfId="4469"/>
    <cellStyle name="Normal 4 111" xfId="4470"/>
    <cellStyle name="Normal 4 112" xfId="4471"/>
    <cellStyle name="Normal 4 113" xfId="4472"/>
    <cellStyle name="Normal 4 114" xfId="4473"/>
    <cellStyle name="Normal 4 115" xfId="4474"/>
    <cellStyle name="Normal 4 116" xfId="4475"/>
    <cellStyle name="Normal 4 117" xfId="4476"/>
    <cellStyle name="Normal 4 118" xfId="4477"/>
    <cellStyle name="Normal 4 119" xfId="4478"/>
    <cellStyle name="Normal 4 12" xfId="4479"/>
    <cellStyle name="Normal 4 12 2" xfId="4480"/>
    <cellStyle name="Normal 4 120" xfId="4481"/>
    <cellStyle name="Normal 4 121" xfId="6009"/>
    <cellStyle name="Normal 4 122" xfId="6000"/>
    <cellStyle name="Normal 4 13" xfId="4482"/>
    <cellStyle name="Normal 4 13 2" xfId="4483"/>
    <cellStyle name="Normal 4 14" xfId="4484"/>
    <cellStyle name="Normal 4 14 2" xfId="4485"/>
    <cellStyle name="Normal 4 15" xfId="4486"/>
    <cellStyle name="Normal 4 15 2" xfId="4487"/>
    <cellStyle name="Normal 4 16" xfId="4488"/>
    <cellStyle name="Normal 4 16 2" xfId="4489"/>
    <cellStyle name="Normal 4 17" xfId="4490"/>
    <cellStyle name="Normal 4 17 2" xfId="4491"/>
    <cellStyle name="Normal 4 18" xfId="4492"/>
    <cellStyle name="Normal 4 18 2" xfId="4493"/>
    <cellStyle name="Normal 4 19" xfId="4494"/>
    <cellStyle name="Normal 4 19 2" xfId="4495"/>
    <cellStyle name="Normal 4 2" xfId="1196"/>
    <cellStyle name="Normal 4 2 10" xfId="4496"/>
    <cellStyle name="Normal 4 2 2" xfId="4497"/>
    <cellStyle name="Normal 4 2 3" xfId="4498"/>
    <cellStyle name="Normal 4 2 4" xfId="4499"/>
    <cellStyle name="Normal 4 2 5" xfId="4500"/>
    <cellStyle name="Normal 4 2 6" xfId="4501"/>
    <cellStyle name="Normal 4 2 7" xfId="4502"/>
    <cellStyle name="Normal 4 2 8" xfId="4503"/>
    <cellStyle name="Normal 4 2 9" xfId="4504"/>
    <cellStyle name="Normal 4 20" xfId="4505"/>
    <cellStyle name="Normal 4 20 2" xfId="4506"/>
    <cellStyle name="Normal 4 21" xfId="4507"/>
    <cellStyle name="Normal 4 21 2" xfId="4508"/>
    <cellStyle name="Normal 4 21 2 2" xfId="4509"/>
    <cellStyle name="Normal 4 21 2 2 2" xfId="4510"/>
    <cellStyle name="Normal 4 21 2 2 2 2" xfId="4511"/>
    <cellStyle name="Normal 4 21 2 2 3" xfId="4512"/>
    <cellStyle name="Normal 4 21 2 3" xfId="4513"/>
    <cellStyle name="Normal 4 21 2 3 2" xfId="4514"/>
    <cellStyle name="Normal 4 21 2 4" xfId="4515"/>
    <cellStyle name="Normal 4 21 3" xfId="4516"/>
    <cellStyle name="Normal 4 21 3 2" xfId="4517"/>
    <cellStyle name="Normal 4 21 3 2 2" xfId="4518"/>
    <cellStyle name="Normal 4 21 3 2 2 2" xfId="4519"/>
    <cellStyle name="Normal 4 21 3 2 3" xfId="4520"/>
    <cellStyle name="Normal 4 21 3 3" xfId="4521"/>
    <cellStyle name="Normal 4 21 3 3 2" xfId="4522"/>
    <cellStyle name="Normal 4 21 3 4" xfId="4523"/>
    <cellStyle name="Normal 4 21 4" xfId="4524"/>
    <cellStyle name="Normal 4 21 4 2" xfId="4525"/>
    <cellStyle name="Normal 4 21 4 2 2" xfId="4526"/>
    <cellStyle name="Normal 4 21 4 2 2 2" xfId="4527"/>
    <cellStyle name="Normal 4 21 4 2 3" xfId="4528"/>
    <cellStyle name="Normal 4 21 4 3" xfId="4529"/>
    <cellStyle name="Normal 4 21 4 3 2" xfId="4530"/>
    <cellStyle name="Normal 4 21 4 4" xfId="4531"/>
    <cellStyle name="Normal 4 21 5" xfId="4532"/>
    <cellStyle name="Normal 4 21 5 2" xfId="4533"/>
    <cellStyle name="Normal 4 21 5 2 2" xfId="4534"/>
    <cellStyle name="Normal 4 21 5 3" xfId="4535"/>
    <cellStyle name="Normal 4 21 6" xfId="4536"/>
    <cellStyle name="Normal 4 21 6 2" xfId="4537"/>
    <cellStyle name="Normal 4 21 7" xfId="4538"/>
    <cellStyle name="Normal 4 21 8" xfId="4539"/>
    <cellStyle name="Normal 4 22" xfId="4540"/>
    <cellStyle name="Normal 4 22 2" xfId="4541"/>
    <cellStyle name="Normal 4 22 2 2" xfId="4542"/>
    <cellStyle name="Normal 4 22 2 2 2" xfId="4543"/>
    <cellStyle name="Normal 4 22 2 3" xfId="4544"/>
    <cellStyle name="Normal 4 22 3" xfId="4545"/>
    <cellStyle name="Normal 4 22 3 2" xfId="4546"/>
    <cellStyle name="Normal 4 22 4" xfId="4547"/>
    <cellStyle name="Normal 4 22 5" xfId="4548"/>
    <cellStyle name="Normal 4 23" xfId="4549"/>
    <cellStyle name="Normal 4 23 2" xfId="4550"/>
    <cellStyle name="Normal 4 23 2 2" xfId="4551"/>
    <cellStyle name="Normal 4 23 2 2 2" xfId="4552"/>
    <cellStyle name="Normal 4 23 2 3" xfId="4553"/>
    <cellStyle name="Normal 4 23 3" xfId="4554"/>
    <cellStyle name="Normal 4 23 3 2" xfId="4555"/>
    <cellStyle name="Normal 4 23 4" xfId="4556"/>
    <cellStyle name="Normal 4 23 5" xfId="4557"/>
    <cellStyle name="Normal 4 24" xfId="4558"/>
    <cellStyle name="Normal 4 24 2" xfId="4559"/>
    <cellStyle name="Normal 4 24 2 2" xfId="4560"/>
    <cellStyle name="Normal 4 24 2 2 2" xfId="4561"/>
    <cellStyle name="Normal 4 24 2 3" xfId="4562"/>
    <cellStyle name="Normal 4 24 3" xfId="4563"/>
    <cellStyle name="Normal 4 24 3 2" xfId="4564"/>
    <cellStyle name="Normal 4 24 4" xfId="4565"/>
    <cellStyle name="Normal 4 24 5" xfId="4566"/>
    <cellStyle name="Normal 4 25" xfId="4567"/>
    <cellStyle name="Normal 4 25 2" xfId="4568"/>
    <cellStyle name="Normal 4 25 2 2" xfId="4569"/>
    <cellStyle name="Normal 4 25 3" xfId="4570"/>
    <cellStyle name="Normal 4 25 4" xfId="4571"/>
    <cellStyle name="Normal 4 26" xfId="4572"/>
    <cellStyle name="Normal 4 26 2" xfId="4573"/>
    <cellStyle name="Normal 4 27" xfId="4574"/>
    <cellStyle name="Normal 4 27 2" xfId="4575"/>
    <cellStyle name="Normal 4 27 2 2" xfId="4576"/>
    <cellStyle name="Normal 4 27 3" xfId="4577"/>
    <cellStyle name="Normal 4 27 4" xfId="4578"/>
    <cellStyle name="Normal 4 28" xfId="4579"/>
    <cellStyle name="Normal 4 28 2" xfId="4580"/>
    <cellStyle name="Normal 4 28 3" xfId="4581"/>
    <cellStyle name="Normal 4 29" xfId="4582"/>
    <cellStyle name="Normal 4 29 2" xfId="4583"/>
    <cellStyle name="Normal 4 3" xfId="1197"/>
    <cellStyle name="Normal 4 3 2" xfId="4585"/>
    <cellStyle name="Normal 4 3 2 2" xfId="4586"/>
    <cellStyle name="Normal 4 3 2 2 2" xfId="4587"/>
    <cellStyle name="Normal 4 3 2 2 2 2" xfId="11230"/>
    <cellStyle name="Normal 4 3 2 2 3" xfId="8333"/>
    <cellStyle name="Normal 4 3 2 3" xfId="4588"/>
    <cellStyle name="Normal 4 3 2 3 2" xfId="9790"/>
    <cellStyle name="Normal 4 3 2 4" xfId="4589"/>
    <cellStyle name="Normal 4 3 2 5" xfId="6854"/>
    <cellStyle name="Normal 4 3 3" xfId="4590"/>
    <cellStyle name="Normal 4 3 3 2" xfId="10572"/>
    <cellStyle name="Normal 4 3 3 3" xfId="7672"/>
    <cellStyle name="Normal 4 3 4" xfId="4591"/>
    <cellStyle name="Normal 4 3 4 2" xfId="9132"/>
    <cellStyle name="Normal 4 3 5" xfId="4584"/>
    <cellStyle name="Normal 4 3 6" xfId="6146"/>
    <cellStyle name="Normal 4 30" xfId="4592"/>
    <cellStyle name="Normal 4 30 2" xfId="4593"/>
    <cellStyle name="Normal 4 31" xfId="4594"/>
    <cellStyle name="Normal 4 31 2" xfId="4595"/>
    <cellStyle name="Normal 4 32" xfId="4596"/>
    <cellStyle name="Normal 4 32 2" xfId="4597"/>
    <cellStyle name="Normal 4 33" xfId="4598"/>
    <cellStyle name="Normal 4 33 2" xfId="4599"/>
    <cellStyle name="Normal 4 34" xfId="4600"/>
    <cellStyle name="Normal 4 35" xfId="4601"/>
    <cellStyle name="Normal 4 36" xfId="4602"/>
    <cellStyle name="Normal 4 37" xfId="4603"/>
    <cellStyle name="Normal 4 38" xfId="4604"/>
    <cellStyle name="Normal 4 39" xfId="4605"/>
    <cellStyle name="Normal 4 4" xfId="1198"/>
    <cellStyle name="Normal 4 4 2" xfId="4607"/>
    <cellStyle name="Normal 4 4 3" xfId="4608"/>
    <cellStyle name="Normal 4 4 4" xfId="4609"/>
    <cellStyle name="Normal 4 4 5" xfId="4606"/>
    <cellStyle name="Normal 4 40" xfId="4610"/>
    <cellStyle name="Normal 4 41" xfId="4611"/>
    <cellStyle name="Normal 4 42" xfId="4612"/>
    <cellStyle name="Normal 4 43" xfId="4613"/>
    <cellStyle name="Normal 4 44" xfId="4614"/>
    <cellStyle name="Normal 4 45" xfId="4615"/>
    <cellStyle name="Normal 4 46" xfId="4616"/>
    <cellStyle name="Normal 4 47" xfId="4617"/>
    <cellStyle name="Normal 4 48" xfId="4618"/>
    <cellStyle name="Normal 4 49" xfId="4619"/>
    <cellStyle name="Normal 4 5" xfId="1508"/>
    <cellStyle name="Normal 4 5 2" xfId="4621"/>
    <cellStyle name="Normal 4 5 3" xfId="4620"/>
    <cellStyle name="Normal 4 50" xfId="4622"/>
    <cellStyle name="Normal 4 51" xfId="4623"/>
    <cellStyle name="Normal 4 52" xfId="4624"/>
    <cellStyle name="Normal 4 53" xfId="4625"/>
    <cellStyle name="Normal 4 54" xfId="4626"/>
    <cellStyle name="Normal 4 55" xfId="4627"/>
    <cellStyle name="Normal 4 56" xfId="4628"/>
    <cellStyle name="Normal 4 57" xfId="4629"/>
    <cellStyle name="Normal 4 58" xfId="4630"/>
    <cellStyle name="Normal 4 59" xfId="4631"/>
    <cellStyle name="Normal 4 6" xfId="4632"/>
    <cellStyle name="Normal 4 6 2" xfId="4633"/>
    <cellStyle name="Normal 4 60" xfId="4634"/>
    <cellStyle name="Normal 4 61" xfId="4635"/>
    <cellStyle name="Normal 4 62" xfId="4636"/>
    <cellStyle name="Normal 4 63" xfId="4637"/>
    <cellStyle name="Normal 4 64" xfId="4638"/>
    <cellStyle name="Normal 4 65" xfId="4639"/>
    <cellStyle name="Normal 4 66" xfId="4640"/>
    <cellStyle name="Normal 4 67" xfId="4641"/>
    <cellStyle name="Normal 4 68" xfId="4642"/>
    <cellStyle name="Normal 4 69" xfId="4643"/>
    <cellStyle name="Normal 4 7" xfId="4644"/>
    <cellStyle name="Normal 4 7 2" xfId="4645"/>
    <cellStyle name="Normal 4 70" xfId="4646"/>
    <cellStyle name="Normal 4 71" xfId="4647"/>
    <cellStyle name="Normal 4 72" xfId="4648"/>
    <cellStyle name="Normal 4 73" xfId="4649"/>
    <cellStyle name="Normal 4 74" xfId="4650"/>
    <cellStyle name="Normal 4 75" xfId="4651"/>
    <cellStyle name="Normal 4 76" xfId="4652"/>
    <cellStyle name="Normal 4 77" xfId="4653"/>
    <cellStyle name="Normal 4 78" xfId="4654"/>
    <cellStyle name="Normal 4 79" xfId="4655"/>
    <cellStyle name="Normal 4 8" xfId="4656"/>
    <cellStyle name="Normal 4 8 2" xfId="4657"/>
    <cellStyle name="Normal 4 80" xfId="4658"/>
    <cellStyle name="Normal 4 81" xfId="4659"/>
    <cellStyle name="Normal 4 82" xfId="4660"/>
    <cellStyle name="Normal 4 83" xfId="4661"/>
    <cellStyle name="Normal 4 84" xfId="4662"/>
    <cellStyle name="Normal 4 85" xfId="4663"/>
    <cellStyle name="Normal 4 86" xfId="4664"/>
    <cellStyle name="Normal 4 87" xfId="4665"/>
    <cellStyle name="Normal 4 88" xfId="4666"/>
    <cellStyle name="Normal 4 89" xfId="4667"/>
    <cellStyle name="Normal 4 9" xfId="4668"/>
    <cellStyle name="Normal 4 9 2" xfId="4669"/>
    <cellStyle name="Normal 4 90" xfId="4670"/>
    <cellStyle name="Normal 4 91" xfId="4671"/>
    <cellStyle name="Normal 4 92" xfId="4672"/>
    <cellStyle name="Normal 4 93" xfId="4673"/>
    <cellStyle name="Normal 4 94" xfId="4674"/>
    <cellStyle name="Normal 4 95" xfId="4675"/>
    <cellStyle name="Normal 4 96" xfId="4676"/>
    <cellStyle name="Normal 4 97" xfId="4677"/>
    <cellStyle name="Normal 4 98" xfId="4678"/>
    <cellStyle name="Normal 4 99" xfId="4679"/>
    <cellStyle name="Normal 4_Centre Wellington 2013 Load Foecast-April 4" xfId="1199"/>
    <cellStyle name="Normal 40" xfId="1200"/>
    <cellStyle name="Normal 40 2" xfId="4680"/>
    <cellStyle name="Normal 41" xfId="1201"/>
    <cellStyle name="Normal 41 2" xfId="4681"/>
    <cellStyle name="Normal 42" xfId="1202"/>
    <cellStyle name="Normal 42 2" xfId="4682"/>
    <cellStyle name="Normal 43" xfId="1203"/>
    <cellStyle name="Normal 43 2" xfId="4683"/>
    <cellStyle name="Normal 44" xfId="1204"/>
    <cellStyle name="Normal 44 2" xfId="4684"/>
    <cellStyle name="Normal 45" xfId="1205"/>
    <cellStyle name="Normal 45 2" xfId="4685"/>
    <cellStyle name="Normal 46" xfId="1206"/>
    <cellStyle name="Normal 46 2" xfId="4686"/>
    <cellStyle name="Normal 47" xfId="1207"/>
    <cellStyle name="Normal 47 10" xfId="4688"/>
    <cellStyle name="Normal 47 11" xfId="4689"/>
    <cellStyle name="Normal 47 11 2" xfId="4690"/>
    <cellStyle name="Normal 47 11 3" xfId="4691"/>
    <cellStyle name="Normal 47 11 4" xfId="4692"/>
    <cellStyle name="Normal 47 11 5" xfId="4693"/>
    <cellStyle name="Normal 47 11 6" xfId="4694"/>
    <cellStyle name="Normal 47 11 7" xfId="4695"/>
    <cellStyle name="Normal 47 11 8" xfId="4696"/>
    <cellStyle name="Normal 47 12" xfId="4697"/>
    <cellStyle name="Normal 47 13" xfId="4698"/>
    <cellStyle name="Normal 47 14" xfId="4699"/>
    <cellStyle name="Normal 47 15" xfId="4700"/>
    <cellStyle name="Normal 47 16" xfId="4701"/>
    <cellStyle name="Normal 47 17" xfId="4702"/>
    <cellStyle name="Normal 47 18" xfId="4687"/>
    <cellStyle name="Normal 47 2" xfId="4703"/>
    <cellStyle name="Normal 47 3" xfId="4704"/>
    <cellStyle name="Normal 47 3 2" xfId="4705"/>
    <cellStyle name="Normal 47 3 3" xfId="4706"/>
    <cellStyle name="Normal 47 3 4" xfId="4707"/>
    <cellStyle name="Normal 47 3 5" xfId="4708"/>
    <cellStyle name="Normal 47 3 6" xfId="4709"/>
    <cellStyle name="Normal 47 3 7" xfId="4710"/>
    <cellStyle name="Normal 47 3 8" xfId="4711"/>
    <cellStyle name="Normal 47 4" xfId="4712"/>
    <cellStyle name="Normal 47 4 2" xfId="4713"/>
    <cellStyle name="Normal 47 4 3" xfId="4714"/>
    <cellStyle name="Normal 47 4 4" xfId="4715"/>
    <cellStyle name="Normal 47 4 5" xfId="4716"/>
    <cellStyle name="Normal 47 4 6" xfId="4717"/>
    <cellStyle name="Normal 47 4 7" xfId="4718"/>
    <cellStyle name="Normal 47 4 8" xfId="4719"/>
    <cellStyle name="Normal 47 5" xfId="4720"/>
    <cellStyle name="Normal 47 5 2" xfId="4721"/>
    <cellStyle name="Normal 47 5 3" xfId="4722"/>
    <cellStyle name="Normal 47 5 4" xfId="4723"/>
    <cellStyle name="Normal 47 5 5" xfId="4724"/>
    <cellStyle name="Normal 47 5 6" xfId="4725"/>
    <cellStyle name="Normal 47 5 7" xfId="4726"/>
    <cellStyle name="Normal 47 5 8" xfId="4727"/>
    <cellStyle name="Normal 47 6" xfId="4728"/>
    <cellStyle name="Normal 47 6 2" xfId="4729"/>
    <cellStyle name="Normal 47 6 3" xfId="4730"/>
    <cellStyle name="Normal 47 6 4" xfId="4731"/>
    <cellStyle name="Normal 47 6 5" xfId="4732"/>
    <cellStyle name="Normal 47 6 6" xfId="4733"/>
    <cellStyle name="Normal 47 6 7" xfId="4734"/>
    <cellStyle name="Normal 47 6 8" xfId="4735"/>
    <cellStyle name="Normal 47 7" xfId="4736"/>
    <cellStyle name="Normal 47 7 2" xfId="4737"/>
    <cellStyle name="Normal 47 7 3" xfId="4738"/>
    <cellStyle name="Normal 47 7 4" xfId="4739"/>
    <cellStyle name="Normal 47 7 5" xfId="4740"/>
    <cellStyle name="Normal 47 7 6" xfId="4741"/>
    <cellStyle name="Normal 47 7 7" xfId="4742"/>
    <cellStyle name="Normal 47 7 8" xfId="4743"/>
    <cellStyle name="Normal 47 8" xfId="4744"/>
    <cellStyle name="Normal 47 8 2" xfId="4745"/>
    <cellStyle name="Normal 47 8 3" xfId="4746"/>
    <cellStyle name="Normal 47 8 4" xfId="4747"/>
    <cellStyle name="Normal 47 8 5" xfId="4748"/>
    <cellStyle name="Normal 47 8 6" xfId="4749"/>
    <cellStyle name="Normal 47 8 7" xfId="4750"/>
    <cellStyle name="Normal 47 8 8" xfId="4751"/>
    <cellStyle name="Normal 47 9" xfId="4752"/>
    <cellStyle name="Normal 48" xfId="1208"/>
    <cellStyle name="Normal 48 2" xfId="4753"/>
    <cellStyle name="Normal 48 3" xfId="7448"/>
    <cellStyle name="Normal 49" xfId="1209"/>
    <cellStyle name="Normal 49 10" xfId="7504"/>
    <cellStyle name="Normal 49 2" xfId="4755"/>
    <cellStyle name="Normal 49 2 2" xfId="4756"/>
    <cellStyle name="Normal 49 2 2 2" xfId="4757"/>
    <cellStyle name="Normal 49 2 2 2 2" xfId="4758"/>
    <cellStyle name="Normal 49 2 2 3" xfId="4759"/>
    <cellStyle name="Normal 49 2 3" xfId="4760"/>
    <cellStyle name="Normal 49 2 3 2" xfId="4761"/>
    <cellStyle name="Normal 49 2 4" xfId="4762"/>
    <cellStyle name="Normal 49 3" xfId="4763"/>
    <cellStyle name="Normal 49 3 2" xfId="4764"/>
    <cellStyle name="Normal 49 3 2 2" xfId="4765"/>
    <cellStyle name="Normal 49 3 2 2 2" xfId="4766"/>
    <cellStyle name="Normal 49 3 2 3" xfId="4767"/>
    <cellStyle name="Normal 49 3 3" xfId="4768"/>
    <cellStyle name="Normal 49 3 3 2" xfId="4769"/>
    <cellStyle name="Normal 49 3 4" xfId="4770"/>
    <cellStyle name="Normal 49 4" xfId="4771"/>
    <cellStyle name="Normal 49 4 2" xfId="4772"/>
    <cellStyle name="Normal 49 4 2 2" xfId="4773"/>
    <cellStyle name="Normal 49 4 2 2 2" xfId="4774"/>
    <cellStyle name="Normal 49 4 2 3" xfId="4775"/>
    <cellStyle name="Normal 49 4 3" xfId="4776"/>
    <cellStyle name="Normal 49 4 3 2" xfId="4777"/>
    <cellStyle name="Normal 49 4 4" xfId="4778"/>
    <cellStyle name="Normal 49 5" xfId="4779"/>
    <cellStyle name="Normal 49 5 2" xfId="4780"/>
    <cellStyle name="Normal 49 5 2 2" xfId="4781"/>
    <cellStyle name="Normal 49 5 3" xfId="4782"/>
    <cellStyle name="Normal 49 6" xfId="4783"/>
    <cellStyle name="Normal 49 6 2" xfId="4784"/>
    <cellStyle name="Normal 49 7" xfId="4785"/>
    <cellStyle name="Normal 49 8" xfId="4786"/>
    <cellStyle name="Normal 49 9" xfId="4754"/>
    <cellStyle name="Normal 5" xfId="1210"/>
    <cellStyle name="Normal-- 5" xfId="4788"/>
    <cellStyle name="Normal 5 10" xfId="4789"/>
    <cellStyle name="Normal 5 10 2" xfId="4790"/>
    <cellStyle name="Normal 5 100" xfId="4791"/>
    <cellStyle name="Normal 5 101" xfId="4792"/>
    <cellStyle name="Normal 5 102" xfId="4793"/>
    <cellStyle name="Normal 5 103" xfId="4794"/>
    <cellStyle name="Normal 5 104" xfId="4795"/>
    <cellStyle name="Normal 5 105" xfId="4796"/>
    <cellStyle name="Normal 5 106" xfId="4797"/>
    <cellStyle name="Normal 5 107" xfId="4798"/>
    <cellStyle name="Normal 5 108" xfId="4799"/>
    <cellStyle name="Normal 5 109" xfId="4800"/>
    <cellStyle name="Normal 5 11" xfId="4801"/>
    <cellStyle name="Normal 5 11 2" xfId="4802"/>
    <cellStyle name="Normal 5 110" xfId="4803"/>
    <cellStyle name="Normal 5 111" xfId="4804"/>
    <cellStyle name="Normal 5 112" xfId="4805"/>
    <cellStyle name="Normal 5 113" xfId="4806"/>
    <cellStyle name="Normal 5 114" xfId="4787"/>
    <cellStyle name="Normal 5 115" xfId="6011"/>
    <cellStyle name="Normal 5 116" xfId="5998"/>
    <cellStyle name="Normal 5 12" xfId="4807"/>
    <cellStyle name="Normal 5 12 2" xfId="4808"/>
    <cellStyle name="Normal 5 13" xfId="4809"/>
    <cellStyle name="Normal 5 13 2" xfId="4810"/>
    <cellStyle name="Normal 5 14" xfId="4811"/>
    <cellStyle name="Normal 5 14 2" xfId="4812"/>
    <cellStyle name="Normal 5 15" xfId="4813"/>
    <cellStyle name="Normal 5 15 2" xfId="4814"/>
    <cellStyle name="Normal 5 16" xfId="4815"/>
    <cellStyle name="Normal 5 16 2" xfId="4816"/>
    <cellStyle name="Normal 5 17" xfId="4817"/>
    <cellStyle name="Normal 5 17 2" xfId="4818"/>
    <cellStyle name="Normal 5 18" xfId="4819"/>
    <cellStyle name="Normal 5 18 2" xfId="4820"/>
    <cellStyle name="Normal 5 19" xfId="4821"/>
    <cellStyle name="Normal 5 19 2" xfId="4822"/>
    <cellStyle name="Normal 5 2" xfId="1211"/>
    <cellStyle name="Normal 5 2 2" xfId="1212"/>
    <cellStyle name="Normal 5 2 2 2" xfId="4824"/>
    <cellStyle name="Normal 5 2 2 2 2" xfId="8339"/>
    <cellStyle name="Normal 5 2 2 2 2 2" xfId="11236"/>
    <cellStyle name="Normal 5 2 2 2 3" xfId="9796"/>
    <cellStyle name="Normal 5 2 2 2 4" xfId="6861"/>
    <cellStyle name="Normal 5 2 2 3" xfId="7578"/>
    <cellStyle name="Normal 5 2 2 3 2" xfId="9036"/>
    <cellStyle name="Normal 5 2 2 3 2 2" xfId="11933"/>
    <cellStyle name="Normal 5 2 2 3 3" xfId="10493"/>
    <cellStyle name="Normal 5 2 2 4" xfId="7585"/>
    <cellStyle name="Normal 5 2 2 4 2" xfId="10497"/>
    <cellStyle name="Normal 5 2 2 5" xfId="9050"/>
    <cellStyle name="Normal 5 2 2 5 2" xfId="11937"/>
    <cellStyle name="Normal 5 2 2 6" xfId="9055"/>
    <cellStyle name="Normal 5 2 2 7" xfId="6045"/>
    <cellStyle name="Normal 5 2 3" xfId="4825"/>
    <cellStyle name="Normal 5 2 3 2" xfId="10578"/>
    <cellStyle name="Normal 5 2 3 3" xfId="7678"/>
    <cellStyle name="Normal 5 2 4" xfId="4826"/>
    <cellStyle name="Normal 5 2 4 2" xfId="9138"/>
    <cellStyle name="Normal 5 2 5" xfId="4827"/>
    <cellStyle name="Normal 5 2 6" xfId="4823"/>
    <cellStyle name="Normal 5 2 7" xfId="6153"/>
    <cellStyle name="Normal 5 20" xfId="4828"/>
    <cellStyle name="Normal 5 20 2" xfId="4829"/>
    <cellStyle name="Normal 5 21" xfId="4830"/>
    <cellStyle name="Normal 5 21 2" xfId="4831"/>
    <cellStyle name="Normal 5 22" xfId="4832"/>
    <cellStyle name="Normal 5 22 2" xfId="4833"/>
    <cellStyle name="Normal 5 22 2 2" xfId="4834"/>
    <cellStyle name="Normal 5 22 3" xfId="4835"/>
    <cellStyle name="Normal 5 22 4" xfId="4836"/>
    <cellStyle name="Normal 5 23" xfId="4837"/>
    <cellStyle name="Normal 5 23 2" xfId="4838"/>
    <cellStyle name="Normal 5 24" xfId="4839"/>
    <cellStyle name="Normal 5 24 2" xfId="4840"/>
    <cellStyle name="Normal 5 25" xfId="4841"/>
    <cellStyle name="Normal 5 25 2" xfId="4842"/>
    <cellStyle name="Normal 5 26" xfId="4843"/>
    <cellStyle name="Normal 5 26 2" xfId="4844"/>
    <cellStyle name="Normal 5 27" xfId="4845"/>
    <cellStyle name="Normal 5 27 2" xfId="4846"/>
    <cellStyle name="Normal 5 28" xfId="4847"/>
    <cellStyle name="Normal 5 28 2" xfId="4848"/>
    <cellStyle name="Normal 5 29" xfId="4849"/>
    <cellStyle name="Normal 5 29 2" xfId="4850"/>
    <cellStyle name="Normal 5 3" xfId="1213"/>
    <cellStyle name="Normal 5 3 2" xfId="4852"/>
    <cellStyle name="Normal 5 3 2 2" xfId="8335"/>
    <cellStyle name="Normal 5 3 2 2 2" xfId="11232"/>
    <cellStyle name="Normal 5 3 2 3" xfId="9792"/>
    <cellStyle name="Normal 5 3 2 4" xfId="6856"/>
    <cellStyle name="Normal 5 3 3" xfId="4851"/>
    <cellStyle name="Normal 5 3 3 2" xfId="10574"/>
    <cellStyle name="Normal 5 3 3 3" xfId="7674"/>
    <cellStyle name="Normal 5 3 4" xfId="9134"/>
    <cellStyle name="Normal 5 3 5" xfId="6148"/>
    <cellStyle name="Normal 5 30" xfId="4853"/>
    <cellStyle name="Normal 5 30 2" xfId="4854"/>
    <cellStyle name="Normal 5 31" xfId="4855"/>
    <cellStyle name="Normal 5 31 2" xfId="4856"/>
    <cellStyle name="Normal 5 32" xfId="4857"/>
    <cellStyle name="Normal 5 32 2" xfId="4858"/>
    <cellStyle name="Normal 5 33" xfId="4859"/>
    <cellStyle name="Normal 5 33 2" xfId="4860"/>
    <cellStyle name="Normal 5 34" xfId="4861"/>
    <cellStyle name="Normal 5 34 2" xfId="4862"/>
    <cellStyle name="Normal 5 35" xfId="4863"/>
    <cellStyle name="Normal 5 35 2" xfId="4864"/>
    <cellStyle name="Normal 5 36" xfId="4865"/>
    <cellStyle name="Normal 5 36 2" xfId="4866"/>
    <cellStyle name="Normal 5 37" xfId="4867"/>
    <cellStyle name="Normal 5 37 2" xfId="4868"/>
    <cellStyle name="Normal 5 38" xfId="4869"/>
    <cellStyle name="Normal 5 39" xfId="4870"/>
    <cellStyle name="Normal 5 4" xfId="1214"/>
    <cellStyle name="Normal 5 4 2" xfId="4872"/>
    <cellStyle name="Normal 5 4 3" xfId="4871"/>
    <cellStyle name="Normal 5 40" xfId="4873"/>
    <cellStyle name="Normal 5 41" xfId="4874"/>
    <cellStyle name="Normal 5 42" xfId="4875"/>
    <cellStyle name="Normal 5 43" xfId="4876"/>
    <cellStyle name="Normal 5 44" xfId="4877"/>
    <cellStyle name="Normal 5 45" xfId="4878"/>
    <cellStyle name="Normal 5 46" xfId="4879"/>
    <cellStyle name="Normal 5 47" xfId="4880"/>
    <cellStyle name="Normal 5 48" xfId="4881"/>
    <cellStyle name="Normal 5 49" xfId="4882"/>
    <cellStyle name="Normal 5 5" xfId="1510"/>
    <cellStyle name="Normal 5 5 2" xfId="4884"/>
    <cellStyle name="Normal 5 5 3" xfId="4883"/>
    <cellStyle name="Normal 5 50" xfId="4885"/>
    <cellStyle name="Normal 5 51" xfId="4886"/>
    <cellStyle name="Normal 5 52" xfId="4887"/>
    <cellStyle name="Normal 5 53" xfId="4888"/>
    <cellStyle name="Normal 5 54" xfId="4889"/>
    <cellStyle name="Normal 5 55" xfId="4890"/>
    <cellStyle name="Normal 5 56" xfId="4891"/>
    <cellStyle name="Normal 5 57" xfId="4892"/>
    <cellStyle name="Normal 5 58" xfId="4893"/>
    <cellStyle name="Normal 5 59" xfId="4894"/>
    <cellStyle name="Normal 5 6" xfId="4895"/>
    <cellStyle name="Normal 5 6 2" xfId="4896"/>
    <cellStyle name="Normal 5 60" xfId="4897"/>
    <cellStyle name="Normal 5 61" xfId="4898"/>
    <cellStyle name="Normal 5 62" xfId="4899"/>
    <cellStyle name="Normal 5 63" xfId="4900"/>
    <cellStyle name="Normal 5 64" xfId="4901"/>
    <cellStyle name="Normal 5 65" xfId="4902"/>
    <cellStyle name="Normal 5 66" xfId="4903"/>
    <cellStyle name="Normal 5 67" xfId="4904"/>
    <cellStyle name="Normal 5 68" xfId="4905"/>
    <cellStyle name="Normal 5 69" xfId="4906"/>
    <cellStyle name="Normal 5 7" xfId="4907"/>
    <cellStyle name="Normal 5 7 2" xfId="4908"/>
    <cellStyle name="Normal 5 70" xfId="4909"/>
    <cellStyle name="Normal 5 71" xfId="4910"/>
    <cellStyle name="Normal 5 72" xfId="4911"/>
    <cellStyle name="Normal 5 73" xfId="4912"/>
    <cellStyle name="Normal 5 74" xfId="4913"/>
    <cellStyle name="Normal 5 75" xfId="4914"/>
    <cellStyle name="Normal 5 76" xfId="4915"/>
    <cellStyle name="Normal 5 77" xfId="4916"/>
    <cellStyle name="Normal 5 78" xfId="4917"/>
    <cellStyle name="Normal 5 79" xfId="4918"/>
    <cellStyle name="Normal 5 8" xfId="4919"/>
    <cellStyle name="Normal 5 8 2" xfId="4920"/>
    <cellStyle name="Normal 5 80" xfId="4921"/>
    <cellStyle name="Normal 5 81" xfId="4922"/>
    <cellStyle name="Normal 5 82" xfId="4923"/>
    <cellStyle name="Normal 5 83" xfId="4924"/>
    <cellStyle name="Normal 5 84" xfId="4925"/>
    <cellStyle name="Normal 5 85" xfId="4926"/>
    <cellStyle name="Normal 5 86" xfId="4927"/>
    <cellStyle name="Normal 5 87" xfId="4928"/>
    <cellStyle name="Normal 5 88" xfId="4929"/>
    <cellStyle name="Normal 5 89" xfId="4930"/>
    <cellStyle name="Normal 5 9" xfId="4931"/>
    <cellStyle name="Normal 5 9 2" xfId="4932"/>
    <cellStyle name="Normal 5 90" xfId="4933"/>
    <cellStyle name="Normal 5 91" xfId="4934"/>
    <cellStyle name="Normal 5 92" xfId="4935"/>
    <cellStyle name="Normal 5 93" xfId="4936"/>
    <cellStyle name="Normal 5 94" xfId="4937"/>
    <cellStyle name="Normal 5 95" xfId="4938"/>
    <cellStyle name="Normal 5 96" xfId="4939"/>
    <cellStyle name="Normal 5 97" xfId="4940"/>
    <cellStyle name="Normal 5 98" xfId="4941"/>
    <cellStyle name="Normal 5 99" xfId="4942"/>
    <cellStyle name="Normal 50" xfId="1215"/>
    <cellStyle name="Normal 50 10" xfId="7566"/>
    <cellStyle name="Normal 50 2" xfId="4944"/>
    <cellStyle name="Normal 50 3" xfId="4945"/>
    <cellStyle name="Normal 50 4" xfId="4946"/>
    <cellStyle name="Normal 50 5" xfId="4947"/>
    <cellStyle name="Normal 50 6" xfId="4948"/>
    <cellStyle name="Normal 50 7" xfId="4949"/>
    <cellStyle name="Normal 50 8" xfId="4950"/>
    <cellStyle name="Normal 50 9" xfId="4943"/>
    <cellStyle name="Normal 51" xfId="1216"/>
    <cellStyle name="Normal 51 10" xfId="7564"/>
    <cellStyle name="Normal 51 2" xfId="4952"/>
    <cellStyle name="Normal 51 2 2" xfId="4953"/>
    <cellStyle name="Normal 51 2 2 2" xfId="4954"/>
    <cellStyle name="Normal 51 2 2 2 2" xfId="4955"/>
    <cellStyle name="Normal 51 2 2 3" xfId="4956"/>
    <cellStyle name="Normal 51 2 3" xfId="4957"/>
    <cellStyle name="Normal 51 2 3 2" xfId="4958"/>
    <cellStyle name="Normal 51 2 4" xfId="4959"/>
    <cellStyle name="Normal 51 3" xfId="4960"/>
    <cellStyle name="Normal 51 3 2" xfId="4961"/>
    <cellStyle name="Normal 51 3 2 2" xfId="4962"/>
    <cellStyle name="Normal 51 3 3" xfId="4963"/>
    <cellStyle name="Normal 51 4" xfId="4964"/>
    <cellStyle name="Normal 51 4 2" xfId="4965"/>
    <cellStyle name="Normal 51 5" xfId="4966"/>
    <cellStyle name="Normal 51 6" xfId="4967"/>
    <cellStyle name="Normal 51 7" xfId="4968"/>
    <cellStyle name="Normal 51 8" xfId="4969"/>
    <cellStyle name="Normal 51 9" xfId="4951"/>
    <cellStyle name="Normal 52" xfId="1217"/>
    <cellStyle name="Normal 52 10" xfId="6777"/>
    <cellStyle name="Normal 52 2" xfId="4971"/>
    <cellStyle name="Normal 52 2 2" xfId="4972"/>
    <cellStyle name="Normal 52 3" xfId="4973"/>
    <cellStyle name="Normal 52 4" xfId="4974"/>
    <cellStyle name="Normal 52 5" xfId="4975"/>
    <cellStyle name="Normal 52 6" xfId="4976"/>
    <cellStyle name="Normal 52 7" xfId="4977"/>
    <cellStyle name="Normal 52 8" xfId="4978"/>
    <cellStyle name="Normal 52 9" xfId="4970"/>
    <cellStyle name="Normal 53" xfId="1218"/>
    <cellStyle name="Normal 53 10" xfId="7569"/>
    <cellStyle name="Normal 53 2" xfId="4980"/>
    <cellStyle name="Normal 53 2 2" xfId="4981"/>
    <cellStyle name="Normal 53 2 2 2" xfId="4982"/>
    <cellStyle name="Normal 53 2 3" xfId="4983"/>
    <cellStyle name="Normal 53 3" xfId="4984"/>
    <cellStyle name="Normal 53 3 2" xfId="4985"/>
    <cellStyle name="Normal 53 4" xfId="4986"/>
    <cellStyle name="Normal 53 5" xfId="4987"/>
    <cellStyle name="Normal 53 6" xfId="4988"/>
    <cellStyle name="Normal 53 7" xfId="4989"/>
    <cellStyle name="Normal 53 8" xfId="4990"/>
    <cellStyle name="Normal 53 9" xfId="4979"/>
    <cellStyle name="Normal 54" xfId="1219"/>
    <cellStyle name="Normal 54 2" xfId="4992"/>
    <cellStyle name="Normal 54 3" xfId="4993"/>
    <cellStyle name="Normal 54 4" xfId="4994"/>
    <cellStyle name="Normal 54 5" xfId="4995"/>
    <cellStyle name="Normal 54 6" xfId="4996"/>
    <cellStyle name="Normal 54 7" xfId="4997"/>
    <cellStyle name="Normal 54 8" xfId="4998"/>
    <cellStyle name="Normal 54 9" xfId="6812"/>
    <cellStyle name="Normal 55" xfId="1220"/>
    <cellStyle name="Normal 55 10" xfId="6922"/>
    <cellStyle name="Normal 55 2" xfId="5000"/>
    <cellStyle name="Normal 55 3" xfId="5001"/>
    <cellStyle name="Normal 55 4" xfId="5002"/>
    <cellStyle name="Normal 55 5" xfId="5003"/>
    <cellStyle name="Normal 55 6" xfId="5004"/>
    <cellStyle name="Normal 55 7" xfId="5005"/>
    <cellStyle name="Normal 55 8" xfId="5006"/>
    <cellStyle name="Normal 55 9" xfId="4999"/>
    <cellStyle name="Normal 56" xfId="1221"/>
    <cellStyle name="Normal 56 10" xfId="7568"/>
    <cellStyle name="Normal 56 2" xfId="5008"/>
    <cellStyle name="Normal 56 3" xfId="5009"/>
    <cellStyle name="Normal 56 4" xfId="5010"/>
    <cellStyle name="Normal 56 5" xfId="5011"/>
    <cellStyle name="Normal 56 6" xfId="5012"/>
    <cellStyle name="Normal 56 7" xfId="5013"/>
    <cellStyle name="Normal 56 8" xfId="5014"/>
    <cellStyle name="Normal 56 9" xfId="5007"/>
    <cellStyle name="Normal 57" xfId="1222"/>
    <cellStyle name="Normal 57 10" xfId="6782"/>
    <cellStyle name="Normal 57 2" xfId="5016"/>
    <cellStyle name="Normal 57 3" xfId="5017"/>
    <cellStyle name="Normal 57 4" xfId="5018"/>
    <cellStyle name="Normal 57 5" xfId="5019"/>
    <cellStyle name="Normal 57 6" xfId="5020"/>
    <cellStyle name="Normal 57 7" xfId="5021"/>
    <cellStyle name="Normal 57 8" xfId="5022"/>
    <cellStyle name="Normal 57 9" xfId="5015"/>
    <cellStyle name="Normal 58" xfId="1500"/>
    <cellStyle name="Normal 58 10" xfId="6054"/>
    <cellStyle name="Normal 58 2" xfId="5024"/>
    <cellStyle name="Normal 58 3" xfId="5025"/>
    <cellStyle name="Normal 58 4" xfId="5026"/>
    <cellStyle name="Normal 58 5" xfId="5027"/>
    <cellStyle name="Normal 58 6" xfId="5028"/>
    <cellStyle name="Normal 58 7" xfId="5029"/>
    <cellStyle name="Normal 58 8" xfId="5030"/>
    <cellStyle name="Normal 58 9" xfId="5023"/>
    <cellStyle name="Normal 59" xfId="1509"/>
    <cellStyle name="Normal 59 10" xfId="7571"/>
    <cellStyle name="Normal 59 2" xfId="5032"/>
    <cellStyle name="Normal 59 3" xfId="5033"/>
    <cellStyle name="Normal 59 4" xfId="5034"/>
    <cellStyle name="Normal 59 5" xfId="5035"/>
    <cellStyle name="Normal 59 6" xfId="5036"/>
    <cellStyle name="Normal 59 7" xfId="5037"/>
    <cellStyle name="Normal 59 8" xfId="5038"/>
    <cellStyle name="Normal 59 9" xfId="5031"/>
    <cellStyle name="Normal 6" xfId="1223"/>
    <cellStyle name="Normal-- 6" xfId="5040"/>
    <cellStyle name="Normal 6 10" xfId="5041"/>
    <cellStyle name="Normal 6 10 2" xfId="5042"/>
    <cellStyle name="Normal 6 100" xfId="5043"/>
    <cellStyle name="Normal 6 101" xfId="5044"/>
    <cellStyle name="Normal 6 102" xfId="5045"/>
    <cellStyle name="Normal 6 103" xfId="5046"/>
    <cellStyle name="Normal 6 104" xfId="5047"/>
    <cellStyle name="Normal 6 105" xfId="5048"/>
    <cellStyle name="Normal 6 106" xfId="5049"/>
    <cellStyle name="Normal 6 107" xfId="5050"/>
    <cellStyle name="Normal 6 108" xfId="5051"/>
    <cellStyle name="Normal 6 109" xfId="5052"/>
    <cellStyle name="Normal 6 11" xfId="5053"/>
    <cellStyle name="Normal 6 11 2" xfId="5054"/>
    <cellStyle name="Normal 6 110" xfId="5055"/>
    <cellStyle name="Normal 6 111" xfId="5056"/>
    <cellStyle name="Normal 6 112" xfId="5057"/>
    <cellStyle name="Normal 6 113" xfId="5058"/>
    <cellStyle name="Normal 6 114" xfId="5059"/>
    <cellStyle name="Normal 6 115" xfId="5060"/>
    <cellStyle name="Normal 6 116" xfId="5061"/>
    <cellStyle name="Normal 6 117" xfId="5062"/>
    <cellStyle name="Normal 6 118" xfId="5039"/>
    <cellStyle name="Normal 6 119" xfId="6013"/>
    <cellStyle name="Normal 6 12" xfId="5063"/>
    <cellStyle name="Normal 6 12 2" xfId="5064"/>
    <cellStyle name="Normal 6 120" xfId="5997"/>
    <cellStyle name="Normal 6 13" xfId="5065"/>
    <cellStyle name="Normal 6 13 2" xfId="5066"/>
    <cellStyle name="Normal 6 14" xfId="5067"/>
    <cellStyle name="Normal 6 14 2" xfId="5068"/>
    <cellStyle name="Normal 6 15" xfId="5069"/>
    <cellStyle name="Normal 6 15 2" xfId="5070"/>
    <cellStyle name="Normal 6 16" xfId="5071"/>
    <cellStyle name="Normal 6 16 2" xfId="5072"/>
    <cellStyle name="Normal 6 17" xfId="5073"/>
    <cellStyle name="Normal 6 17 2" xfId="5074"/>
    <cellStyle name="Normal 6 18" xfId="5075"/>
    <cellStyle name="Normal 6 18 2" xfId="5076"/>
    <cellStyle name="Normal 6 19" xfId="5077"/>
    <cellStyle name="Normal 6 19 2" xfId="5078"/>
    <cellStyle name="Normal 6 2" xfId="1224"/>
    <cellStyle name="Normal 6 2 2" xfId="5080"/>
    <cellStyle name="Normal 6 2 2 2" xfId="8338"/>
    <cellStyle name="Normal 6 2 2 2 2" xfId="11235"/>
    <cellStyle name="Normal 6 2 2 3" xfId="9795"/>
    <cellStyle name="Normal 6 2 2 4" xfId="6859"/>
    <cellStyle name="Normal 6 2 3" xfId="5081"/>
    <cellStyle name="Normal 6 2 3 2" xfId="10577"/>
    <cellStyle name="Normal 6 2 3 3" xfId="7677"/>
    <cellStyle name="Normal 6 2 4" xfId="5082"/>
    <cellStyle name="Normal 6 2 4 2" xfId="9137"/>
    <cellStyle name="Normal 6 2 5" xfId="5083"/>
    <cellStyle name="Normal 6 2 6" xfId="5079"/>
    <cellStyle name="Normal 6 2 7" xfId="6151"/>
    <cellStyle name="Normal 6 20" xfId="5084"/>
    <cellStyle name="Normal 6 20 2" xfId="5085"/>
    <cellStyle name="Normal 6 21" xfId="5086"/>
    <cellStyle name="Normal 6 21 2" xfId="5087"/>
    <cellStyle name="Normal 6 21 2 2" xfId="5088"/>
    <cellStyle name="Normal 6 21 3" xfId="5089"/>
    <cellStyle name="Normal 6 21 4" xfId="5090"/>
    <cellStyle name="Normal 6 22" xfId="5091"/>
    <cellStyle name="Normal 6 22 2" xfId="5092"/>
    <cellStyle name="Normal 6 22 2 2" xfId="5093"/>
    <cellStyle name="Normal 6 22 3" xfId="5094"/>
    <cellStyle name="Normal 6 22 4" xfId="5095"/>
    <cellStyle name="Normal 6 23" xfId="5096"/>
    <cellStyle name="Normal 6 23 2" xfId="5097"/>
    <cellStyle name="Normal 6 24" xfId="5098"/>
    <cellStyle name="Normal 6 24 2" xfId="5099"/>
    <cellStyle name="Normal 6 25" xfId="5100"/>
    <cellStyle name="Normal 6 25 2" xfId="5101"/>
    <cellStyle name="Normal 6 26" xfId="5102"/>
    <cellStyle name="Normal 6 26 2" xfId="5103"/>
    <cellStyle name="Normal 6 27" xfId="5104"/>
    <cellStyle name="Normal 6 27 2" xfId="5105"/>
    <cellStyle name="Normal 6 28" xfId="5106"/>
    <cellStyle name="Normal 6 28 2" xfId="5107"/>
    <cellStyle name="Normal 6 29" xfId="5108"/>
    <cellStyle name="Normal 6 29 2" xfId="5109"/>
    <cellStyle name="Normal 6 3" xfId="1225"/>
    <cellStyle name="Normal 6 3 2" xfId="5111"/>
    <cellStyle name="Normal 6 3 3" xfId="5112"/>
    <cellStyle name="Normal 6 3 4" xfId="5113"/>
    <cellStyle name="Normal 6 3 5" xfId="5110"/>
    <cellStyle name="Normal 6 30" xfId="5114"/>
    <cellStyle name="Normal 6 31" xfId="5115"/>
    <cellStyle name="Normal 6 32" xfId="5116"/>
    <cellStyle name="Normal 6 33" xfId="5117"/>
    <cellStyle name="Normal 6 34" xfId="5118"/>
    <cellStyle name="Normal 6 35" xfId="5119"/>
    <cellStyle name="Normal 6 36" xfId="5120"/>
    <cellStyle name="Normal 6 37" xfId="5121"/>
    <cellStyle name="Normal 6 38" xfId="5122"/>
    <cellStyle name="Normal 6 39" xfId="5123"/>
    <cellStyle name="Normal 6 4" xfId="1511"/>
    <cellStyle name="Normal 6 4 2" xfId="5125"/>
    <cellStyle name="Normal 6 4 3" xfId="5124"/>
    <cellStyle name="Normal 6 40" xfId="5126"/>
    <cellStyle name="Normal 6 41" xfId="5127"/>
    <cellStyle name="Normal 6 42" xfId="5128"/>
    <cellStyle name="Normal 6 43" xfId="5129"/>
    <cellStyle name="Normal 6 44" xfId="5130"/>
    <cellStyle name="Normal 6 45" xfId="5131"/>
    <cellStyle name="Normal 6 46" xfId="5132"/>
    <cellStyle name="Normal 6 47" xfId="5133"/>
    <cellStyle name="Normal 6 48" xfId="5134"/>
    <cellStyle name="Normal 6 49" xfId="5135"/>
    <cellStyle name="Normal 6 5" xfId="5136"/>
    <cellStyle name="Normal 6 5 2" xfId="5137"/>
    <cellStyle name="Normal 6 50" xfId="5138"/>
    <cellStyle name="Normal 6 51" xfId="5139"/>
    <cellStyle name="Normal 6 52" xfId="5140"/>
    <cellStyle name="Normal 6 53" xfId="5141"/>
    <cellStyle name="Normal 6 54" xfId="5142"/>
    <cellStyle name="Normal 6 55" xfId="5143"/>
    <cellStyle name="Normal 6 56" xfId="5144"/>
    <cellStyle name="Normal 6 57" xfId="5145"/>
    <cellStyle name="Normal 6 58" xfId="5146"/>
    <cellStyle name="Normal 6 59" xfId="5147"/>
    <cellStyle name="Normal 6 6" xfId="5148"/>
    <cellStyle name="Normal 6 6 2" xfId="5149"/>
    <cellStyle name="Normal 6 60" xfId="5150"/>
    <cellStyle name="Normal 6 61" xfId="5151"/>
    <cellStyle name="Normal 6 62" xfId="5152"/>
    <cellStyle name="Normal 6 63" xfId="5153"/>
    <cellStyle name="Normal 6 64" xfId="5154"/>
    <cellStyle name="Normal 6 65" xfId="5155"/>
    <cellStyle name="Normal 6 66" xfId="5156"/>
    <cellStyle name="Normal 6 67" xfId="5157"/>
    <cellStyle name="Normal 6 68" xfId="5158"/>
    <cellStyle name="Normal 6 69" xfId="5159"/>
    <cellStyle name="Normal 6 7" xfId="5160"/>
    <cellStyle name="Normal 6 7 2" xfId="5161"/>
    <cellStyle name="Normal 6 70" xfId="5162"/>
    <cellStyle name="Normal 6 71" xfId="5163"/>
    <cellStyle name="Normal 6 72" xfId="5164"/>
    <cellStyle name="Normal 6 73" xfId="5165"/>
    <cellStyle name="Normal 6 74" xfId="5166"/>
    <cellStyle name="Normal 6 75" xfId="5167"/>
    <cellStyle name="Normal 6 76" xfId="5168"/>
    <cellStyle name="Normal 6 77" xfId="5169"/>
    <cellStyle name="Normal 6 78" xfId="5170"/>
    <cellStyle name="Normal 6 79" xfId="5171"/>
    <cellStyle name="Normal 6 8" xfId="5172"/>
    <cellStyle name="Normal 6 8 2" xfId="5173"/>
    <cellStyle name="Normal 6 80" xfId="5174"/>
    <cellStyle name="Normal 6 81" xfId="5175"/>
    <cellStyle name="Normal 6 82" xfId="5176"/>
    <cellStyle name="Normal 6 83" xfId="5177"/>
    <cellStyle name="Normal 6 84" xfId="5178"/>
    <cellStyle name="Normal 6 85" xfId="5179"/>
    <cellStyle name="Normal 6 86" xfId="5180"/>
    <cellStyle name="Normal 6 87" xfId="5181"/>
    <cellStyle name="Normal 6 88" xfId="5182"/>
    <cellStyle name="Normal 6 89" xfId="5183"/>
    <cellStyle name="Normal 6 9" xfId="5184"/>
    <cellStyle name="Normal 6 9 2" xfId="5185"/>
    <cellStyle name="Normal 6 90" xfId="5186"/>
    <cellStyle name="Normal 6 91" xfId="5187"/>
    <cellStyle name="Normal 6 92" xfId="5188"/>
    <cellStyle name="Normal 6 93" xfId="5189"/>
    <cellStyle name="Normal 6 94" xfId="5190"/>
    <cellStyle name="Normal 6 95" xfId="5191"/>
    <cellStyle name="Normal 6 96" xfId="5192"/>
    <cellStyle name="Normal 6 97" xfId="5193"/>
    <cellStyle name="Normal 6 98" xfId="5194"/>
    <cellStyle name="Normal 6 99" xfId="5195"/>
    <cellStyle name="Normal 60" xfId="1517"/>
    <cellStyle name="Normal 60 2" xfId="5196"/>
    <cellStyle name="Normal 60 3" xfId="5197"/>
    <cellStyle name="Normal 60 4" xfId="5198"/>
    <cellStyle name="Normal 60 5" xfId="5199"/>
    <cellStyle name="Normal 60 6" xfId="5200"/>
    <cellStyle name="Normal 60 7" xfId="5201"/>
    <cellStyle name="Normal 60 8" xfId="5202"/>
    <cellStyle name="Normal 60 9" xfId="7574"/>
    <cellStyle name="Normal 61" xfId="1518"/>
    <cellStyle name="Normal 61 2" xfId="5203"/>
    <cellStyle name="Normal 61 3" xfId="5204"/>
    <cellStyle name="Normal 61 4" xfId="5205"/>
    <cellStyle name="Normal 61 5" xfId="5206"/>
    <cellStyle name="Normal 61 6" xfId="5207"/>
    <cellStyle name="Normal 61 7" xfId="5208"/>
    <cellStyle name="Normal 61 8" xfId="5209"/>
    <cellStyle name="Normal 61 9" xfId="7572"/>
    <cellStyle name="Normal 62" xfId="1519"/>
    <cellStyle name="Normal 62 2" xfId="5210"/>
    <cellStyle name="Normal 62 2 2" xfId="11932"/>
    <cellStyle name="Normal 62 2 3" xfId="9035"/>
    <cellStyle name="Normal 62 3" xfId="5211"/>
    <cellStyle name="Normal 62 3 2" xfId="10492"/>
    <cellStyle name="Normal 62 4" xfId="5212"/>
    <cellStyle name="Normal 62 5" xfId="5213"/>
    <cellStyle name="Normal 62 6" xfId="5214"/>
    <cellStyle name="Normal 62 7" xfId="5215"/>
    <cellStyle name="Normal 62 8" xfId="5216"/>
    <cellStyle name="Normal 62 9" xfId="7577"/>
    <cellStyle name="Normal 63" xfId="1512"/>
    <cellStyle name="Normal 63 2" xfId="5217"/>
    <cellStyle name="Normal 63 3" xfId="5218"/>
    <cellStyle name="Normal 63 4" xfId="5219"/>
    <cellStyle name="Normal 63 5" xfId="5220"/>
    <cellStyle name="Normal 63 6" xfId="5221"/>
    <cellStyle name="Normal 63 7" xfId="5222"/>
    <cellStyle name="Normal 63 8" xfId="5223"/>
    <cellStyle name="Normal 64" xfId="1525"/>
    <cellStyle name="Normal 64 2" xfId="5224"/>
    <cellStyle name="Normal 64 3" xfId="5225"/>
    <cellStyle name="Normal 64 4" xfId="5226"/>
    <cellStyle name="Normal 64 5" xfId="5227"/>
    <cellStyle name="Normal 64 6" xfId="5228"/>
    <cellStyle name="Normal 64 7" xfId="5229"/>
    <cellStyle name="Normal 64 8" xfId="5230"/>
    <cellStyle name="Normal 64 9" xfId="7582"/>
    <cellStyle name="Normal 65" xfId="5231"/>
    <cellStyle name="Normal 65 2" xfId="5232"/>
    <cellStyle name="Normal 65 3" xfId="5233"/>
    <cellStyle name="Normal 65 4" xfId="5234"/>
    <cellStyle name="Normal 65 5" xfId="5235"/>
    <cellStyle name="Normal 65 6" xfId="5236"/>
    <cellStyle name="Normal 65 7" xfId="5237"/>
    <cellStyle name="Normal 65 8" xfId="5238"/>
    <cellStyle name="Normal 66" xfId="5503"/>
    <cellStyle name="Normal 66 2" xfId="7583"/>
    <cellStyle name="Normal 67" xfId="6024"/>
    <cellStyle name="Normal 67 2" xfId="5239"/>
    <cellStyle name="Normal 67 3" xfId="5240"/>
    <cellStyle name="Normal 67 4" xfId="5241"/>
    <cellStyle name="Normal 67 5" xfId="5242"/>
    <cellStyle name="Normal 67 6" xfId="5243"/>
    <cellStyle name="Normal 67 7" xfId="5244"/>
    <cellStyle name="Normal 67 8" xfId="5245"/>
    <cellStyle name="Normal 67 9" xfId="7604"/>
    <cellStyle name="Normal 68" xfId="6027"/>
    <cellStyle name="Normal 69" xfId="6028"/>
    <cellStyle name="Normal 69 2" xfId="5246"/>
    <cellStyle name="Normal 69 3" xfId="5247"/>
    <cellStyle name="Normal 69 4" xfId="5248"/>
    <cellStyle name="Normal 69 5" xfId="5249"/>
    <cellStyle name="Normal 69 6" xfId="5250"/>
    <cellStyle name="Normal 69 7" xfId="5251"/>
    <cellStyle name="Normal 69 8" xfId="5252"/>
    <cellStyle name="Normal 7" xfId="1226"/>
    <cellStyle name="Normal-- 7" xfId="5254"/>
    <cellStyle name="Normal 7 10" xfId="5255"/>
    <cellStyle name="Normal 7 11" xfId="5256"/>
    <cellStyle name="Normal 7 12" xfId="5257"/>
    <cellStyle name="Normal 7 13" xfId="5258"/>
    <cellStyle name="Normal 7 14" xfId="5259"/>
    <cellStyle name="Normal 7 15" xfId="5260"/>
    <cellStyle name="Normal 7 16" xfId="5261"/>
    <cellStyle name="Normal 7 17" xfId="5262"/>
    <cellStyle name="Normal 7 18" xfId="5263"/>
    <cellStyle name="Normal 7 19" xfId="5264"/>
    <cellStyle name="Normal 7 2" xfId="5265"/>
    <cellStyle name="Normal 7 2 2" xfId="5266"/>
    <cellStyle name="Normal 7 2 3" xfId="5267"/>
    <cellStyle name="Normal 7 2 4" xfId="5268"/>
    <cellStyle name="Normal 7 20" xfId="5269"/>
    <cellStyle name="Normal 7 21" xfId="5270"/>
    <cellStyle name="Normal 7 22" xfId="5271"/>
    <cellStyle name="Normal 7 23" xfId="5272"/>
    <cellStyle name="Normal 7 24" xfId="5273"/>
    <cellStyle name="Normal 7 25" xfId="5274"/>
    <cellStyle name="Normal 7 26" xfId="5275"/>
    <cellStyle name="Normal 7 27" xfId="5276"/>
    <cellStyle name="Normal 7 28" xfId="5277"/>
    <cellStyle name="Normal 7 29" xfId="5278"/>
    <cellStyle name="Normal 7 3" xfId="5279"/>
    <cellStyle name="Normal 7 30" xfId="5280"/>
    <cellStyle name="Normal 7 31" xfId="5281"/>
    <cellStyle name="Normal 7 32" xfId="5282"/>
    <cellStyle name="Normal 7 33" xfId="5283"/>
    <cellStyle name="Normal 7 34" xfId="5284"/>
    <cellStyle name="Normal 7 35" xfId="5285"/>
    <cellStyle name="Normal 7 36" xfId="5286"/>
    <cellStyle name="Normal 7 37" xfId="5287"/>
    <cellStyle name="Normal 7 38" xfId="5288"/>
    <cellStyle name="Normal 7 39" xfId="5253"/>
    <cellStyle name="Normal 7 4" xfId="5289"/>
    <cellStyle name="Normal 7 40" xfId="6014"/>
    <cellStyle name="Normal 7 41" xfId="5996"/>
    <cellStyle name="Normal 7 5" xfId="5290"/>
    <cellStyle name="Normal 7 6" xfId="5291"/>
    <cellStyle name="Normal 7 7" xfId="5292"/>
    <cellStyle name="Normal 7 8" xfId="5293"/>
    <cellStyle name="Normal 7 9" xfId="5294"/>
    <cellStyle name="Normal 70" xfId="6030"/>
    <cellStyle name="Normal 70 2" xfId="5295"/>
    <cellStyle name="Normal 70 3" xfId="5296"/>
    <cellStyle name="Normal 70 4" xfId="5297"/>
    <cellStyle name="Normal 70 5" xfId="5298"/>
    <cellStyle name="Normal 70 6" xfId="5299"/>
    <cellStyle name="Normal 70 7" xfId="5300"/>
    <cellStyle name="Normal 70 8" xfId="5301"/>
    <cellStyle name="Normal 71" xfId="6033"/>
    <cellStyle name="Normal 71 2" xfId="5302"/>
    <cellStyle name="Normal 71 3" xfId="5303"/>
    <cellStyle name="Normal 71 4" xfId="5304"/>
    <cellStyle name="Normal 71 5" xfId="5305"/>
    <cellStyle name="Normal 71 6" xfId="5306"/>
    <cellStyle name="Normal 71 7" xfId="5307"/>
    <cellStyle name="Normal 71 8" xfId="5308"/>
    <cellStyle name="Normal 72" xfId="6034"/>
    <cellStyle name="Normal 72 2" xfId="5309"/>
    <cellStyle name="Normal 72 3" xfId="5310"/>
    <cellStyle name="Normal 72 4" xfId="5311"/>
    <cellStyle name="Normal 72 5" xfId="5312"/>
    <cellStyle name="Normal 72 6" xfId="5313"/>
    <cellStyle name="Normal 72 7" xfId="5314"/>
    <cellStyle name="Normal 72 8" xfId="5315"/>
    <cellStyle name="Normal 73" xfId="7914"/>
    <cellStyle name="Normal 73 2" xfId="5316"/>
    <cellStyle name="Normal 73 3" xfId="5317"/>
    <cellStyle name="Normal 73 4" xfId="5318"/>
    <cellStyle name="Normal 73 5" xfId="5319"/>
    <cellStyle name="Normal 73 6" xfId="5320"/>
    <cellStyle name="Normal 73 7" xfId="5321"/>
    <cellStyle name="Normal 73 8" xfId="5322"/>
    <cellStyle name="Normal 74" xfId="7595"/>
    <cellStyle name="Normal 74 2" xfId="5323"/>
    <cellStyle name="Normal 74 3" xfId="5324"/>
    <cellStyle name="Normal 74 4" xfId="5325"/>
    <cellStyle name="Normal 74 5" xfId="5326"/>
    <cellStyle name="Normal 74 6" xfId="5327"/>
    <cellStyle name="Normal 74 7" xfId="5328"/>
    <cellStyle name="Normal 74 8" xfId="5329"/>
    <cellStyle name="Normal 75" xfId="7597"/>
    <cellStyle name="Normal 75 2" xfId="5330"/>
    <cellStyle name="Normal 75 3" xfId="5331"/>
    <cellStyle name="Normal 75 4" xfId="5332"/>
    <cellStyle name="Normal 75 5" xfId="5333"/>
    <cellStyle name="Normal 75 6" xfId="5334"/>
    <cellStyle name="Normal 75 7" xfId="5335"/>
    <cellStyle name="Normal 75 8" xfId="5336"/>
    <cellStyle name="Normal 76" xfId="5337"/>
    <cellStyle name="Normal 77" xfId="5338"/>
    <cellStyle name="Normal 77 2" xfId="7592"/>
    <cellStyle name="Normal 78" xfId="7599"/>
    <cellStyle name="Normal 79" xfId="7598"/>
    <cellStyle name="Normal 8" xfId="1227"/>
    <cellStyle name="Normal-- 8" xfId="5340"/>
    <cellStyle name="Normal 8 10" xfId="5341"/>
    <cellStyle name="Normal 8 11" xfId="5342"/>
    <cellStyle name="Normal 8 12" xfId="5343"/>
    <cellStyle name="Normal 8 13" xfId="5344"/>
    <cellStyle name="Normal 8 14" xfId="5345"/>
    <cellStyle name="Normal 8 15" xfId="5346"/>
    <cellStyle name="Normal 8 16" xfId="5347"/>
    <cellStyle name="Normal 8 17" xfId="5348"/>
    <cellStyle name="Normal 8 18" xfId="5349"/>
    <cellStyle name="Normal 8 19" xfId="5350"/>
    <cellStyle name="Normal 8 2" xfId="5351"/>
    <cellStyle name="Normal 8 2 2" xfId="5352"/>
    <cellStyle name="Normal 8 20" xfId="5353"/>
    <cellStyle name="Normal 8 21" xfId="5354"/>
    <cellStyle name="Normal 8 21 2" xfId="5355"/>
    <cellStyle name="Normal 8 21 2 2" xfId="5356"/>
    <cellStyle name="Normal 8 21 2 2 2" xfId="5357"/>
    <cellStyle name="Normal 8 21 2 3" xfId="5358"/>
    <cellStyle name="Normal 8 21 3" xfId="5359"/>
    <cellStyle name="Normal 8 21 3 2" xfId="5360"/>
    <cellStyle name="Normal 8 21 4" xfId="5361"/>
    <cellStyle name="Normal 8 22" xfId="5362"/>
    <cellStyle name="Normal 8 22 2" xfId="5363"/>
    <cellStyle name="Normal 8 22 2 2" xfId="5364"/>
    <cellStyle name="Normal 8 22 2 2 2" xfId="5365"/>
    <cellStyle name="Normal 8 22 2 3" xfId="5366"/>
    <cellStyle name="Normal 8 22 3" xfId="5367"/>
    <cellStyle name="Normal 8 22 3 2" xfId="5368"/>
    <cellStyle name="Normal 8 22 4" xfId="5369"/>
    <cellStyle name="Normal 8 23" xfId="5370"/>
    <cellStyle name="Normal 8 23 2" xfId="5371"/>
    <cellStyle name="Normal 8 23 2 2" xfId="5372"/>
    <cellStyle name="Normal 8 23 3" xfId="5373"/>
    <cellStyle name="Normal 8 24" xfId="5374"/>
    <cellStyle name="Normal 8 24 2" xfId="5375"/>
    <cellStyle name="Normal 8 25" xfId="5376"/>
    <cellStyle name="Normal 8 26" xfId="5377"/>
    <cellStyle name="Normal 8 27" xfId="5378"/>
    <cellStyle name="Normal 8 28" xfId="5379"/>
    <cellStyle name="Normal 8 29" xfId="5380"/>
    <cellStyle name="Normal 8 3" xfId="5381"/>
    <cellStyle name="Normal 8 3 2" xfId="5382"/>
    <cellStyle name="Normal 8 30" xfId="5383"/>
    <cellStyle name="Normal 8 31" xfId="5384"/>
    <cellStyle name="Normal 8 32" xfId="5385"/>
    <cellStyle name="Normal 8 33" xfId="5386"/>
    <cellStyle name="Normal 8 34" xfId="5387"/>
    <cellStyle name="Normal 8 35" xfId="5388"/>
    <cellStyle name="Normal 8 36" xfId="5389"/>
    <cellStyle name="Normal 8 37" xfId="5390"/>
    <cellStyle name="Normal 8 38" xfId="5391"/>
    <cellStyle name="Normal 8 39" xfId="5392"/>
    <cellStyle name="Normal 8 4" xfId="5393"/>
    <cellStyle name="Normal 8 40" xfId="5394"/>
    <cellStyle name="Normal 8 41" xfId="5395"/>
    <cellStyle name="Normal 8 42" xfId="5396"/>
    <cellStyle name="Normal 8 43" xfId="5339"/>
    <cellStyle name="Normal 8 44" xfId="6018"/>
    <cellStyle name="Normal 8 45" xfId="5994"/>
    <cellStyle name="Normal 8 5" xfId="5397"/>
    <cellStyle name="Normal 8 6" xfId="5398"/>
    <cellStyle name="Normal 8 7" xfId="5399"/>
    <cellStyle name="Normal 8 8" xfId="5400"/>
    <cellStyle name="Normal 8 9" xfId="5401"/>
    <cellStyle name="Normal 80" xfId="7593"/>
    <cellStyle name="Normal 81" xfId="9041"/>
    <cellStyle name="Normal 82" xfId="9049"/>
    <cellStyle name="Normal 83" xfId="7739"/>
    <cellStyle name="Normal 84" xfId="9040"/>
    <cellStyle name="Normal 85" xfId="9046"/>
    <cellStyle name="Normal 86" xfId="9048"/>
    <cellStyle name="Normal 87" xfId="9042"/>
    <cellStyle name="Normal 88" xfId="9045"/>
    <cellStyle name="Normal 89" xfId="7584"/>
    <cellStyle name="Normal 9" xfId="1228"/>
    <cellStyle name="Normal 9 2" xfId="5403"/>
    <cellStyle name="Normal 9 2 2" xfId="5404"/>
    <cellStyle name="Normal 9 3" xfId="5405"/>
    <cellStyle name="Normal 9 4" xfId="5406"/>
    <cellStyle name="Normal 9 5" xfId="5407"/>
    <cellStyle name="Normal 9 6" xfId="5408"/>
    <cellStyle name="Normal 9 7" xfId="5402"/>
    <cellStyle name="Normal 90" xfId="9043"/>
    <cellStyle name="Normal 91" xfId="7591"/>
    <cellStyle name="Normal 92" xfId="7596"/>
    <cellStyle name="Normal 93" xfId="7796"/>
    <cellStyle name="Normal 94" xfId="9047"/>
    <cellStyle name="Normal 95" xfId="7600"/>
    <cellStyle name="Normal 96" xfId="9044"/>
    <cellStyle name="Normal 97" xfId="7601"/>
    <cellStyle name="Normal 98" xfId="7594"/>
    <cellStyle name="Normal 99" xfId="9054"/>
    <cellStyle name="Normal2" xfId="5409"/>
    <cellStyle name="Normale_97.98.us" xfId="5410"/>
    <cellStyle name="NormalGB" xfId="5411"/>
    <cellStyle name="Normalx" xfId="5412"/>
    <cellStyle name="Note 10" xfId="1229"/>
    <cellStyle name="Note 11" xfId="1230"/>
    <cellStyle name="Note 12" xfId="1231"/>
    <cellStyle name="Note 13" xfId="1232"/>
    <cellStyle name="Note 14" xfId="1233"/>
    <cellStyle name="Note 15" xfId="1234"/>
    <cellStyle name="Note 16" xfId="1235"/>
    <cellStyle name="Note 16 2" xfId="6160"/>
    <cellStyle name="Note 2" xfId="1236"/>
    <cellStyle name="Note 2 10" xfId="5414"/>
    <cellStyle name="Note 2 11" xfId="5415"/>
    <cellStyle name="Note 2 12" xfId="5413"/>
    <cellStyle name="Note 2 13" xfId="5993"/>
    <cellStyle name="Note 2 2" xfId="1237"/>
    <cellStyle name="Note 2 2 2" xfId="5417"/>
    <cellStyle name="Note 2 2 2 2" xfId="5418"/>
    <cellStyle name="Note 2 2 2 2 2" xfId="11217"/>
    <cellStyle name="Note 2 2 2 2 3" xfId="8320"/>
    <cellStyle name="Note 2 2 2 3" xfId="5419"/>
    <cellStyle name="Note 2 2 2 3 2" xfId="9777"/>
    <cellStyle name="Note 2 2 2 4" xfId="6840"/>
    <cellStyle name="Note 2 2 3" xfId="5420"/>
    <cellStyle name="Note 2 2 3 2" xfId="10559"/>
    <cellStyle name="Note 2 2 3 3" xfId="7659"/>
    <cellStyle name="Note 2 2 4" xfId="5421"/>
    <cellStyle name="Note 2 2 4 2" xfId="9119"/>
    <cellStyle name="Note 2 2 5" xfId="5416"/>
    <cellStyle name="Note 2 2 6" xfId="5992"/>
    <cellStyle name="Note 2 2 7" xfId="6133"/>
    <cellStyle name="Note 2 3" xfId="1238"/>
    <cellStyle name="Note 2 3 2" xfId="5423"/>
    <cellStyle name="Note 2 3 3" xfId="5422"/>
    <cellStyle name="Note 2 4" xfId="1501"/>
    <cellStyle name="Note 2 4 2" xfId="5424"/>
    <cellStyle name="Note 2 5" xfId="5425"/>
    <cellStyle name="Note 2 6" xfId="5426"/>
    <cellStyle name="Note 2 7" xfId="5427"/>
    <cellStyle name="Note 2 8" xfId="5428"/>
    <cellStyle name="Note 2 9" xfId="5429"/>
    <cellStyle name="Note 3" xfId="1239"/>
    <cellStyle name="Note 3 2" xfId="5431"/>
    <cellStyle name="Note 3 3" xfId="5432"/>
    <cellStyle name="Note 3 4" xfId="5430"/>
    <cellStyle name="Note 4" xfId="1240"/>
    <cellStyle name="Note 4 2" xfId="5434"/>
    <cellStyle name="Note 4 3" xfId="5433"/>
    <cellStyle name="Note 5" xfId="1241"/>
    <cellStyle name="Note 5 2" xfId="5436"/>
    <cellStyle name="Note 5 3" xfId="5435"/>
    <cellStyle name="Note 6" xfId="1242"/>
    <cellStyle name="Note 6 2" xfId="5438"/>
    <cellStyle name="Note 6 3" xfId="5437"/>
    <cellStyle name="Note 7" xfId="1243"/>
    <cellStyle name="Note 7 2" xfId="5440"/>
    <cellStyle name="Note 7 3" xfId="5439"/>
    <cellStyle name="Note 8" xfId="1244"/>
    <cellStyle name="Note 8 2" xfId="5442"/>
    <cellStyle name="Note 8 2 2" xfId="5443"/>
    <cellStyle name="Note 8 2 2 2" xfId="5444"/>
    <cellStyle name="Note 8 2 2 2 2" xfId="5445"/>
    <cellStyle name="Note 8 2 2 3" xfId="5446"/>
    <cellStyle name="Note 8 2 3" xfId="5447"/>
    <cellStyle name="Note 8 2 3 2" xfId="5448"/>
    <cellStyle name="Note 8 2 4" xfId="5449"/>
    <cellStyle name="Note 8 3" xfId="5450"/>
    <cellStyle name="Note 8 3 2" xfId="5451"/>
    <cellStyle name="Note 8 3 2 2" xfId="5452"/>
    <cellStyle name="Note 8 3 2 2 2" xfId="5453"/>
    <cellStyle name="Note 8 3 2 3" xfId="5454"/>
    <cellStyle name="Note 8 3 3" xfId="5455"/>
    <cellStyle name="Note 8 3 3 2" xfId="5456"/>
    <cellStyle name="Note 8 3 4" xfId="5457"/>
    <cellStyle name="Note 8 4" xfId="5458"/>
    <cellStyle name="Note 8 4 2" xfId="5459"/>
    <cellStyle name="Note 8 4 2 2" xfId="5460"/>
    <cellStyle name="Note 8 4 3" xfId="5461"/>
    <cellStyle name="Note 8 5" xfId="5462"/>
    <cellStyle name="Note 8 5 2" xfId="5463"/>
    <cellStyle name="Note 8 6" xfId="5464"/>
    <cellStyle name="Note 8 7" xfId="5441"/>
    <cellStyle name="Note 9" xfId="1245"/>
    <cellStyle name="Nr 0 dec" xfId="5465"/>
    <cellStyle name="Nr 0 dec - Input" xfId="5466"/>
    <cellStyle name="Nr 0 dec - Subtotal" xfId="5467"/>
    <cellStyle name="Nr 0 dec_Data" xfId="5468"/>
    <cellStyle name="Nr 1 dec" xfId="5469"/>
    <cellStyle name="Nr 1 dec - Input" xfId="5470"/>
    <cellStyle name="Nr, 0 dec" xfId="5471"/>
    <cellStyle name="number" xfId="5472"/>
    <cellStyle name="Number, 1 dec" xfId="5473"/>
    <cellStyle name="Output (1dp#)" xfId="5474"/>
    <cellStyle name="Output (1dpx)_ Pies " xfId="5475"/>
    <cellStyle name="Output 10" xfId="1246"/>
    <cellStyle name="Output 11" xfId="1247"/>
    <cellStyle name="Output 12" xfId="1248"/>
    <cellStyle name="Output 13" xfId="1249"/>
    <cellStyle name="Output 14" xfId="1250"/>
    <cellStyle name="Output 15" xfId="1251"/>
    <cellStyle name="Output 16" xfId="1252"/>
    <cellStyle name="Output 16 2" xfId="6158"/>
    <cellStyle name="Output 2" xfId="1253"/>
    <cellStyle name="Output 2 10" xfId="5476"/>
    <cellStyle name="Output 2 11" xfId="5991"/>
    <cellStyle name="Output 2 2" xfId="1254"/>
    <cellStyle name="Output 2 2 2" xfId="5478"/>
    <cellStyle name="Output 2 2 3" xfId="5477"/>
    <cellStyle name="Output 2 2 4" xfId="5990"/>
    <cellStyle name="Output 2 3" xfId="5479"/>
    <cellStyle name="Output 2 4" xfId="5480"/>
    <cellStyle name="Output 2 5" xfId="5481"/>
    <cellStyle name="Output 2 6" xfId="5482"/>
    <cellStyle name="Output 2 7" xfId="5483"/>
    <cellStyle name="Output 2 8" xfId="5484"/>
    <cellStyle name="Output 2 9" xfId="5485"/>
    <cellStyle name="Output 3" xfId="1255"/>
    <cellStyle name="Output 4" xfId="1256"/>
    <cellStyle name="Output 5" xfId="1257"/>
    <cellStyle name="Output 6" xfId="1258"/>
    <cellStyle name="Output 7" xfId="1259"/>
    <cellStyle name="Output 8" xfId="1260"/>
    <cellStyle name="Output 9" xfId="1261"/>
    <cellStyle name="Page Heading" xfId="5486"/>
    <cellStyle name="Page Heading Large" xfId="5487"/>
    <cellStyle name="Page Heading Small" xfId="5488"/>
    <cellStyle name="Page Number" xfId="5489"/>
    <cellStyle name="pb_page_heading_LS" xfId="5490"/>
    <cellStyle name="Per aandeel" xfId="5491"/>
    <cellStyle name="Percent" xfId="2" builtinId="5"/>
    <cellStyle name="Percent (1)" xfId="5492"/>
    <cellStyle name="Percent [0]" xfId="5493"/>
    <cellStyle name="Percent [00]" xfId="5494"/>
    <cellStyle name="Percent [1]" xfId="5495"/>
    <cellStyle name="Percent [2]" xfId="1262"/>
    <cellStyle name="Percent [2] 2" xfId="5497"/>
    <cellStyle name="Percent [2] 3" xfId="5498"/>
    <cellStyle name="Percent [2] 4" xfId="5496"/>
    <cellStyle name="Percent 1 dec" xfId="5499"/>
    <cellStyle name="Percent 1 dec - Input" xfId="5500"/>
    <cellStyle name="Percent 1 dec_Data" xfId="5501"/>
    <cellStyle name="Percent 10" xfId="1263"/>
    <cellStyle name="Percent 11" xfId="1264"/>
    <cellStyle name="Percent 11 2" xfId="6225"/>
    <cellStyle name="Percent 12" xfId="1265"/>
    <cellStyle name="Percent 12 2" xfId="6298"/>
    <cellStyle name="Percent 13" xfId="1266"/>
    <cellStyle name="Percent 13 2" xfId="6286"/>
    <cellStyle name="Percent 14" xfId="1267"/>
    <cellStyle name="Percent 14 2" xfId="6288"/>
    <cellStyle name="Percent 15" xfId="1268"/>
    <cellStyle name="Percent 15 2" xfId="6280"/>
    <cellStyle name="Percent 16" xfId="1269"/>
    <cellStyle name="Percent 16 2" xfId="6769"/>
    <cellStyle name="Percent 17" xfId="1270"/>
    <cellStyle name="Percent 17 2" xfId="6293"/>
    <cellStyle name="Percent 18" xfId="1271"/>
    <cellStyle name="Percent 18 2" xfId="6300"/>
    <cellStyle name="Percent 19" xfId="1272"/>
    <cellStyle name="Percent 19 2" xfId="6282"/>
    <cellStyle name="Percent 2" xfId="14"/>
    <cellStyle name="Percent 2 10" xfId="5504"/>
    <cellStyle name="Percent 2 10 2" xfId="5505"/>
    <cellStyle name="Percent 2 10 2 2" xfId="5506"/>
    <cellStyle name="Percent 2 10 3" xfId="5507"/>
    <cellStyle name="Percent 2 11" xfId="5508"/>
    <cellStyle name="Percent 2 12" xfId="5509"/>
    <cellStyle name="Percent 2 12 2" xfId="5510"/>
    <cellStyle name="Percent 2 12 2 2" xfId="5511"/>
    <cellStyle name="Percent 2 12 3" xfId="5512"/>
    <cellStyle name="Percent 2 13" xfId="5513"/>
    <cellStyle name="Percent 2 13 2" xfId="5514"/>
    <cellStyle name="Percent 2 14" xfId="5515"/>
    <cellStyle name="Percent 2 15" xfId="5516"/>
    <cellStyle name="Percent 2 16" xfId="5517"/>
    <cellStyle name="Percent 2 17" xfId="5518"/>
    <cellStyle name="Percent 2 18" xfId="5519"/>
    <cellStyle name="Percent 2 19" xfId="5520"/>
    <cellStyle name="Percent 2 2" xfId="1273"/>
    <cellStyle name="Percent 2 2 10" xfId="7519"/>
    <cellStyle name="Percent 2 2 10 2" xfId="8991"/>
    <cellStyle name="Percent 2 2 10 2 2" xfId="11888"/>
    <cellStyle name="Percent 2 2 10 3" xfId="10448"/>
    <cellStyle name="Percent 2 2 11" xfId="6790"/>
    <cellStyle name="Percent 2 2 11 2" xfId="8271"/>
    <cellStyle name="Percent 2 2 11 2 2" xfId="11168"/>
    <cellStyle name="Percent 2 2 11 3" xfId="9728"/>
    <cellStyle name="Percent 2 2 12" xfId="7590"/>
    <cellStyle name="Percent 2 2 12 2" xfId="10502"/>
    <cellStyle name="Percent 2 2 13" xfId="9060"/>
    <cellStyle name="Percent 2 2 14" xfId="6053"/>
    <cellStyle name="Percent 2 2 2" xfId="1274"/>
    <cellStyle name="Percent 2 2 2 10" xfId="7618"/>
    <cellStyle name="Percent 2 2 2 10 2" xfId="10518"/>
    <cellStyle name="Percent 2 2 2 11" xfId="9078"/>
    <cellStyle name="Percent 2 2 2 12" xfId="6083"/>
    <cellStyle name="Percent 2 2 2 2" xfId="1275"/>
    <cellStyle name="Percent 2 2 2 2 10" xfId="9108"/>
    <cellStyle name="Percent 2 2 2 2 11" xfId="6120"/>
    <cellStyle name="Percent 2 2 2 2 2" xfId="1276"/>
    <cellStyle name="Percent 2 2 2 2 2 2" xfId="1277"/>
    <cellStyle name="Percent 2 2 2 2 2 2 2" xfId="1278"/>
    <cellStyle name="Percent 2 2 2 2 2 2 2 2" xfId="7433"/>
    <cellStyle name="Percent 2 2 2 2 2 2 2 2 2" xfId="8910"/>
    <cellStyle name="Percent 2 2 2 2 2 2 2 2 2 2" xfId="11807"/>
    <cellStyle name="Percent 2 2 2 2 2 2 2 2 3" xfId="10367"/>
    <cellStyle name="Percent 2 2 2 2 2 2 2 3" xfId="8252"/>
    <cellStyle name="Percent 2 2 2 2 2 2 2 3 2" xfId="11149"/>
    <cellStyle name="Percent 2 2 2 2 2 2 2 4" xfId="9709"/>
    <cellStyle name="Percent 2 2 2 2 2 2 2 5" xfId="6757"/>
    <cellStyle name="Percent 2 2 2 2 2 2 3" xfId="7200"/>
    <cellStyle name="Percent 2 2 2 2 2 2 3 2" xfId="8677"/>
    <cellStyle name="Percent 2 2 2 2 2 2 3 2 2" xfId="11574"/>
    <cellStyle name="Percent 2 2 2 2 2 2 3 3" xfId="10134"/>
    <cellStyle name="Percent 2 2 2 2 2 2 4" xfId="8019"/>
    <cellStyle name="Percent 2 2 2 2 2 2 4 2" xfId="10916"/>
    <cellStyle name="Percent 2 2 2 2 2 2 5" xfId="9476"/>
    <cellStyle name="Percent 2 2 2 2 2 2 6" xfId="6524"/>
    <cellStyle name="Percent 2 2 2 2 2 3" xfId="1279"/>
    <cellStyle name="Percent 2 2 2 2 2 3 2" xfId="7317"/>
    <cellStyle name="Percent 2 2 2 2 2 3 2 2" xfId="8794"/>
    <cellStyle name="Percent 2 2 2 2 2 3 2 2 2" xfId="11691"/>
    <cellStyle name="Percent 2 2 2 2 2 3 2 3" xfId="10251"/>
    <cellStyle name="Percent 2 2 2 2 2 3 3" xfId="8136"/>
    <cellStyle name="Percent 2 2 2 2 2 3 3 2" xfId="11033"/>
    <cellStyle name="Percent 2 2 2 2 2 3 4" xfId="9593"/>
    <cellStyle name="Percent 2 2 2 2 2 3 5" xfId="6641"/>
    <cellStyle name="Percent 2 2 2 2 2 4" xfId="1280"/>
    <cellStyle name="Percent 2 2 2 2 2 4 2" xfId="7084"/>
    <cellStyle name="Percent 2 2 2 2 2 4 2 2" xfId="8561"/>
    <cellStyle name="Percent 2 2 2 2 2 4 2 2 2" xfId="11458"/>
    <cellStyle name="Percent 2 2 2 2 2 4 2 3" xfId="10018"/>
    <cellStyle name="Percent 2 2 2 2 2 4 3" xfId="7902"/>
    <cellStyle name="Percent 2 2 2 2 2 4 3 2" xfId="10800"/>
    <cellStyle name="Percent 2 2 2 2 2 4 4" xfId="9360"/>
    <cellStyle name="Percent 2 2 2 2 2 4 5" xfId="6405"/>
    <cellStyle name="Percent 2 2 2 2 2 5" xfId="6912"/>
    <cellStyle name="Percent 2 2 2 2 2 5 2" xfId="8390"/>
    <cellStyle name="Percent 2 2 2 2 2 5 2 2" xfId="11287"/>
    <cellStyle name="Percent 2 2 2 2 2 5 3" xfId="9847"/>
    <cellStyle name="Percent 2 2 2 2 2 6" xfId="7729"/>
    <cellStyle name="Percent 2 2 2 2 2 6 2" xfId="10629"/>
    <cellStyle name="Percent 2 2 2 2 2 7" xfId="9189"/>
    <cellStyle name="Percent 2 2 2 2 2 8" xfId="6208"/>
    <cellStyle name="Percent 2 2 2 2 3" xfId="1281"/>
    <cellStyle name="Percent 2 2 2 2 3 2" xfId="1282"/>
    <cellStyle name="Percent 2 2 2 2 3 2 2" xfId="7377"/>
    <cellStyle name="Percent 2 2 2 2 3 2 2 2" xfId="8854"/>
    <cellStyle name="Percent 2 2 2 2 3 2 2 2 2" xfId="11751"/>
    <cellStyle name="Percent 2 2 2 2 3 2 2 3" xfId="10311"/>
    <cellStyle name="Percent 2 2 2 2 3 2 3" xfId="8196"/>
    <cellStyle name="Percent 2 2 2 2 3 2 3 2" xfId="11093"/>
    <cellStyle name="Percent 2 2 2 2 3 2 4" xfId="9653"/>
    <cellStyle name="Percent 2 2 2 2 3 2 5" xfId="6701"/>
    <cellStyle name="Percent 2 2 2 2 3 3" xfId="1283"/>
    <cellStyle name="Percent 2 2 2 2 3 3 2" xfId="7144"/>
    <cellStyle name="Percent 2 2 2 2 3 3 2 2" xfId="8621"/>
    <cellStyle name="Percent 2 2 2 2 3 3 2 2 2" xfId="11518"/>
    <cellStyle name="Percent 2 2 2 2 3 3 2 3" xfId="10078"/>
    <cellStyle name="Percent 2 2 2 2 3 3 3" xfId="7963"/>
    <cellStyle name="Percent 2 2 2 2 3 3 3 2" xfId="10860"/>
    <cellStyle name="Percent 2 2 2 2 3 3 4" xfId="9420"/>
    <cellStyle name="Percent 2 2 2 2 3 3 5" xfId="6468"/>
    <cellStyle name="Percent 2 2 2 2 3 4" xfId="6969"/>
    <cellStyle name="Percent 2 2 2 2 3 4 2" xfId="8446"/>
    <cellStyle name="Percent 2 2 2 2 3 4 2 2" xfId="11343"/>
    <cellStyle name="Percent 2 2 2 2 3 4 3" xfId="9903"/>
    <cellStyle name="Percent 2 2 2 2 3 5" xfId="7786"/>
    <cellStyle name="Percent 2 2 2 2 3 5 2" xfId="10685"/>
    <cellStyle name="Percent 2 2 2 2 3 6" xfId="9245"/>
    <cellStyle name="Percent 2 2 2 2 3 7" xfId="6270"/>
    <cellStyle name="Percent 2 2 2 2 4" xfId="1284"/>
    <cellStyle name="Percent 2 2 2 2 4 2" xfId="7261"/>
    <cellStyle name="Percent 2 2 2 2 4 2 2" xfId="8738"/>
    <cellStyle name="Percent 2 2 2 2 4 2 2 2" xfId="11635"/>
    <cellStyle name="Percent 2 2 2 2 4 2 3" xfId="10195"/>
    <cellStyle name="Percent 2 2 2 2 4 3" xfId="8080"/>
    <cellStyle name="Percent 2 2 2 2 4 3 2" xfId="10977"/>
    <cellStyle name="Percent 2 2 2 2 4 4" xfId="9537"/>
    <cellStyle name="Percent 2 2 2 2 4 5" xfId="6585"/>
    <cellStyle name="Percent 2 2 2 2 5" xfId="1285"/>
    <cellStyle name="Percent 2 2 2 2 5 2" xfId="7028"/>
    <cellStyle name="Percent 2 2 2 2 5 2 2" xfId="8505"/>
    <cellStyle name="Percent 2 2 2 2 5 2 2 2" xfId="11402"/>
    <cellStyle name="Percent 2 2 2 2 5 2 3" xfId="9962"/>
    <cellStyle name="Percent 2 2 2 2 5 3" xfId="7846"/>
    <cellStyle name="Percent 2 2 2 2 5 3 2" xfId="10744"/>
    <cellStyle name="Percent 2 2 2 2 5 4" xfId="9304"/>
    <cellStyle name="Percent 2 2 2 2 5 5" xfId="6349"/>
    <cellStyle name="Percent 2 2 2 2 6" xfId="7494"/>
    <cellStyle name="Percent 2 2 2 2 6 2" xfId="8968"/>
    <cellStyle name="Percent 2 2 2 2 6 2 2" xfId="11865"/>
    <cellStyle name="Percent 2 2 2 2 6 3" xfId="10425"/>
    <cellStyle name="Percent 2 2 2 2 7" xfId="7553"/>
    <cellStyle name="Percent 2 2 2 2 7 2" xfId="9025"/>
    <cellStyle name="Percent 2 2 2 2 7 2 2" xfId="11922"/>
    <cellStyle name="Percent 2 2 2 2 7 3" xfId="10482"/>
    <cellStyle name="Percent 2 2 2 2 8" xfId="6829"/>
    <cellStyle name="Percent 2 2 2 2 8 2" xfId="8309"/>
    <cellStyle name="Percent 2 2 2 2 8 2 2" xfId="11206"/>
    <cellStyle name="Percent 2 2 2 2 8 3" xfId="9766"/>
    <cellStyle name="Percent 2 2 2 2 9" xfId="7648"/>
    <cellStyle name="Percent 2 2 2 2 9 2" xfId="10548"/>
    <cellStyle name="Percent 2 2 2 3" xfId="1286"/>
    <cellStyle name="Percent 2 2 2 3 2" xfId="1287"/>
    <cellStyle name="Percent 2 2 2 3 2 2" xfId="1288"/>
    <cellStyle name="Percent 2 2 2 3 2 2 2" xfId="7403"/>
    <cellStyle name="Percent 2 2 2 3 2 2 2 2" xfId="8880"/>
    <cellStyle name="Percent 2 2 2 3 2 2 2 2 2" xfId="11777"/>
    <cellStyle name="Percent 2 2 2 3 2 2 2 3" xfId="10337"/>
    <cellStyle name="Percent 2 2 2 3 2 2 3" xfId="8222"/>
    <cellStyle name="Percent 2 2 2 3 2 2 3 2" xfId="11119"/>
    <cellStyle name="Percent 2 2 2 3 2 2 4" xfId="9679"/>
    <cellStyle name="Percent 2 2 2 3 2 2 5" xfId="6727"/>
    <cellStyle name="Percent 2 2 2 3 2 3" xfId="7170"/>
    <cellStyle name="Percent 2 2 2 3 2 3 2" xfId="8647"/>
    <cellStyle name="Percent 2 2 2 3 2 3 2 2" xfId="11544"/>
    <cellStyle name="Percent 2 2 2 3 2 3 3" xfId="10104"/>
    <cellStyle name="Percent 2 2 2 3 2 4" xfId="7989"/>
    <cellStyle name="Percent 2 2 2 3 2 4 2" xfId="10886"/>
    <cellStyle name="Percent 2 2 2 3 2 5" xfId="9446"/>
    <cellStyle name="Percent 2 2 2 3 2 6" xfId="6494"/>
    <cellStyle name="Percent 2 2 2 3 3" xfId="1289"/>
    <cellStyle name="Percent 2 2 2 3 3 2" xfId="7287"/>
    <cellStyle name="Percent 2 2 2 3 3 2 2" xfId="8764"/>
    <cellStyle name="Percent 2 2 2 3 3 2 2 2" xfId="11661"/>
    <cellStyle name="Percent 2 2 2 3 3 2 3" xfId="10221"/>
    <cellStyle name="Percent 2 2 2 3 3 3" xfId="8106"/>
    <cellStyle name="Percent 2 2 2 3 3 3 2" xfId="11003"/>
    <cellStyle name="Percent 2 2 2 3 3 4" xfId="9563"/>
    <cellStyle name="Percent 2 2 2 3 3 5" xfId="6611"/>
    <cellStyle name="Percent 2 2 2 3 4" xfId="1290"/>
    <cellStyle name="Percent 2 2 2 3 4 2" xfId="7054"/>
    <cellStyle name="Percent 2 2 2 3 4 2 2" xfId="8531"/>
    <cellStyle name="Percent 2 2 2 3 4 2 2 2" xfId="11428"/>
    <cellStyle name="Percent 2 2 2 3 4 2 3" xfId="9988"/>
    <cellStyle name="Percent 2 2 2 3 4 3" xfId="7872"/>
    <cellStyle name="Percent 2 2 2 3 4 3 2" xfId="10770"/>
    <cellStyle name="Percent 2 2 2 3 4 4" xfId="9330"/>
    <cellStyle name="Percent 2 2 2 3 4 5" xfId="6375"/>
    <cellStyle name="Percent 2 2 2 3 5" xfId="6882"/>
    <cellStyle name="Percent 2 2 2 3 5 2" xfId="8360"/>
    <cellStyle name="Percent 2 2 2 3 5 2 2" xfId="11257"/>
    <cellStyle name="Percent 2 2 2 3 5 3" xfId="9817"/>
    <cellStyle name="Percent 2 2 2 3 6" xfId="7699"/>
    <cellStyle name="Percent 2 2 2 3 6 2" xfId="10599"/>
    <cellStyle name="Percent 2 2 2 3 7" xfId="9159"/>
    <cellStyle name="Percent 2 2 2 3 8" xfId="6177"/>
    <cellStyle name="Percent 2 2 2 4" xfId="1291"/>
    <cellStyle name="Percent 2 2 2 4 2" xfId="1292"/>
    <cellStyle name="Percent 2 2 2 4 2 2" xfId="7351"/>
    <cellStyle name="Percent 2 2 2 4 2 2 2" xfId="8828"/>
    <cellStyle name="Percent 2 2 2 4 2 2 2 2" xfId="11725"/>
    <cellStyle name="Percent 2 2 2 4 2 2 3" xfId="10285"/>
    <cellStyle name="Percent 2 2 2 4 2 3" xfId="8170"/>
    <cellStyle name="Percent 2 2 2 4 2 3 2" xfId="11067"/>
    <cellStyle name="Percent 2 2 2 4 2 4" xfId="9627"/>
    <cellStyle name="Percent 2 2 2 4 2 5" xfId="6675"/>
    <cellStyle name="Percent 2 2 2 4 3" xfId="1293"/>
    <cellStyle name="Percent 2 2 2 4 3 2" xfId="7118"/>
    <cellStyle name="Percent 2 2 2 4 3 2 2" xfId="8595"/>
    <cellStyle name="Percent 2 2 2 4 3 2 2 2" xfId="11492"/>
    <cellStyle name="Percent 2 2 2 4 3 2 3" xfId="10052"/>
    <cellStyle name="Percent 2 2 2 4 3 3" xfId="7937"/>
    <cellStyle name="Percent 2 2 2 4 3 3 2" xfId="10834"/>
    <cellStyle name="Percent 2 2 2 4 3 4" xfId="9394"/>
    <cellStyle name="Percent 2 2 2 4 3 5" xfId="6442"/>
    <cellStyle name="Percent 2 2 2 4 4" xfId="6939"/>
    <cellStyle name="Percent 2 2 2 4 4 2" xfId="8416"/>
    <cellStyle name="Percent 2 2 2 4 4 2 2" xfId="11313"/>
    <cellStyle name="Percent 2 2 2 4 4 3" xfId="9873"/>
    <cellStyle name="Percent 2 2 2 4 5" xfId="7756"/>
    <cellStyle name="Percent 2 2 2 4 5 2" xfId="10655"/>
    <cellStyle name="Percent 2 2 2 4 6" xfId="9215"/>
    <cellStyle name="Percent 2 2 2 4 7" xfId="6240"/>
    <cellStyle name="Percent 2 2 2 5" xfId="1294"/>
    <cellStyle name="Percent 2 2 2 5 2" xfId="7235"/>
    <cellStyle name="Percent 2 2 2 5 2 2" xfId="8712"/>
    <cellStyle name="Percent 2 2 2 5 2 2 2" xfId="11609"/>
    <cellStyle name="Percent 2 2 2 5 2 3" xfId="10169"/>
    <cellStyle name="Percent 2 2 2 5 3" xfId="8054"/>
    <cellStyle name="Percent 2 2 2 5 3 2" xfId="10951"/>
    <cellStyle name="Percent 2 2 2 5 4" xfId="9511"/>
    <cellStyle name="Percent 2 2 2 5 5" xfId="6559"/>
    <cellStyle name="Percent 2 2 2 6" xfId="1295"/>
    <cellStyle name="Percent 2 2 2 6 2" xfId="7002"/>
    <cellStyle name="Percent 2 2 2 6 2 2" xfId="8479"/>
    <cellStyle name="Percent 2 2 2 6 2 2 2" xfId="11376"/>
    <cellStyle name="Percent 2 2 2 6 2 3" xfId="9936"/>
    <cellStyle name="Percent 2 2 2 6 3" xfId="7820"/>
    <cellStyle name="Percent 2 2 2 6 3 2" xfId="10718"/>
    <cellStyle name="Percent 2 2 2 6 4" xfId="9278"/>
    <cellStyle name="Percent 2 2 2 6 5" xfId="6323"/>
    <cellStyle name="Percent 2 2 2 7" xfId="5522"/>
    <cellStyle name="Percent 2 2 2 7 2" xfId="8942"/>
    <cellStyle name="Percent 2 2 2 7 2 2" xfId="11839"/>
    <cellStyle name="Percent 2 2 2 7 3" xfId="10399"/>
    <cellStyle name="Percent 2 2 2 7 4" xfId="7468"/>
    <cellStyle name="Percent 2 2 2 8" xfId="7527"/>
    <cellStyle name="Percent 2 2 2 8 2" xfId="8999"/>
    <cellStyle name="Percent 2 2 2 8 2 2" xfId="11896"/>
    <cellStyle name="Percent 2 2 2 8 3" xfId="10456"/>
    <cellStyle name="Percent 2 2 2 9" xfId="6798"/>
    <cellStyle name="Percent 2 2 2 9 2" xfId="8279"/>
    <cellStyle name="Percent 2 2 2 9 2 2" xfId="11176"/>
    <cellStyle name="Percent 2 2 2 9 3" xfId="9736"/>
    <cellStyle name="Percent 2 2 3" xfId="1296"/>
    <cellStyle name="Percent 2 2 3 10" xfId="7626"/>
    <cellStyle name="Percent 2 2 3 10 2" xfId="10526"/>
    <cellStyle name="Percent 2 2 3 11" xfId="9086"/>
    <cellStyle name="Percent 2 2 3 12" xfId="6091"/>
    <cellStyle name="Percent 2 2 3 2" xfId="1297"/>
    <cellStyle name="Percent 2 2 3 2 10" xfId="9116"/>
    <cellStyle name="Percent 2 2 3 2 11" xfId="6128"/>
    <cellStyle name="Percent 2 2 3 2 2" xfId="1298"/>
    <cellStyle name="Percent 2 2 3 2 2 2" xfId="1299"/>
    <cellStyle name="Percent 2 2 3 2 2 2 2" xfId="1300"/>
    <cellStyle name="Percent 2 2 3 2 2 2 2 2" xfId="7441"/>
    <cellStyle name="Percent 2 2 3 2 2 2 2 2 2" xfId="8918"/>
    <cellStyle name="Percent 2 2 3 2 2 2 2 2 2 2" xfId="11815"/>
    <cellStyle name="Percent 2 2 3 2 2 2 2 2 3" xfId="10375"/>
    <cellStyle name="Percent 2 2 3 2 2 2 2 3" xfId="8260"/>
    <cellStyle name="Percent 2 2 3 2 2 2 2 3 2" xfId="11157"/>
    <cellStyle name="Percent 2 2 3 2 2 2 2 4" xfId="9717"/>
    <cellStyle name="Percent 2 2 3 2 2 2 2 5" xfId="6765"/>
    <cellStyle name="Percent 2 2 3 2 2 2 3" xfId="7208"/>
    <cellStyle name="Percent 2 2 3 2 2 2 3 2" xfId="8685"/>
    <cellStyle name="Percent 2 2 3 2 2 2 3 2 2" xfId="11582"/>
    <cellStyle name="Percent 2 2 3 2 2 2 3 3" xfId="10142"/>
    <cellStyle name="Percent 2 2 3 2 2 2 4" xfId="8027"/>
    <cellStyle name="Percent 2 2 3 2 2 2 4 2" xfId="10924"/>
    <cellStyle name="Percent 2 2 3 2 2 2 5" xfId="9484"/>
    <cellStyle name="Percent 2 2 3 2 2 2 6" xfId="6532"/>
    <cellStyle name="Percent 2 2 3 2 2 3" xfId="1301"/>
    <cellStyle name="Percent 2 2 3 2 2 3 2" xfId="7325"/>
    <cellStyle name="Percent 2 2 3 2 2 3 2 2" xfId="8802"/>
    <cellStyle name="Percent 2 2 3 2 2 3 2 2 2" xfId="11699"/>
    <cellStyle name="Percent 2 2 3 2 2 3 2 3" xfId="10259"/>
    <cellStyle name="Percent 2 2 3 2 2 3 3" xfId="8144"/>
    <cellStyle name="Percent 2 2 3 2 2 3 3 2" xfId="11041"/>
    <cellStyle name="Percent 2 2 3 2 2 3 4" xfId="9601"/>
    <cellStyle name="Percent 2 2 3 2 2 3 5" xfId="6649"/>
    <cellStyle name="Percent 2 2 3 2 2 4" xfId="1302"/>
    <cellStyle name="Percent 2 2 3 2 2 4 2" xfId="7092"/>
    <cellStyle name="Percent 2 2 3 2 2 4 2 2" xfId="8569"/>
    <cellStyle name="Percent 2 2 3 2 2 4 2 2 2" xfId="11466"/>
    <cellStyle name="Percent 2 2 3 2 2 4 2 3" xfId="10026"/>
    <cellStyle name="Percent 2 2 3 2 2 4 3" xfId="7910"/>
    <cellStyle name="Percent 2 2 3 2 2 4 3 2" xfId="10808"/>
    <cellStyle name="Percent 2 2 3 2 2 4 4" xfId="9368"/>
    <cellStyle name="Percent 2 2 3 2 2 4 5" xfId="6413"/>
    <cellStyle name="Percent 2 2 3 2 2 5" xfId="6920"/>
    <cellStyle name="Percent 2 2 3 2 2 5 2" xfId="8398"/>
    <cellStyle name="Percent 2 2 3 2 2 5 2 2" xfId="11295"/>
    <cellStyle name="Percent 2 2 3 2 2 5 3" xfId="9855"/>
    <cellStyle name="Percent 2 2 3 2 2 6" xfId="7737"/>
    <cellStyle name="Percent 2 2 3 2 2 6 2" xfId="10637"/>
    <cellStyle name="Percent 2 2 3 2 2 7" xfId="9197"/>
    <cellStyle name="Percent 2 2 3 2 2 8" xfId="6216"/>
    <cellStyle name="Percent 2 2 3 2 3" xfId="1303"/>
    <cellStyle name="Percent 2 2 3 2 3 2" xfId="1304"/>
    <cellStyle name="Percent 2 2 3 2 3 2 2" xfId="7385"/>
    <cellStyle name="Percent 2 2 3 2 3 2 2 2" xfId="8862"/>
    <cellStyle name="Percent 2 2 3 2 3 2 2 2 2" xfId="11759"/>
    <cellStyle name="Percent 2 2 3 2 3 2 2 3" xfId="10319"/>
    <cellStyle name="Percent 2 2 3 2 3 2 3" xfId="8204"/>
    <cellStyle name="Percent 2 2 3 2 3 2 3 2" xfId="11101"/>
    <cellStyle name="Percent 2 2 3 2 3 2 4" xfId="9661"/>
    <cellStyle name="Percent 2 2 3 2 3 2 5" xfId="6709"/>
    <cellStyle name="Percent 2 2 3 2 3 3" xfId="1305"/>
    <cellStyle name="Percent 2 2 3 2 3 3 2" xfId="7152"/>
    <cellStyle name="Percent 2 2 3 2 3 3 2 2" xfId="8629"/>
    <cellStyle name="Percent 2 2 3 2 3 3 2 2 2" xfId="11526"/>
    <cellStyle name="Percent 2 2 3 2 3 3 2 3" xfId="10086"/>
    <cellStyle name="Percent 2 2 3 2 3 3 3" xfId="7971"/>
    <cellStyle name="Percent 2 2 3 2 3 3 3 2" xfId="10868"/>
    <cellStyle name="Percent 2 2 3 2 3 3 4" xfId="9428"/>
    <cellStyle name="Percent 2 2 3 2 3 3 5" xfId="6476"/>
    <cellStyle name="Percent 2 2 3 2 3 4" xfId="6977"/>
    <cellStyle name="Percent 2 2 3 2 3 4 2" xfId="8454"/>
    <cellStyle name="Percent 2 2 3 2 3 4 2 2" xfId="11351"/>
    <cellStyle name="Percent 2 2 3 2 3 4 3" xfId="9911"/>
    <cellStyle name="Percent 2 2 3 2 3 5" xfId="7794"/>
    <cellStyle name="Percent 2 2 3 2 3 5 2" xfId="10693"/>
    <cellStyle name="Percent 2 2 3 2 3 6" xfId="9253"/>
    <cellStyle name="Percent 2 2 3 2 3 7" xfId="6278"/>
    <cellStyle name="Percent 2 2 3 2 4" xfId="1306"/>
    <cellStyle name="Percent 2 2 3 2 4 2" xfId="7269"/>
    <cellStyle name="Percent 2 2 3 2 4 2 2" xfId="8746"/>
    <cellStyle name="Percent 2 2 3 2 4 2 2 2" xfId="11643"/>
    <cellStyle name="Percent 2 2 3 2 4 2 3" xfId="10203"/>
    <cellStyle name="Percent 2 2 3 2 4 3" xfId="8088"/>
    <cellStyle name="Percent 2 2 3 2 4 3 2" xfId="10985"/>
    <cellStyle name="Percent 2 2 3 2 4 4" xfId="9545"/>
    <cellStyle name="Percent 2 2 3 2 4 5" xfId="6593"/>
    <cellStyle name="Percent 2 2 3 2 5" xfId="1307"/>
    <cellStyle name="Percent 2 2 3 2 5 2" xfId="7036"/>
    <cellStyle name="Percent 2 2 3 2 5 2 2" xfId="8513"/>
    <cellStyle name="Percent 2 2 3 2 5 2 2 2" xfId="11410"/>
    <cellStyle name="Percent 2 2 3 2 5 2 3" xfId="9970"/>
    <cellStyle name="Percent 2 2 3 2 5 3" xfId="7854"/>
    <cellStyle name="Percent 2 2 3 2 5 3 2" xfId="10752"/>
    <cellStyle name="Percent 2 2 3 2 5 4" xfId="9312"/>
    <cellStyle name="Percent 2 2 3 2 5 5" xfId="6357"/>
    <cellStyle name="Percent 2 2 3 2 6" xfId="7502"/>
    <cellStyle name="Percent 2 2 3 2 6 2" xfId="8976"/>
    <cellStyle name="Percent 2 2 3 2 6 2 2" xfId="11873"/>
    <cellStyle name="Percent 2 2 3 2 6 3" xfId="10433"/>
    <cellStyle name="Percent 2 2 3 2 7" xfId="7561"/>
    <cellStyle name="Percent 2 2 3 2 7 2" xfId="9033"/>
    <cellStyle name="Percent 2 2 3 2 7 2 2" xfId="11930"/>
    <cellStyle name="Percent 2 2 3 2 7 3" xfId="10490"/>
    <cellStyle name="Percent 2 2 3 2 8" xfId="6837"/>
    <cellStyle name="Percent 2 2 3 2 8 2" xfId="8317"/>
    <cellStyle name="Percent 2 2 3 2 8 2 2" xfId="11214"/>
    <cellStyle name="Percent 2 2 3 2 8 3" xfId="9774"/>
    <cellStyle name="Percent 2 2 3 2 9" xfId="7656"/>
    <cellStyle name="Percent 2 2 3 2 9 2" xfId="10556"/>
    <cellStyle name="Percent 2 2 3 3" xfId="1308"/>
    <cellStyle name="Percent 2 2 3 3 2" xfId="1309"/>
    <cellStyle name="Percent 2 2 3 3 2 2" xfId="1310"/>
    <cellStyle name="Percent 2 2 3 3 2 2 2" xfId="7411"/>
    <cellStyle name="Percent 2 2 3 3 2 2 2 2" xfId="8888"/>
    <cellStyle name="Percent 2 2 3 3 2 2 2 2 2" xfId="11785"/>
    <cellStyle name="Percent 2 2 3 3 2 2 2 3" xfId="10345"/>
    <cellStyle name="Percent 2 2 3 3 2 2 3" xfId="8230"/>
    <cellStyle name="Percent 2 2 3 3 2 2 3 2" xfId="11127"/>
    <cellStyle name="Percent 2 2 3 3 2 2 4" xfId="9687"/>
    <cellStyle name="Percent 2 2 3 3 2 2 5" xfId="6735"/>
    <cellStyle name="Percent 2 2 3 3 2 3" xfId="7178"/>
    <cellStyle name="Percent 2 2 3 3 2 3 2" xfId="8655"/>
    <cellStyle name="Percent 2 2 3 3 2 3 2 2" xfId="11552"/>
    <cellStyle name="Percent 2 2 3 3 2 3 3" xfId="10112"/>
    <cellStyle name="Percent 2 2 3 3 2 4" xfId="7997"/>
    <cellStyle name="Percent 2 2 3 3 2 4 2" xfId="10894"/>
    <cellStyle name="Percent 2 2 3 3 2 5" xfId="9454"/>
    <cellStyle name="Percent 2 2 3 3 2 6" xfId="6502"/>
    <cellStyle name="Percent 2 2 3 3 3" xfId="1311"/>
    <cellStyle name="Percent 2 2 3 3 3 2" xfId="7295"/>
    <cellStyle name="Percent 2 2 3 3 3 2 2" xfId="8772"/>
    <cellStyle name="Percent 2 2 3 3 3 2 2 2" xfId="11669"/>
    <cellStyle name="Percent 2 2 3 3 3 2 3" xfId="10229"/>
    <cellStyle name="Percent 2 2 3 3 3 3" xfId="8114"/>
    <cellStyle name="Percent 2 2 3 3 3 3 2" xfId="11011"/>
    <cellStyle name="Percent 2 2 3 3 3 4" xfId="9571"/>
    <cellStyle name="Percent 2 2 3 3 3 5" xfId="6619"/>
    <cellStyle name="Percent 2 2 3 3 4" xfId="1312"/>
    <cellStyle name="Percent 2 2 3 3 4 2" xfId="7062"/>
    <cellStyle name="Percent 2 2 3 3 4 2 2" xfId="8539"/>
    <cellStyle name="Percent 2 2 3 3 4 2 2 2" xfId="11436"/>
    <cellStyle name="Percent 2 2 3 3 4 2 3" xfId="9996"/>
    <cellStyle name="Percent 2 2 3 3 4 3" xfId="7880"/>
    <cellStyle name="Percent 2 2 3 3 4 3 2" xfId="10778"/>
    <cellStyle name="Percent 2 2 3 3 4 4" xfId="9338"/>
    <cellStyle name="Percent 2 2 3 3 4 5" xfId="6383"/>
    <cellStyle name="Percent 2 2 3 3 5" xfId="6890"/>
    <cellStyle name="Percent 2 2 3 3 5 2" xfId="8368"/>
    <cellStyle name="Percent 2 2 3 3 5 2 2" xfId="11265"/>
    <cellStyle name="Percent 2 2 3 3 5 3" xfId="9825"/>
    <cellStyle name="Percent 2 2 3 3 6" xfId="7707"/>
    <cellStyle name="Percent 2 2 3 3 6 2" xfId="10607"/>
    <cellStyle name="Percent 2 2 3 3 7" xfId="9167"/>
    <cellStyle name="Percent 2 2 3 3 8" xfId="6185"/>
    <cellStyle name="Percent 2 2 3 4" xfId="1313"/>
    <cellStyle name="Percent 2 2 3 4 2" xfId="1314"/>
    <cellStyle name="Percent 2 2 3 4 2 2" xfId="7359"/>
    <cellStyle name="Percent 2 2 3 4 2 2 2" xfId="8836"/>
    <cellStyle name="Percent 2 2 3 4 2 2 2 2" xfId="11733"/>
    <cellStyle name="Percent 2 2 3 4 2 2 3" xfId="10293"/>
    <cellStyle name="Percent 2 2 3 4 2 3" xfId="8178"/>
    <cellStyle name="Percent 2 2 3 4 2 3 2" xfId="11075"/>
    <cellStyle name="Percent 2 2 3 4 2 4" xfId="9635"/>
    <cellStyle name="Percent 2 2 3 4 2 5" xfId="6683"/>
    <cellStyle name="Percent 2 2 3 4 3" xfId="1315"/>
    <cellStyle name="Percent 2 2 3 4 3 2" xfId="7126"/>
    <cellStyle name="Percent 2 2 3 4 3 2 2" xfId="8603"/>
    <cellStyle name="Percent 2 2 3 4 3 2 2 2" xfId="11500"/>
    <cellStyle name="Percent 2 2 3 4 3 2 3" xfId="10060"/>
    <cellStyle name="Percent 2 2 3 4 3 3" xfId="7945"/>
    <cellStyle name="Percent 2 2 3 4 3 3 2" xfId="10842"/>
    <cellStyle name="Percent 2 2 3 4 3 4" xfId="9402"/>
    <cellStyle name="Percent 2 2 3 4 3 5" xfId="6450"/>
    <cellStyle name="Percent 2 2 3 4 4" xfId="6947"/>
    <cellStyle name="Percent 2 2 3 4 4 2" xfId="8424"/>
    <cellStyle name="Percent 2 2 3 4 4 2 2" xfId="11321"/>
    <cellStyle name="Percent 2 2 3 4 4 3" xfId="9881"/>
    <cellStyle name="Percent 2 2 3 4 5" xfId="7764"/>
    <cellStyle name="Percent 2 2 3 4 5 2" xfId="10663"/>
    <cellStyle name="Percent 2 2 3 4 6" xfId="9223"/>
    <cellStyle name="Percent 2 2 3 4 7" xfId="6248"/>
    <cellStyle name="Percent 2 2 3 5" xfId="1316"/>
    <cellStyle name="Percent 2 2 3 5 2" xfId="7243"/>
    <cellStyle name="Percent 2 2 3 5 2 2" xfId="8720"/>
    <cellStyle name="Percent 2 2 3 5 2 2 2" xfId="11617"/>
    <cellStyle name="Percent 2 2 3 5 2 3" xfId="10177"/>
    <cellStyle name="Percent 2 2 3 5 3" xfId="8062"/>
    <cellStyle name="Percent 2 2 3 5 3 2" xfId="10959"/>
    <cellStyle name="Percent 2 2 3 5 4" xfId="9519"/>
    <cellStyle name="Percent 2 2 3 5 5" xfId="6567"/>
    <cellStyle name="Percent 2 2 3 6" xfId="1317"/>
    <cellStyle name="Percent 2 2 3 6 2" xfId="7010"/>
    <cellStyle name="Percent 2 2 3 6 2 2" xfId="8487"/>
    <cellStyle name="Percent 2 2 3 6 2 2 2" xfId="11384"/>
    <cellStyle name="Percent 2 2 3 6 2 3" xfId="9944"/>
    <cellStyle name="Percent 2 2 3 6 3" xfId="7828"/>
    <cellStyle name="Percent 2 2 3 6 3 2" xfId="10726"/>
    <cellStyle name="Percent 2 2 3 6 4" xfId="9286"/>
    <cellStyle name="Percent 2 2 3 6 5" xfId="6331"/>
    <cellStyle name="Percent 2 2 3 7" xfId="5523"/>
    <cellStyle name="Percent 2 2 3 7 2" xfId="8950"/>
    <cellStyle name="Percent 2 2 3 7 2 2" xfId="11847"/>
    <cellStyle name="Percent 2 2 3 7 3" xfId="10407"/>
    <cellStyle name="Percent 2 2 3 7 4" xfId="7476"/>
    <cellStyle name="Percent 2 2 3 8" xfId="7535"/>
    <cellStyle name="Percent 2 2 3 8 2" xfId="9007"/>
    <cellStyle name="Percent 2 2 3 8 2 2" xfId="11904"/>
    <cellStyle name="Percent 2 2 3 8 3" xfId="10464"/>
    <cellStyle name="Percent 2 2 3 9" xfId="6806"/>
    <cellStyle name="Percent 2 2 3 9 2" xfId="8287"/>
    <cellStyle name="Percent 2 2 3 9 2 2" xfId="11184"/>
    <cellStyle name="Percent 2 2 3 9 3" xfId="9744"/>
    <cellStyle name="Percent 2 2 4" xfId="1318"/>
    <cellStyle name="Percent 2 2 4 10" xfId="9100"/>
    <cellStyle name="Percent 2 2 4 11" xfId="6112"/>
    <cellStyle name="Percent 2 2 4 2" xfId="1319"/>
    <cellStyle name="Percent 2 2 4 2 2" xfId="1320"/>
    <cellStyle name="Percent 2 2 4 2 2 2" xfId="1321"/>
    <cellStyle name="Percent 2 2 4 2 2 2 2" xfId="5527"/>
    <cellStyle name="Percent 2 2 4 2 2 2 2 2" xfId="8902"/>
    <cellStyle name="Percent 2 2 4 2 2 2 2 2 2" xfId="11799"/>
    <cellStyle name="Percent 2 2 4 2 2 2 2 3" xfId="10359"/>
    <cellStyle name="Percent 2 2 4 2 2 2 2 4" xfId="7425"/>
    <cellStyle name="Percent 2 2 4 2 2 2 3" xfId="8244"/>
    <cellStyle name="Percent 2 2 4 2 2 2 3 2" xfId="11141"/>
    <cellStyle name="Percent 2 2 4 2 2 2 4" xfId="9701"/>
    <cellStyle name="Percent 2 2 4 2 2 2 5" xfId="6749"/>
    <cellStyle name="Percent 2 2 4 2 2 3" xfId="5526"/>
    <cellStyle name="Percent 2 2 4 2 2 3 2" xfId="8669"/>
    <cellStyle name="Percent 2 2 4 2 2 3 2 2" xfId="11566"/>
    <cellStyle name="Percent 2 2 4 2 2 3 3" xfId="10126"/>
    <cellStyle name="Percent 2 2 4 2 2 3 4" xfId="7192"/>
    <cellStyle name="Percent 2 2 4 2 2 4" xfId="8011"/>
    <cellStyle name="Percent 2 2 4 2 2 4 2" xfId="10908"/>
    <cellStyle name="Percent 2 2 4 2 2 5" xfId="9468"/>
    <cellStyle name="Percent 2 2 4 2 2 6" xfId="6516"/>
    <cellStyle name="Percent 2 2 4 2 3" xfId="1322"/>
    <cellStyle name="Percent 2 2 4 2 3 2" xfId="5528"/>
    <cellStyle name="Percent 2 2 4 2 3 2 2" xfId="8786"/>
    <cellStyle name="Percent 2 2 4 2 3 2 2 2" xfId="11683"/>
    <cellStyle name="Percent 2 2 4 2 3 2 3" xfId="10243"/>
    <cellStyle name="Percent 2 2 4 2 3 2 4" xfId="7309"/>
    <cellStyle name="Percent 2 2 4 2 3 3" xfId="8128"/>
    <cellStyle name="Percent 2 2 4 2 3 3 2" xfId="11025"/>
    <cellStyle name="Percent 2 2 4 2 3 4" xfId="9585"/>
    <cellStyle name="Percent 2 2 4 2 3 5" xfId="6633"/>
    <cellStyle name="Percent 2 2 4 2 4" xfId="1323"/>
    <cellStyle name="Percent 2 2 4 2 4 2" xfId="7076"/>
    <cellStyle name="Percent 2 2 4 2 4 2 2" xfId="8553"/>
    <cellStyle name="Percent 2 2 4 2 4 2 2 2" xfId="11450"/>
    <cellStyle name="Percent 2 2 4 2 4 2 3" xfId="10010"/>
    <cellStyle name="Percent 2 2 4 2 4 3" xfId="7894"/>
    <cellStyle name="Percent 2 2 4 2 4 3 2" xfId="10792"/>
    <cellStyle name="Percent 2 2 4 2 4 4" xfId="9352"/>
    <cellStyle name="Percent 2 2 4 2 4 5" xfId="6397"/>
    <cellStyle name="Percent 2 2 4 2 5" xfId="5525"/>
    <cellStyle name="Percent 2 2 4 2 5 2" xfId="8382"/>
    <cellStyle name="Percent 2 2 4 2 5 2 2" xfId="11279"/>
    <cellStyle name="Percent 2 2 4 2 5 3" xfId="9839"/>
    <cellStyle name="Percent 2 2 4 2 5 4" xfId="6904"/>
    <cellStyle name="Percent 2 2 4 2 6" xfId="7721"/>
    <cellStyle name="Percent 2 2 4 2 6 2" xfId="10621"/>
    <cellStyle name="Percent 2 2 4 2 7" xfId="9181"/>
    <cellStyle name="Percent 2 2 4 2 8" xfId="6200"/>
    <cellStyle name="Percent 2 2 4 3" xfId="1324"/>
    <cellStyle name="Percent 2 2 4 3 2" xfId="1325"/>
    <cellStyle name="Percent 2 2 4 3 2 2" xfId="5530"/>
    <cellStyle name="Percent 2 2 4 3 2 2 2" xfId="8846"/>
    <cellStyle name="Percent 2 2 4 3 2 2 2 2" xfId="11743"/>
    <cellStyle name="Percent 2 2 4 3 2 2 3" xfId="10303"/>
    <cellStyle name="Percent 2 2 4 3 2 2 4" xfId="7369"/>
    <cellStyle name="Percent 2 2 4 3 2 3" xfId="8188"/>
    <cellStyle name="Percent 2 2 4 3 2 3 2" xfId="11085"/>
    <cellStyle name="Percent 2 2 4 3 2 4" xfId="9645"/>
    <cellStyle name="Percent 2 2 4 3 2 5" xfId="6693"/>
    <cellStyle name="Percent 2 2 4 3 3" xfId="1326"/>
    <cellStyle name="Percent 2 2 4 3 3 2" xfId="7136"/>
    <cellStyle name="Percent 2 2 4 3 3 2 2" xfId="8613"/>
    <cellStyle name="Percent 2 2 4 3 3 2 2 2" xfId="11510"/>
    <cellStyle name="Percent 2 2 4 3 3 2 3" xfId="10070"/>
    <cellStyle name="Percent 2 2 4 3 3 3" xfId="7955"/>
    <cellStyle name="Percent 2 2 4 3 3 3 2" xfId="10852"/>
    <cellStyle name="Percent 2 2 4 3 3 4" xfId="9412"/>
    <cellStyle name="Percent 2 2 4 3 3 5" xfId="6460"/>
    <cellStyle name="Percent 2 2 4 3 4" xfId="5529"/>
    <cellStyle name="Percent 2 2 4 3 4 2" xfId="8438"/>
    <cellStyle name="Percent 2 2 4 3 4 2 2" xfId="11335"/>
    <cellStyle name="Percent 2 2 4 3 4 3" xfId="9895"/>
    <cellStyle name="Percent 2 2 4 3 4 4" xfId="6961"/>
    <cellStyle name="Percent 2 2 4 3 5" xfId="7778"/>
    <cellStyle name="Percent 2 2 4 3 5 2" xfId="10677"/>
    <cellStyle name="Percent 2 2 4 3 6" xfId="9237"/>
    <cellStyle name="Percent 2 2 4 3 7" xfId="6262"/>
    <cellStyle name="Percent 2 2 4 4" xfId="1327"/>
    <cellStyle name="Percent 2 2 4 4 2" xfId="5531"/>
    <cellStyle name="Percent 2 2 4 4 2 2" xfId="8730"/>
    <cellStyle name="Percent 2 2 4 4 2 2 2" xfId="11627"/>
    <cellStyle name="Percent 2 2 4 4 2 3" xfId="10187"/>
    <cellStyle name="Percent 2 2 4 4 2 4" xfId="7253"/>
    <cellStyle name="Percent 2 2 4 4 3" xfId="8072"/>
    <cellStyle name="Percent 2 2 4 4 3 2" xfId="10969"/>
    <cellStyle name="Percent 2 2 4 4 4" xfId="9529"/>
    <cellStyle name="Percent 2 2 4 4 5" xfId="6577"/>
    <cellStyle name="Percent 2 2 4 5" xfId="1328"/>
    <cellStyle name="Percent 2 2 4 5 2" xfId="7020"/>
    <cellStyle name="Percent 2 2 4 5 2 2" xfId="8497"/>
    <cellStyle name="Percent 2 2 4 5 2 2 2" xfId="11394"/>
    <cellStyle name="Percent 2 2 4 5 2 3" xfId="9954"/>
    <cellStyle name="Percent 2 2 4 5 3" xfId="7838"/>
    <cellStyle name="Percent 2 2 4 5 3 2" xfId="10736"/>
    <cellStyle name="Percent 2 2 4 5 4" xfId="9296"/>
    <cellStyle name="Percent 2 2 4 5 5" xfId="6341"/>
    <cellStyle name="Percent 2 2 4 6" xfId="5524"/>
    <cellStyle name="Percent 2 2 4 6 2" xfId="8960"/>
    <cellStyle name="Percent 2 2 4 6 2 2" xfId="11857"/>
    <cellStyle name="Percent 2 2 4 6 3" xfId="10417"/>
    <cellStyle name="Percent 2 2 4 6 4" xfId="7486"/>
    <cellStyle name="Percent 2 2 4 7" xfId="7545"/>
    <cellStyle name="Percent 2 2 4 7 2" xfId="9017"/>
    <cellStyle name="Percent 2 2 4 7 2 2" xfId="11914"/>
    <cellStyle name="Percent 2 2 4 7 3" xfId="10474"/>
    <cellStyle name="Percent 2 2 4 8" xfId="6821"/>
    <cellStyle name="Percent 2 2 4 8 2" xfId="8301"/>
    <cellStyle name="Percent 2 2 4 8 2 2" xfId="11198"/>
    <cellStyle name="Percent 2 2 4 8 3" xfId="9758"/>
    <cellStyle name="Percent 2 2 4 9" xfId="7640"/>
    <cellStyle name="Percent 2 2 4 9 2" xfId="10540"/>
    <cellStyle name="Percent 2 2 5" xfId="1329"/>
    <cellStyle name="Percent 2 2 5 2" xfId="1330"/>
    <cellStyle name="Percent 2 2 5 2 2" xfId="1331"/>
    <cellStyle name="Percent 2 2 5 2 2 2" xfId="7395"/>
    <cellStyle name="Percent 2 2 5 2 2 2 2" xfId="8872"/>
    <cellStyle name="Percent 2 2 5 2 2 2 2 2" xfId="11769"/>
    <cellStyle name="Percent 2 2 5 2 2 2 3" xfId="10329"/>
    <cellStyle name="Percent 2 2 5 2 2 3" xfId="8214"/>
    <cellStyle name="Percent 2 2 5 2 2 3 2" xfId="11111"/>
    <cellStyle name="Percent 2 2 5 2 2 4" xfId="9671"/>
    <cellStyle name="Percent 2 2 5 2 2 5" xfId="6719"/>
    <cellStyle name="Percent 2 2 5 2 3" xfId="7162"/>
    <cellStyle name="Percent 2 2 5 2 3 2" xfId="8639"/>
    <cellStyle name="Percent 2 2 5 2 3 2 2" xfId="11536"/>
    <cellStyle name="Percent 2 2 5 2 3 3" xfId="10096"/>
    <cellStyle name="Percent 2 2 5 2 4" xfId="7981"/>
    <cellStyle name="Percent 2 2 5 2 4 2" xfId="10878"/>
    <cellStyle name="Percent 2 2 5 2 5" xfId="9438"/>
    <cellStyle name="Percent 2 2 5 2 6" xfId="6486"/>
    <cellStyle name="Percent 2 2 5 3" xfId="1332"/>
    <cellStyle name="Percent 2 2 5 3 2" xfId="7279"/>
    <cellStyle name="Percent 2 2 5 3 2 2" xfId="8756"/>
    <cellStyle name="Percent 2 2 5 3 2 2 2" xfId="11653"/>
    <cellStyle name="Percent 2 2 5 3 2 3" xfId="10213"/>
    <cellStyle name="Percent 2 2 5 3 3" xfId="8098"/>
    <cellStyle name="Percent 2 2 5 3 3 2" xfId="10995"/>
    <cellStyle name="Percent 2 2 5 3 4" xfId="9555"/>
    <cellStyle name="Percent 2 2 5 3 5" xfId="6603"/>
    <cellStyle name="Percent 2 2 5 4" xfId="1333"/>
    <cellStyle name="Percent 2 2 5 4 2" xfId="7046"/>
    <cellStyle name="Percent 2 2 5 4 2 2" xfId="8523"/>
    <cellStyle name="Percent 2 2 5 4 2 2 2" xfId="11420"/>
    <cellStyle name="Percent 2 2 5 4 2 3" xfId="9980"/>
    <cellStyle name="Percent 2 2 5 4 3" xfId="7864"/>
    <cellStyle name="Percent 2 2 5 4 3 2" xfId="10762"/>
    <cellStyle name="Percent 2 2 5 4 4" xfId="9322"/>
    <cellStyle name="Percent 2 2 5 4 5" xfId="6367"/>
    <cellStyle name="Percent 2 2 5 5" xfId="5532"/>
    <cellStyle name="Percent 2 2 5 5 2" xfId="8352"/>
    <cellStyle name="Percent 2 2 5 5 2 2" xfId="11249"/>
    <cellStyle name="Percent 2 2 5 5 3" xfId="9809"/>
    <cellStyle name="Percent 2 2 5 5 4" xfId="6874"/>
    <cellStyle name="Percent 2 2 5 6" xfId="7691"/>
    <cellStyle name="Percent 2 2 5 6 2" xfId="10591"/>
    <cellStyle name="Percent 2 2 5 7" xfId="9151"/>
    <cellStyle name="Percent 2 2 5 8" xfId="6169"/>
    <cellStyle name="Percent 2 2 6" xfId="1334"/>
    <cellStyle name="Percent 2 2 6 2" xfId="1335"/>
    <cellStyle name="Percent 2 2 6 2 2" xfId="7343"/>
    <cellStyle name="Percent 2 2 6 2 2 2" xfId="8820"/>
    <cellStyle name="Percent 2 2 6 2 2 2 2" xfId="11717"/>
    <cellStyle name="Percent 2 2 6 2 2 3" xfId="10277"/>
    <cellStyle name="Percent 2 2 6 2 3" xfId="8162"/>
    <cellStyle name="Percent 2 2 6 2 3 2" xfId="11059"/>
    <cellStyle name="Percent 2 2 6 2 4" xfId="9619"/>
    <cellStyle name="Percent 2 2 6 2 5" xfId="6667"/>
    <cellStyle name="Percent 2 2 6 3" xfId="1336"/>
    <cellStyle name="Percent 2 2 6 3 2" xfId="7110"/>
    <cellStyle name="Percent 2 2 6 3 2 2" xfId="8587"/>
    <cellStyle name="Percent 2 2 6 3 2 2 2" xfId="11484"/>
    <cellStyle name="Percent 2 2 6 3 2 3" xfId="10044"/>
    <cellStyle name="Percent 2 2 6 3 3" xfId="7929"/>
    <cellStyle name="Percent 2 2 6 3 3 2" xfId="10826"/>
    <cellStyle name="Percent 2 2 6 3 4" xfId="9386"/>
    <cellStyle name="Percent 2 2 6 3 5" xfId="6434"/>
    <cellStyle name="Percent 2 2 6 4" xfId="5533"/>
    <cellStyle name="Percent 2 2 6 4 2" xfId="8408"/>
    <cellStyle name="Percent 2 2 6 4 2 2" xfId="11305"/>
    <cellStyle name="Percent 2 2 6 4 3" xfId="9865"/>
    <cellStyle name="Percent 2 2 6 4 4" xfId="6931"/>
    <cellStyle name="Percent 2 2 6 5" xfId="7748"/>
    <cellStyle name="Percent 2 2 6 5 2" xfId="10647"/>
    <cellStyle name="Percent 2 2 6 6" xfId="9207"/>
    <cellStyle name="Percent 2 2 6 7" xfId="6232"/>
    <cellStyle name="Percent 2 2 7" xfId="1337"/>
    <cellStyle name="Percent 2 2 7 2" xfId="7227"/>
    <cellStyle name="Percent 2 2 7 2 2" xfId="8704"/>
    <cellStyle name="Percent 2 2 7 2 2 2" xfId="11601"/>
    <cellStyle name="Percent 2 2 7 2 3" xfId="10161"/>
    <cellStyle name="Percent 2 2 7 3" xfId="8046"/>
    <cellStyle name="Percent 2 2 7 3 2" xfId="10943"/>
    <cellStyle name="Percent 2 2 7 4" xfId="9503"/>
    <cellStyle name="Percent 2 2 7 5" xfId="6551"/>
    <cellStyle name="Percent 2 2 8" xfId="1338"/>
    <cellStyle name="Percent 2 2 8 2" xfId="6994"/>
    <cellStyle name="Percent 2 2 8 2 2" xfId="8471"/>
    <cellStyle name="Percent 2 2 8 2 2 2" xfId="11368"/>
    <cellStyle name="Percent 2 2 8 2 3" xfId="9928"/>
    <cellStyle name="Percent 2 2 8 3" xfId="7812"/>
    <cellStyle name="Percent 2 2 8 3 2" xfId="10710"/>
    <cellStyle name="Percent 2 2 8 4" xfId="9270"/>
    <cellStyle name="Percent 2 2 8 5" xfId="6315"/>
    <cellStyle name="Percent 2 2 9" xfId="5521"/>
    <cellStyle name="Percent 2 2 9 2" xfId="8934"/>
    <cellStyle name="Percent 2 2 9 2 2" xfId="11831"/>
    <cellStyle name="Percent 2 2 9 3" xfId="10391"/>
    <cellStyle name="Percent 2 2 9 4" xfId="7460"/>
    <cellStyle name="Percent 2 20" xfId="6050"/>
    <cellStyle name="Percent 2 3" xfId="1339"/>
    <cellStyle name="Percent 2 3 10" xfId="7520"/>
    <cellStyle name="Percent 2 3 10 2" xfId="8992"/>
    <cellStyle name="Percent 2 3 10 2 2" xfId="11889"/>
    <cellStyle name="Percent 2 3 10 3" xfId="10449"/>
    <cellStyle name="Percent 2 3 11" xfId="6791"/>
    <cellStyle name="Percent 2 3 11 2" xfId="8272"/>
    <cellStyle name="Percent 2 3 11 2 2" xfId="11169"/>
    <cellStyle name="Percent 2 3 11 3" xfId="9729"/>
    <cellStyle name="Percent 2 3 12" xfId="7611"/>
    <cellStyle name="Percent 2 3 12 2" xfId="10511"/>
    <cellStyle name="Percent 2 3 13" xfId="9071"/>
    <cellStyle name="Percent 2 3 14" xfId="6076"/>
    <cellStyle name="Percent 2 3 2" xfId="1340"/>
    <cellStyle name="Percent 2 3 2 10" xfId="7619"/>
    <cellStyle name="Percent 2 3 2 10 2" xfId="10519"/>
    <cellStyle name="Percent 2 3 2 11" xfId="9079"/>
    <cellStyle name="Percent 2 3 2 12" xfId="6084"/>
    <cellStyle name="Percent 2 3 2 2" xfId="1341"/>
    <cellStyle name="Percent 2 3 2 2 10" xfId="9109"/>
    <cellStyle name="Percent 2 3 2 2 11" xfId="6121"/>
    <cellStyle name="Percent 2 3 2 2 2" xfId="1342"/>
    <cellStyle name="Percent 2 3 2 2 2 2" xfId="1343"/>
    <cellStyle name="Percent 2 3 2 2 2 2 2" xfId="1344"/>
    <cellStyle name="Percent 2 3 2 2 2 2 2 2" xfId="7434"/>
    <cellStyle name="Percent 2 3 2 2 2 2 2 2 2" xfId="8911"/>
    <cellStyle name="Percent 2 3 2 2 2 2 2 2 2 2" xfId="11808"/>
    <cellStyle name="Percent 2 3 2 2 2 2 2 2 3" xfId="10368"/>
    <cellStyle name="Percent 2 3 2 2 2 2 2 3" xfId="8253"/>
    <cellStyle name="Percent 2 3 2 2 2 2 2 3 2" xfId="11150"/>
    <cellStyle name="Percent 2 3 2 2 2 2 2 4" xfId="9710"/>
    <cellStyle name="Percent 2 3 2 2 2 2 2 5" xfId="6758"/>
    <cellStyle name="Percent 2 3 2 2 2 2 3" xfId="7201"/>
    <cellStyle name="Percent 2 3 2 2 2 2 3 2" xfId="8678"/>
    <cellStyle name="Percent 2 3 2 2 2 2 3 2 2" xfId="11575"/>
    <cellStyle name="Percent 2 3 2 2 2 2 3 3" xfId="10135"/>
    <cellStyle name="Percent 2 3 2 2 2 2 4" xfId="8020"/>
    <cellStyle name="Percent 2 3 2 2 2 2 4 2" xfId="10917"/>
    <cellStyle name="Percent 2 3 2 2 2 2 5" xfId="9477"/>
    <cellStyle name="Percent 2 3 2 2 2 2 6" xfId="6525"/>
    <cellStyle name="Percent 2 3 2 2 2 3" xfId="1345"/>
    <cellStyle name="Percent 2 3 2 2 2 3 2" xfId="7318"/>
    <cellStyle name="Percent 2 3 2 2 2 3 2 2" xfId="8795"/>
    <cellStyle name="Percent 2 3 2 2 2 3 2 2 2" xfId="11692"/>
    <cellStyle name="Percent 2 3 2 2 2 3 2 3" xfId="10252"/>
    <cellStyle name="Percent 2 3 2 2 2 3 3" xfId="8137"/>
    <cellStyle name="Percent 2 3 2 2 2 3 3 2" xfId="11034"/>
    <cellStyle name="Percent 2 3 2 2 2 3 4" xfId="9594"/>
    <cellStyle name="Percent 2 3 2 2 2 3 5" xfId="6642"/>
    <cellStyle name="Percent 2 3 2 2 2 4" xfId="1346"/>
    <cellStyle name="Percent 2 3 2 2 2 4 2" xfId="7085"/>
    <cellStyle name="Percent 2 3 2 2 2 4 2 2" xfId="8562"/>
    <cellStyle name="Percent 2 3 2 2 2 4 2 2 2" xfId="11459"/>
    <cellStyle name="Percent 2 3 2 2 2 4 2 3" xfId="10019"/>
    <cellStyle name="Percent 2 3 2 2 2 4 3" xfId="7903"/>
    <cellStyle name="Percent 2 3 2 2 2 4 3 2" xfId="10801"/>
    <cellStyle name="Percent 2 3 2 2 2 4 4" xfId="9361"/>
    <cellStyle name="Percent 2 3 2 2 2 4 5" xfId="6406"/>
    <cellStyle name="Percent 2 3 2 2 2 5" xfId="6913"/>
    <cellStyle name="Percent 2 3 2 2 2 5 2" xfId="8391"/>
    <cellStyle name="Percent 2 3 2 2 2 5 2 2" xfId="11288"/>
    <cellStyle name="Percent 2 3 2 2 2 5 3" xfId="9848"/>
    <cellStyle name="Percent 2 3 2 2 2 6" xfId="7730"/>
    <cellStyle name="Percent 2 3 2 2 2 6 2" xfId="10630"/>
    <cellStyle name="Percent 2 3 2 2 2 7" xfId="9190"/>
    <cellStyle name="Percent 2 3 2 2 2 8" xfId="6209"/>
    <cellStyle name="Percent 2 3 2 2 3" xfId="1347"/>
    <cellStyle name="Percent 2 3 2 2 3 2" xfId="1348"/>
    <cellStyle name="Percent 2 3 2 2 3 2 2" xfId="7378"/>
    <cellStyle name="Percent 2 3 2 2 3 2 2 2" xfId="8855"/>
    <cellStyle name="Percent 2 3 2 2 3 2 2 2 2" xfId="11752"/>
    <cellStyle name="Percent 2 3 2 2 3 2 2 3" xfId="10312"/>
    <cellStyle name="Percent 2 3 2 2 3 2 3" xfId="8197"/>
    <cellStyle name="Percent 2 3 2 2 3 2 3 2" xfId="11094"/>
    <cellStyle name="Percent 2 3 2 2 3 2 4" xfId="9654"/>
    <cellStyle name="Percent 2 3 2 2 3 2 5" xfId="6702"/>
    <cellStyle name="Percent 2 3 2 2 3 3" xfId="1349"/>
    <cellStyle name="Percent 2 3 2 2 3 3 2" xfId="7145"/>
    <cellStyle name="Percent 2 3 2 2 3 3 2 2" xfId="8622"/>
    <cellStyle name="Percent 2 3 2 2 3 3 2 2 2" xfId="11519"/>
    <cellStyle name="Percent 2 3 2 2 3 3 2 3" xfId="10079"/>
    <cellStyle name="Percent 2 3 2 2 3 3 3" xfId="7964"/>
    <cellStyle name="Percent 2 3 2 2 3 3 3 2" xfId="10861"/>
    <cellStyle name="Percent 2 3 2 2 3 3 4" xfId="9421"/>
    <cellStyle name="Percent 2 3 2 2 3 3 5" xfId="6469"/>
    <cellStyle name="Percent 2 3 2 2 3 4" xfId="6970"/>
    <cellStyle name="Percent 2 3 2 2 3 4 2" xfId="8447"/>
    <cellStyle name="Percent 2 3 2 2 3 4 2 2" xfId="11344"/>
    <cellStyle name="Percent 2 3 2 2 3 4 3" xfId="9904"/>
    <cellStyle name="Percent 2 3 2 2 3 5" xfId="7787"/>
    <cellStyle name="Percent 2 3 2 2 3 5 2" xfId="10686"/>
    <cellStyle name="Percent 2 3 2 2 3 6" xfId="9246"/>
    <cellStyle name="Percent 2 3 2 2 3 7" xfId="6271"/>
    <cellStyle name="Percent 2 3 2 2 4" xfId="1350"/>
    <cellStyle name="Percent 2 3 2 2 4 2" xfId="7262"/>
    <cellStyle name="Percent 2 3 2 2 4 2 2" xfId="8739"/>
    <cellStyle name="Percent 2 3 2 2 4 2 2 2" xfId="11636"/>
    <cellStyle name="Percent 2 3 2 2 4 2 3" xfId="10196"/>
    <cellStyle name="Percent 2 3 2 2 4 3" xfId="8081"/>
    <cellStyle name="Percent 2 3 2 2 4 3 2" xfId="10978"/>
    <cellStyle name="Percent 2 3 2 2 4 4" xfId="9538"/>
    <cellStyle name="Percent 2 3 2 2 4 5" xfId="6586"/>
    <cellStyle name="Percent 2 3 2 2 5" xfId="1351"/>
    <cellStyle name="Percent 2 3 2 2 5 2" xfId="7029"/>
    <cellStyle name="Percent 2 3 2 2 5 2 2" xfId="8506"/>
    <cellStyle name="Percent 2 3 2 2 5 2 2 2" xfId="11403"/>
    <cellStyle name="Percent 2 3 2 2 5 2 3" xfId="9963"/>
    <cellStyle name="Percent 2 3 2 2 5 3" xfId="7847"/>
    <cellStyle name="Percent 2 3 2 2 5 3 2" xfId="10745"/>
    <cellStyle name="Percent 2 3 2 2 5 4" xfId="9305"/>
    <cellStyle name="Percent 2 3 2 2 5 5" xfId="6350"/>
    <cellStyle name="Percent 2 3 2 2 6" xfId="7495"/>
    <cellStyle name="Percent 2 3 2 2 6 2" xfId="8969"/>
    <cellStyle name="Percent 2 3 2 2 6 2 2" xfId="11866"/>
    <cellStyle name="Percent 2 3 2 2 6 3" xfId="10426"/>
    <cellStyle name="Percent 2 3 2 2 7" xfId="7554"/>
    <cellStyle name="Percent 2 3 2 2 7 2" xfId="9026"/>
    <cellStyle name="Percent 2 3 2 2 7 2 2" xfId="11923"/>
    <cellStyle name="Percent 2 3 2 2 7 3" xfId="10483"/>
    <cellStyle name="Percent 2 3 2 2 8" xfId="6830"/>
    <cellStyle name="Percent 2 3 2 2 8 2" xfId="8310"/>
    <cellStyle name="Percent 2 3 2 2 8 2 2" xfId="11207"/>
    <cellStyle name="Percent 2 3 2 2 8 3" xfId="9767"/>
    <cellStyle name="Percent 2 3 2 2 9" xfId="7649"/>
    <cellStyle name="Percent 2 3 2 2 9 2" xfId="10549"/>
    <cellStyle name="Percent 2 3 2 3" xfId="1352"/>
    <cellStyle name="Percent 2 3 2 3 2" xfId="1353"/>
    <cellStyle name="Percent 2 3 2 3 2 2" xfId="1354"/>
    <cellStyle name="Percent 2 3 2 3 2 2 2" xfId="7404"/>
    <cellStyle name="Percent 2 3 2 3 2 2 2 2" xfId="8881"/>
    <cellStyle name="Percent 2 3 2 3 2 2 2 2 2" xfId="11778"/>
    <cellStyle name="Percent 2 3 2 3 2 2 2 3" xfId="10338"/>
    <cellStyle name="Percent 2 3 2 3 2 2 3" xfId="8223"/>
    <cellStyle name="Percent 2 3 2 3 2 2 3 2" xfId="11120"/>
    <cellStyle name="Percent 2 3 2 3 2 2 4" xfId="9680"/>
    <cellStyle name="Percent 2 3 2 3 2 2 5" xfId="6728"/>
    <cellStyle name="Percent 2 3 2 3 2 3" xfId="7171"/>
    <cellStyle name="Percent 2 3 2 3 2 3 2" xfId="8648"/>
    <cellStyle name="Percent 2 3 2 3 2 3 2 2" xfId="11545"/>
    <cellStyle name="Percent 2 3 2 3 2 3 3" xfId="10105"/>
    <cellStyle name="Percent 2 3 2 3 2 4" xfId="7990"/>
    <cellStyle name="Percent 2 3 2 3 2 4 2" xfId="10887"/>
    <cellStyle name="Percent 2 3 2 3 2 5" xfId="9447"/>
    <cellStyle name="Percent 2 3 2 3 2 6" xfId="6495"/>
    <cellStyle name="Percent 2 3 2 3 3" xfId="1355"/>
    <cellStyle name="Percent 2 3 2 3 3 2" xfId="7288"/>
    <cellStyle name="Percent 2 3 2 3 3 2 2" xfId="8765"/>
    <cellStyle name="Percent 2 3 2 3 3 2 2 2" xfId="11662"/>
    <cellStyle name="Percent 2 3 2 3 3 2 3" xfId="10222"/>
    <cellStyle name="Percent 2 3 2 3 3 3" xfId="8107"/>
    <cellStyle name="Percent 2 3 2 3 3 3 2" xfId="11004"/>
    <cellStyle name="Percent 2 3 2 3 3 4" xfId="9564"/>
    <cellStyle name="Percent 2 3 2 3 3 5" xfId="6612"/>
    <cellStyle name="Percent 2 3 2 3 4" xfId="1356"/>
    <cellStyle name="Percent 2 3 2 3 4 2" xfId="7055"/>
    <cellStyle name="Percent 2 3 2 3 4 2 2" xfId="8532"/>
    <cellStyle name="Percent 2 3 2 3 4 2 2 2" xfId="11429"/>
    <cellStyle name="Percent 2 3 2 3 4 2 3" xfId="9989"/>
    <cellStyle name="Percent 2 3 2 3 4 3" xfId="7873"/>
    <cellStyle name="Percent 2 3 2 3 4 3 2" xfId="10771"/>
    <cellStyle name="Percent 2 3 2 3 4 4" xfId="9331"/>
    <cellStyle name="Percent 2 3 2 3 4 5" xfId="6376"/>
    <cellStyle name="Percent 2 3 2 3 5" xfId="6883"/>
    <cellStyle name="Percent 2 3 2 3 5 2" xfId="8361"/>
    <cellStyle name="Percent 2 3 2 3 5 2 2" xfId="11258"/>
    <cellStyle name="Percent 2 3 2 3 5 3" xfId="9818"/>
    <cellStyle name="Percent 2 3 2 3 6" xfId="7700"/>
    <cellStyle name="Percent 2 3 2 3 6 2" xfId="10600"/>
    <cellStyle name="Percent 2 3 2 3 7" xfId="9160"/>
    <cellStyle name="Percent 2 3 2 3 8" xfId="6178"/>
    <cellStyle name="Percent 2 3 2 4" xfId="1357"/>
    <cellStyle name="Percent 2 3 2 4 2" xfId="1358"/>
    <cellStyle name="Percent 2 3 2 4 2 2" xfId="7352"/>
    <cellStyle name="Percent 2 3 2 4 2 2 2" xfId="8829"/>
    <cellStyle name="Percent 2 3 2 4 2 2 2 2" xfId="11726"/>
    <cellStyle name="Percent 2 3 2 4 2 2 3" xfId="10286"/>
    <cellStyle name="Percent 2 3 2 4 2 3" xfId="8171"/>
    <cellStyle name="Percent 2 3 2 4 2 3 2" xfId="11068"/>
    <cellStyle name="Percent 2 3 2 4 2 4" xfId="9628"/>
    <cellStyle name="Percent 2 3 2 4 2 5" xfId="6676"/>
    <cellStyle name="Percent 2 3 2 4 3" xfId="1359"/>
    <cellStyle name="Percent 2 3 2 4 3 2" xfId="7119"/>
    <cellStyle name="Percent 2 3 2 4 3 2 2" xfId="8596"/>
    <cellStyle name="Percent 2 3 2 4 3 2 2 2" xfId="11493"/>
    <cellStyle name="Percent 2 3 2 4 3 2 3" xfId="10053"/>
    <cellStyle name="Percent 2 3 2 4 3 3" xfId="7938"/>
    <cellStyle name="Percent 2 3 2 4 3 3 2" xfId="10835"/>
    <cellStyle name="Percent 2 3 2 4 3 4" xfId="9395"/>
    <cellStyle name="Percent 2 3 2 4 3 5" xfId="6443"/>
    <cellStyle name="Percent 2 3 2 4 4" xfId="6940"/>
    <cellStyle name="Percent 2 3 2 4 4 2" xfId="8417"/>
    <cellStyle name="Percent 2 3 2 4 4 2 2" xfId="11314"/>
    <cellStyle name="Percent 2 3 2 4 4 3" xfId="9874"/>
    <cellStyle name="Percent 2 3 2 4 5" xfId="7757"/>
    <cellStyle name="Percent 2 3 2 4 5 2" xfId="10656"/>
    <cellStyle name="Percent 2 3 2 4 6" xfId="9216"/>
    <cellStyle name="Percent 2 3 2 4 7" xfId="6241"/>
    <cellStyle name="Percent 2 3 2 5" xfId="1360"/>
    <cellStyle name="Percent 2 3 2 5 2" xfId="7236"/>
    <cellStyle name="Percent 2 3 2 5 2 2" xfId="8713"/>
    <cellStyle name="Percent 2 3 2 5 2 2 2" xfId="11610"/>
    <cellStyle name="Percent 2 3 2 5 2 3" xfId="10170"/>
    <cellStyle name="Percent 2 3 2 5 3" xfId="8055"/>
    <cellStyle name="Percent 2 3 2 5 3 2" xfId="10952"/>
    <cellStyle name="Percent 2 3 2 5 4" xfId="9512"/>
    <cellStyle name="Percent 2 3 2 5 5" xfId="6560"/>
    <cellStyle name="Percent 2 3 2 6" xfId="1361"/>
    <cellStyle name="Percent 2 3 2 6 2" xfId="7003"/>
    <cellStyle name="Percent 2 3 2 6 2 2" xfId="8480"/>
    <cellStyle name="Percent 2 3 2 6 2 2 2" xfId="11377"/>
    <cellStyle name="Percent 2 3 2 6 2 3" xfId="9937"/>
    <cellStyle name="Percent 2 3 2 6 3" xfId="7821"/>
    <cellStyle name="Percent 2 3 2 6 3 2" xfId="10719"/>
    <cellStyle name="Percent 2 3 2 6 4" xfId="9279"/>
    <cellStyle name="Percent 2 3 2 6 5" xfId="6324"/>
    <cellStyle name="Percent 2 3 2 7" xfId="7469"/>
    <cellStyle name="Percent 2 3 2 7 2" xfId="8943"/>
    <cellStyle name="Percent 2 3 2 7 2 2" xfId="11840"/>
    <cellStyle name="Percent 2 3 2 7 3" xfId="10400"/>
    <cellStyle name="Percent 2 3 2 8" xfId="7528"/>
    <cellStyle name="Percent 2 3 2 8 2" xfId="9000"/>
    <cellStyle name="Percent 2 3 2 8 2 2" xfId="11897"/>
    <cellStyle name="Percent 2 3 2 8 3" xfId="10457"/>
    <cellStyle name="Percent 2 3 2 9" xfId="6799"/>
    <cellStyle name="Percent 2 3 2 9 2" xfId="8280"/>
    <cellStyle name="Percent 2 3 2 9 2 2" xfId="11177"/>
    <cellStyle name="Percent 2 3 2 9 3" xfId="9737"/>
    <cellStyle name="Percent 2 3 3" xfId="1362"/>
    <cellStyle name="Percent 2 3 3 10" xfId="7627"/>
    <cellStyle name="Percent 2 3 3 10 2" xfId="10527"/>
    <cellStyle name="Percent 2 3 3 11" xfId="9087"/>
    <cellStyle name="Percent 2 3 3 12" xfId="6092"/>
    <cellStyle name="Percent 2 3 3 2" xfId="1363"/>
    <cellStyle name="Percent 2 3 3 2 10" xfId="9117"/>
    <cellStyle name="Percent 2 3 3 2 11" xfId="6129"/>
    <cellStyle name="Percent 2 3 3 2 2" xfId="1364"/>
    <cellStyle name="Percent 2 3 3 2 2 2" xfId="1365"/>
    <cellStyle name="Percent 2 3 3 2 2 2 2" xfId="1366"/>
    <cellStyle name="Percent 2 3 3 2 2 2 2 2" xfId="7442"/>
    <cellStyle name="Percent 2 3 3 2 2 2 2 2 2" xfId="8919"/>
    <cellStyle name="Percent 2 3 3 2 2 2 2 2 2 2" xfId="11816"/>
    <cellStyle name="Percent 2 3 3 2 2 2 2 2 3" xfId="10376"/>
    <cellStyle name="Percent 2 3 3 2 2 2 2 3" xfId="8261"/>
    <cellStyle name="Percent 2 3 3 2 2 2 2 3 2" xfId="11158"/>
    <cellStyle name="Percent 2 3 3 2 2 2 2 4" xfId="9718"/>
    <cellStyle name="Percent 2 3 3 2 2 2 2 5" xfId="6766"/>
    <cellStyle name="Percent 2 3 3 2 2 2 3" xfId="7209"/>
    <cellStyle name="Percent 2 3 3 2 2 2 3 2" xfId="8686"/>
    <cellStyle name="Percent 2 3 3 2 2 2 3 2 2" xfId="11583"/>
    <cellStyle name="Percent 2 3 3 2 2 2 3 3" xfId="10143"/>
    <cellStyle name="Percent 2 3 3 2 2 2 4" xfId="8028"/>
    <cellStyle name="Percent 2 3 3 2 2 2 4 2" xfId="10925"/>
    <cellStyle name="Percent 2 3 3 2 2 2 5" xfId="9485"/>
    <cellStyle name="Percent 2 3 3 2 2 2 6" xfId="6533"/>
    <cellStyle name="Percent 2 3 3 2 2 3" xfId="1367"/>
    <cellStyle name="Percent 2 3 3 2 2 3 2" xfId="7326"/>
    <cellStyle name="Percent 2 3 3 2 2 3 2 2" xfId="8803"/>
    <cellStyle name="Percent 2 3 3 2 2 3 2 2 2" xfId="11700"/>
    <cellStyle name="Percent 2 3 3 2 2 3 2 3" xfId="10260"/>
    <cellStyle name="Percent 2 3 3 2 2 3 3" xfId="8145"/>
    <cellStyle name="Percent 2 3 3 2 2 3 3 2" xfId="11042"/>
    <cellStyle name="Percent 2 3 3 2 2 3 4" xfId="9602"/>
    <cellStyle name="Percent 2 3 3 2 2 3 5" xfId="6650"/>
    <cellStyle name="Percent 2 3 3 2 2 4" xfId="1368"/>
    <cellStyle name="Percent 2 3 3 2 2 4 2" xfId="7093"/>
    <cellStyle name="Percent 2 3 3 2 2 4 2 2" xfId="8570"/>
    <cellStyle name="Percent 2 3 3 2 2 4 2 2 2" xfId="11467"/>
    <cellStyle name="Percent 2 3 3 2 2 4 2 3" xfId="10027"/>
    <cellStyle name="Percent 2 3 3 2 2 4 3" xfId="7911"/>
    <cellStyle name="Percent 2 3 3 2 2 4 3 2" xfId="10809"/>
    <cellStyle name="Percent 2 3 3 2 2 4 4" xfId="9369"/>
    <cellStyle name="Percent 2 3 3 2 2 4 5" xfId="6414"/>
    <cellStyle name="Percent 2 3 3 2 2 5" xfId="6921"/>
    <cellStyle name="Percent 2 3 3 2 2 5 2" xfId="8399"/>
    <cellStyle name="Percent 2 3 3 2 2 5 2 2" xfId="11296"/>
    <cellStyle name="Percent 2 3 3 2 2 5 3" xfId="9856"/>
    <cellStyle name="Percent 2 3 3 2 2 6" xfId="7738"/>
    <cellStyle name="Percent 2 3 3 2 2 6 2" xfId="10638"/>
    <cellStyle name="Percent 2 3 3 2 2 7" xfId="9198"/>
    <cellStyle name="Percent 2 3 3 2 2 8" xfId="6217"/>
    <cellStyle name="Percent 2 3 3 2 3" xfId="1369"/>
    <cellStyle name="Percent 2 3 3 2 3 2" xfId="1370"/>
    <cellStyle name="Percent 2 3 3 2 3 2 2" xfId="7386"/>
    <cellStyle name="Percent 2 3 3 2 3 2 2 2" xfId="8863"/>
    <cellStyle name="Percent 2 3 3 2 3 2 2 2 2" xfId="11760"/>
    <cellStyle name="Percent 2 3 3 2 3 2 2 3" xfId="10320"/>
    <cellStyle name="Percent 2 3 3 2 3 2 3" xfId="8205"/>
    <cellStyle name="Percent 2 3 3 2 3 2 3 2" xfId="11102"/>
    <cellStyle name="Percent 2 3 3 2 3 2 4" xfId="9662"/>
    <cellStyle name="Percent 2 3 3 2 3 2 5" xfId="6710"/>
    <cellStyle name="Percent 2 3 3 2 3 3" xfId="1371"/>
    <cellStyle name="Percent 2 3 3 2 3 3 2" xfId="7153"/>
    <cellStyle name="Percent 2 3 3 2 3 3 2 2" xfId="8630"/>
    <cellStyle name="Percent 2 3 3 2 3 3 2 2 2" xfId="11527"/>
    <cellStyle name="Percent 2 3 3 2 3 3 2 3" xfId="10087"/>
    <cellStyle name="Percent 2 3 3 2 3 3 3" xfId="7972"/>
    <cellStyle name="Percent 2 3 3 2 3 3 3 2" xfId="10869"/>
    <cellStyle name="Percent 2 3 3 2 3 3 4" xfId="9429"/>
    <cellStyle name="Percent 2 3 3 2 3 3 5" xfId="6477"/>
    <cellStyle name="Percent 2 3 3 2 3 4" xfId="6978"/>
    <cellStyle name="Percent 2 3 3 2 3 4 2" xfId="8455"/>
    <cellStyle name="Percent 2 3 3 2 3 4 2 2" xfId="11352"/>
    <cellStyle name="Percent 2 3 3 2 3 4 3" xfId="9912"/>
    <cellStyle name="Percent 2 3 3 2 3 5" xfId="7795"/>
    <cellStyle name="Percent 2 3 3 2 3 5 2" xfId="10694"/>
    <cellStyle name="Percent 2 3 3 2 3 6" xfId="9254"/>
    <cellStyle name="Percent 2 3 3 2 3 7" xfId="6279"/>
    <cellStyle name="Percent 2 3 3 2 4" xfId="1372"/>
    <cellStyle name="Percent 2 3 3 2 4 2" xfId="7270"/>
    <cellStyle name="Percent 2 3 3 2 4 2 2" xfId="8747"/>
    <cellStyle name="Percent 2 3 3 2 4 2 2 2" xfId="11644"/>
    <cellStyle name="Percent 2 3 3 2 4 2 3" xfId="10204"/>
    <cellStyle name="Percent 2 3 3 2 4 3" xfId="8089"/>
    <cellStyle name="Percent 2 3 3 2 4 3 2" xfId="10986"/>
    <cellStyle name="Percent 2 3 3 2 4 4" xfId="9546"/>
    <cellStyle name="Percent 2 3 3 2 4 5" xfId="6594"/>
    <cellStyle name="Percent 2 3 3 2 5" xfId="1373"/>
    <cellStyle name="Percent 2 3 3 2 5 2" xfId="7037"/>
    <cellStyle name="Percent 2 3 3 2 5 2 2" xfId="8514"/>
    <cellStyle name="Percent 2 3 3 2 5 2 2 2" xfId="11411"/>
    <cellStyle name="Percent 2 3 3 2 5 2 3" xfId="9971"/>
    <cellStyle name="Percent 2 3 3 2 5 3" xfId="7855"/>
    <cellStyle name="Percent 2 3 3 2 5 3 2" xfId="10753"/>
    <cellStyle name="Percent 2 3 3 2 5 4" xfId="9313"/>
    <cellStyle name="Percent 2 3 3 2 5 5" xfId="6358"/>
    <cellStyle name="Percent 2 3 3 2 6" xfId="7503"/>
    <cellStyle name="Percent 2 3 3 2 6 2" xfId="8977"/>
    <cellStyle name="Percent 2 3 3 2 6 2 2" xfId="11874"/>
    <cellStyle name="Percent 2 3 3 2 6 3" xfId="10434"/>
    <cellStyle name="Percent 2 3 3 2 7" xfId="7562"/>
    <cellStyle name="Percent 2 3 3 2 7 2" xfId="9034"/>
    <cellStyle name="Percent 2 3 3 2 7 2 2" xfId="11931"/>
    <cellStyle name="Percent 2 3 3 2 7 3" xfId="10491"/>
    <cellStyle name="Percent 2 3 3 2 8" xfId="6838"/>
    <cellStyle name="Percent 2 3 3 2 8 2" xfId="8318"/>
    <cellStyle name="Percent 2 3 3 2 8 2 2" xfId="11215"/>
    <cellStyle name="Percent 2 3 3 2 8 3" xfId="9775"/>
    <cellStyle name="Percent 2 3 3 2 9" xfId="7657"/>
    <cellStyle name="Percent 2 3 3 2 9 2" xfId="10557"/>
    <cellStyle name="Percent 2 3 3 3" xfId="1374"/>
    <cellStyle name="Percent 2 3 3 3 2" xfId="1375"/>
    <cellStyle name="Percent 2 3 3 3 2 2" xfId="1376"/>
    <cellStyle name="Percent 2 3 3 3 2 2 2" xfId="7412"/>
    <cellStyle name="Percent 2 3 3 3 2 2 2 2" xfId="8889"/>
    <cellStyle name="Percent 2 3 3 3 2 2 2 2 2" xfId="11786"/>
    <cellStyle name="Percent 2 3 3 3 2 2 2 3" xfId="10346"/>
    <cellStyle name="Percent 2 3 3 3 2 2 3" xfId="8231"/>
    <cellStyle name="Percent 2 3 3 3 2 2 3 2" xfId="11128"/>
    <cellStyle name="Percent 2 3 3 3 2 2 4" xfId="9688"/>
    <cellStyle name="Percent 2 3 3 3 2 2 5" xfId="6736"/>
    <cellStyle name="Percent 2 3 3 3 2 3" xfId="7179"/>
    <cellStyle name="Percent 2 3 3 3 2 3 2" xfId="8656"/>
    <cellStyle name="Percent 2 3 3 3 2 3 2 2" xfId="11553"/>
    <cellStyle name="Percent 2 3 3 3 2 3 3" xfId="10113"/>
    <cellStyle name="Percent 2 3 3 3 2 4" xfId="7998"/>
    <cellStyle name="Percent 2 3 3 3 2 4 2" xfId="10895"/>
    <cellStyle name="Percent 2 3 3 3 2 5" xfId="9455"/>
    <cellStyle name="Percent 2 3 3 3 2 6" xfId="6503"/>
    <cellStyle name="Percent 2 3 3 3 3" xfId="1377"/>
    <cellStyle name="Percent 2 3 3 3 3 2" xfId="7296"/>
    <cellStyle name="Percent 2 3 3 3 3 2 2" xfId="8773"/>
    <cellStyle name="Percent 2 3 3 3 3 2 2 2" xfId="11670"/>
    <cellStyle name="Percent 2 3 3 3 3 2 3" xfId="10230"/>
    <cellStyle name="Percent 2 3 3 3 3 3" xfId="8115"/>
    <cellStyle name="Percent 2 3 3 3 3 3 2" xfId="11012"/>
    <cellStyle name="Percent 2 3 3 3 3 4" xfId="9572"/>
    <cellStyle name="Percent 2 3 3 3 3 5" xfId="6620"/>
    <cellStyle name="Percent 2 3 3 3 4" xfId="1378"/>
    <cellStyle name="Percent 2 3 3 3 4 2" xfId="7063"/>
    <cellStyle name="Percent 2 3 3 3 4 2 2" xfId="8540"/>
    <cellStyle name="Percent 2 3 3 3 4 2 2 2" xfId="11437"/>
    <cellStyle name="Percent 2 3 3 3 4 2 3" xfId="9997"/>
    <cellStyle name="Percent 2 3 3 3 4 3" xfId="7881"/>
    <cellStyle name="Percent 2 3 3 3 4 3 2" xfId="10779"/>
    <cellStyle name="Percent 2 3 3 3 4 4" xfId="9339"/>
    <cellStyle name="Percent 2 3 3 3 4 5" xfId="6384"/>
    <cellStyle name="Percent 2 3 3 3 5" xfId="6891"/>
    <cellStyle name="Percent 2 3 3 3 5 2" xfId="8369"/>
    <cellStyle name="Percent 2 3 3 3 5 2 2" xfId="11266"/>
    <cellStyle name="Percent 2 3 3 3 5 3" xfId="9826"/>
    <cellStyle name="Percent 2 3 3 3 6" xfId="7708"/>
    <cellStyle name="Percent 2 3 3 3 6 2" xfId="10608"/>
    <cellStyle name="Percent 2 3 3 3 7" xfId="9168"/>
    <cellStyle name="Percent 2 3 3 3 8" xfId="6186"/>
    <cellStyle name="Percent 2 3 3 4" xfId="1379"/>
    <cellStyle name="Percent 2 3 3 4 2" xfId="1380"/>
    <cellStyle name="Percent 2 3 3 4 2 2" xfId="7360"/>
    <cellStyle name="Percent 2 3 3 4 2 2 2" xfId="8837"/>
    <cellStyle name="Percent 2 3 3 4 2 2 2 2" xfId="11734"/>
    <cellStyle name="Percent 2 3 3 4 2 2 3" xfId="10294"/>
    <cellStyle name="Percent 2 3 3 4 2 3" xfId="8179"/>
    <cellStyle name="Percent 2 3 3 4 2 3 2" xfId="11076"/>
    <cellStyle name="Percent 2 3 3 4 2 4" xfId="9636"/>
    <cellStyle name="Percent 2 3 3 4 2 5" xfId="6684"/>
    <cellStyle name="Percent 2 3 3 4 3" xfId="1381"/>
    <cellStyle name="Percent 2 3 3 4 3 2" xfId="7127"/>
    <cellStyle name="Percent 2 3 3 4 3 2 2" xfId="8604"/>
    <cellStyle name="Percent 2 3 3 4 3 2 2 2" xfId="11501"/>
    <cellStyle name="Percent 2 3 3 4 3 2 3" xfId="10061"/>
    <cellStyle name="Percent 2 3 3 4 3 3" xfId="7946"/>
    <cellStyle name="Percent 2 3 3 4 3 3 2" xfId="10843"/>
    <cellStyle name="Percent 2 3 3 4 3 4" xfId="9403"/>
    <cellStyle name="Percent 2 3 3 4 3 5" xfId="6451"/>
    <cellStyle name="Percent 2 3 3 4 4" xfId="6948"/>
    <cellStyle name="Percent 2 3 3 4 4 2" xfId="8425"/>
    <cellStyle name="Percent 2 3 3 4 4 2 2" xfId="11322"/>
    <cellStyle name="Percent 2 3 3 4 4 3" xfId="9882"/>
    <cellStyle name="Percent 2 3 3 4 5" xfId="7765"/>
    <cellStyle name="Percent 2 3 3 4 5 2" xfId="10664"/>
    <cellStyle name="Percent 2 3 3 4 6" xfId="9224"/>
    <cellStyle name="Percent 2 3 3 4 7" xfId="6249"/>
    <cellStyle name="Percent 2 3 3 5" xfId="1382"/>
    <cellStyle name="Percent 2 3 3 5 2" xfId="7244"/>
    <cellStyle name="Percent 2 3 3 5 2 2" xfId="8721"/>
    <cellStyle name="Percent 2 3 3 5 2 2 2" xfId="11618"/>
    <cellStyle name="Percent 2 3 3 5 2 3" xfId="10178"/>
    <cellStyle name="Percent 2 3 3 5 3" xfId="8063"/>
    <cellStyle name="Percent 2 3 3 5 3 2" xfId="10960"/>
    <cellStyle name="Percent 2 3 3 5 4" xfId="9520"/>
    <cellStyle name="Percent 2 3 3 5 5" xfId="6568"/>
    <cellStyle name="Percent 2 3 3 6" xfId="1383"/>
    <cellStyle name="Percent 2 3 3 6 2" xfId="7011"/>
    <cellStyle name="Percent 2 3 3 6 2 2" xfId="8488"/>
    <cellStyle name="Percent 2 3 3 6 2 2 2" xfId="11385"/>
    <cellStyle name="Percent 2 3 3 6 2 3" xfId="9945"/>
    <cellStyle name="Percent 2 3 3 6 3" xfId="7829"/>
    <cellStyle name="Percent 2 3 3 6 3 2" xfId="10727"/>
    <cellStyle name="Percent 2 3 3 6 4" xfId="9287"/>
    <cellStyle name="Percent 2 3 3 6 5" xfId="6332"/>
    <cellStyle name="Percent 2 3 3 7" xfId="7477"/>
    <cellStyle name="Percent 2 3 3 7 2" xfId="8951"/>
    <cellStyle name="Percent 2 3 3 7 2 2" xfId="11848"/>
    <cellStyle name="Percent 2 3 3 7 3" xfId="10408"/>
    <cellStyle name="Percent 2 3 3 8" xfId="7536"/>
    <cellStyle name="Percent 2 3 3 8 2" xfId="9008"/>
    <cellStyle name="Percent 2 3 3 8 2 2" xfId="11905"/>
    <cellStyle name="Percent 2 3 3 8 3" xfId="10465"/>
    <cellStyle name="Percent 2 3 3 9" xfId="6807"/>
    <cellStyle name="Percent 2 3 3 9 2" xfId="8288"/>
    <cellStyle name="Percent 2 3 3 9 2 2" xfId="11185"/>
    <cellStyle name="Percent 2 3 3 9 3" xfId="9745"/>
    <cellStyle name="Percent 2 3 4" xfId="1384"/>
    <cellStyle name="Percent 2 3 4 10" xfId="9101"/>
    <cellStyle name="Percent 2 3 4 11" xfId="6113"/>
    <cellStyle name="Percent 2 3 4 2" xfId="1385"/>
    <cellStyle name="Percent 2 3 4 2 2" xfId="1386"/>
    <cellStyle name="Percent 2 3 4 2 2 2" xfId="1387"/>
    <cellStyle name="Percent 2 3 4 2 2 2 2" xfId="7426"/>
    <cellStyle name="Percent 2 3 4 2 2 2 2 2" xfId="8903"/>
    <cellStyle name="Percent 2 3 4 2 2 2 2 2 2" xfId="11800"/>
    <cellStyle name="Percent 2 3 4 2 2 2 2 3" xfId="10360"/>
    <cellStyle name="Percent 2 3 4 2 2 2 3" xfId="8245"/>
    <cellStyle name="Percent 2 3 4 2 2 2 3 2" xfId="11142"/>
    <cellStyle name="Percent 2 3 4 2 2 2 4" xfId="9702"/>
    <cellStyle name="Percent 2 3 4 2 2 2 5" xfId="6750"/>
    <cellStyle name="Percent 2 3 4 2 2 3" xfId="7193"/>
    <cellStyle name="Percent 2 3 4 2 2 3 2" xfId="8670"/>
    <cellStyle name="Percent 2 3 4 2 2 3 2 2" xfId="11567"/>
    <cellStyle name="Percent 2 3 4 2 2 3 3" xfId="10127"/>
    <cellStyle name="Percent 2 3 4 2 2 4" xfId="8012"/>
    <cellStyle name="Percent 2 3 4 2 2 4 2" xfId="10909"/>
    <cellStyle name="Percent 2 3 4 2 2 5" xfId="9469"/>
    <cellStyle name="Percent 2 3 4 2 2 6" xfId="6517"/>
    <cellStyle name="Percent 2 3 4 2 3" xfId="1388"/>
    <cellStyle name="Percent 2 3 4 2 3 2" xfId="7310"/>
    <cellStyle name="Percent 2 3 4 2 3 2 2" xfId="8787"/>
    <cellStyle name="Percent 2 3 4 2 3 2 2 2" xfId="11684"/>
    <cellStyle name="Percent 2 3 4 2 3 2 3" xfId="10244"/>
    <cellStyle name="Percent 2 3 4 2 3 3" xfId="8129"/>
    <cellStyle name="Percent 2 3 4 2 3 3 2" xfId="11026"/>
    <cellStyle name="Percent 2 3 4 2 3 4" xfId="9586"/>
    <cellStyle name="Percent 2 3 4 2 3 5" xfId="6634"/>
    <cellStyle name="Percent 2 3 4 2 4" xfId="1389"/>
    <cellStyle name="Percent 2 3 4 2 4 2" xfId="7077"/>
    <cellStyle name="Percent 2 3 4 2 4 2 2" xfId="8554"/>
    <cellStyle name="Percent 2 3 4 2 4 2 2 2" xfId="11451"/>
    <cellStyle name="Percent 2 3 4 2 4 2 3" xfId="10011"/>
    <cellStyle name="Percent 2 3 4 2 4 3" xfId="7895"/>
    <cellStyle name="Percent 2 3 4 2 4 3 2" xfId="10793"/>
    <cellStyle name="Percent 2 3 4 2 4 4" xfId="9353"/>
    <cellStyle name="Percent 2 3 4 2 4 5" xfId="6398"/>
    <cellStyle name="Percent 2 3 4 2 5" xfId="6905"/>
    <cellStyle name="Percent 2 3 4 2 5 2" xfId="8383"/>
    <cellStyle name="Percent 2 3 4 2 5 2 2" xfId="11280"/>
    <cellStyle name="Percent 2 3 4 2 5 3" xfId="9840"/>
    <cellStyle name="Percent 2 3 4 2 6" xfId="7722"/>
    <cellStyle name="Percent 2 3 4 2 6 2" xfId="10622"/>
    <cellStyle name="Percent 2 3 4 2 7" xfId="9182"/>
    <cellStyle name="Percent 2 3 4 2 8" xfId="6201"/>
    <cellStyle name="Percent 2 3 4 3" xfId="1390"/>
    <cellStyle name="Percent 2 3 4 3 2" xfId="1391"/>
    <cellStyle name="Percent 2 3 4 3 2 2" xfId="7370"/>
    <cellStyle name="Percent 2 3 4 3 2 2 2" xfId="8847"/>
    <cellStyle name="Percent 2 3 4 3 2 2 2 2" xfId="11744"/>
    <cellStyle name="Percent 2 3 4 3 2 2 3" xfId="10304"/>
    <cellStyle name="Percent 2 3 4 3 2 3" xfId="8189"/>
    <cellStyle name="Percent 2 3 4 3 2 3 2" xfId="11086"/>
    <cellStyle name="Percent 2 3 4 3 2 4" xfId="9646"/>
    <cellStyle name="Percent 2 3 4 3 2 5" xfId="6694"/>
    <cellStyle name="Percent 2 3 4 3 3" xfId="1392"/>
    <cellStyle name="Percent 2 3 4 3 3 2" xfId="7137"/>
    <cellStyle name="Percent 2 3 4 3 3 2 2" xfId="8614"/>
    <cellStyle name="Percent 2 3 4 3 3 2 2 2" xfId="11511"/>
    <cellStyle name="Percent 2 3 4 3 3 2 3" xfId="10071"/>
    <cellStyle name="Percent 2 3 4 3 3 3" xfId="7956"/>
    <cellStyle name="Percent 2 3 4 3 3 3 2" xfId="10853"/>
    <cellStyle name="Percent 2 3 4 3 3 4" xfId="9413"/>
    <cellStyle name="Percent 2 3 4 3 3 5" xfId="6461"/>
    <cellStyle name="Percent 2 3 4 3 4" xfId="6962"/>
    <cellStyle name="Percent 2 3 4 3 4 2" xfId="8439"/>
    <cellStyle name="Percent 2 3 4 3 4 2 2" xfId="11336"/>
    <cellStyle name="Percent 2 3 4 3 4 3" xfId="9896"/>
    <cellStyle name="Percent 2 3 4 3 5" xfId="7779"/>
    <cellStyle name="Percent 2 3 4 3 5 2" xfId="10678"/>
    <cellStyle name="Percent 2 3 4 3 6" xfId="9238"/>
    <cellStyle name="Percent 2 3 4 3 7" xfId="6263"/>
    <cellStyle name="Percent 2 3 4 4" xfId="1393"/>
    <cellStyle name="Percent 2 3 4 4 2" xfId="7254"/>
    <cellStyle name="Percent 2 3 4 4 2 2" xfId="8731"/>
    <cellStyle name="Percent 2 3 4 4 2 2 2" xfId="11628"/>
    <cellStyle name="Percent 2 3 4 4 2 3" xfId="10188"/>
    <cellStyle name="Percent 2 3 4 4 3" xfId="8073"/>
    <cellStyle name="Percent 2 3 4 4 3 2" xfId="10970"/>
    <cellStyle name="Percent 2 3 4 4 4" xfId="9530"/>
    <cellStyle name="Percent 2 3 4 4 5" xfId="6578"/>
    <cellStyle name="Percent 2 3 4 5" xfId="1394"/>
    <cellStyle name="Percent 2 3 4 5 2" xfId="7021"/>
    <cellStyle name="Percent 2 3 4 5 2 2" xfId="8498"/>
    <cellStyle name="Percent 2 3 4 5 2 2 2" xfId="11395"/>
    <cellStyle name="Percent 2 3 4 5 2 3" xfId="9955"/>
    <cellStyle name="Percent 2 3 4 5 3" xfId="7839"/>
    <cellStyle name="Percent 2 3 4 5 3 2" xfId="10737"/>
    <cellStyle name="Percent 2 3 4 5 4" xfId="9297"/>
    <cellStyle name="Percent 2 3 4 5 5" xfId="6342"/>
    <cellStyle name="Percent 2 3 4 6" xfId="7487"/>
    <cellStyle name="Percent 2 3 4 6 2" xfId="8961"/>
    <cellStyle name="Percent 2 3 4 6 2 2" xfId="11858"/>
    <cellStyle name="Percent 2 3 4 6 3" xfId="10418"/>
    <cellStyle name="Percent 2 3 4 7" xfId="7546"/>
    <cellStyle name="Percent 2 3 4 7 2" xfId="9018"/>
    <cellStyle name="Percent 2 3 4 7 2 2" xfId="11915"/>
    <cellStyle name="Percent 2 3 4 7 3" xfId="10475"/>
    <cellStyle name="Percent 2 3 4 8" xfId="6822"/>
    <cellStyle name="Percent 2 3 4 8 2" xfId="8302"/>
    <cellStyle name="Percent 2 3 4 8 2 2" xfId="11199"/>
    <cellStyle name="Percent 2 3 4 8 3" xfId="9759"/>
    <cellStyle name="Percent 2 3 4 9" xfId="7641"/>
    <cellStyle name="Percent 2 3 4 9 2" xfId="10541"/>
    <cellStyle name="Percent 2 3 5" xfId="1395"/>
    <cellStyle name="Percent 2 3 5 2" xfId="1396"/>
    <cellStyle name="Percent 2 3 5 2 2" xfId="1397"/>
    <cellStyle name="Percent 2 3 5 2 2 2" xfId="7396"/>
    <cellStyle name="Percent 2 3 5 2 2 2 2" xfId="8873"/>
    <cellStyle name="Percent 2 3 5 2 2 2 2 2" xfId="11770"/>
    <cellStyle name="Percent 2 3 5 2 2 2 3" xfId="10330"/>
    <cellStyle name="Percent 2 3 5 2 2 3" xfId="8215"/>
    <cellStyle name="Percent 2 3 5 2 2 3 2" xfId="11112"/>
    <cellStyle name="Percent 2 3 5 2 2 4" xfId="9672"/>
    <cellStyle name="Percent 2 3 5 2 2 5" xfId="6720"/>
    <cellStyle name="Percent 2 3 5 2 3" xfId="7163"/>
    <cellStyle name="Percent 2 3 5 2 3 2" xfId="8640"/>
    <cellStyle name="Percent 2 3 5 2 3 2 2" xfId="11537"/>
    <cellStyle name="Percent 2 3 5 2 3 3" xfId="10097"/>
    <cellStyle name="Percent 2 3 5 2 4" xfId="7982"/>
    <cellStyle name="Percent 2 3 5 2 4 2" xfId="10879"/>
    <cellStyle name="Percent 2 3 5 2 5" xfId="9439"/>
    <cellStyle name="Percent 2 3 5 2 6" xfId="6487"/>
    <cellStyle name="Percent 2 3 5 3" xfId="1398"/>
    <cellStyle name="Percent 2 3 5 3 2" xfId="7280"/>
    <cellStyle name="Percent 2 3 5 3 2 2" xfId="8757"/>
    <cellStyle name="Percent 2 3 5 3 2 2 2" xfId="11654"/>
    <cellStyle name="Percent 2 3 5 3 2 3" xfId="10214"/>
    <cellStyle name="Percent 2 3 5 3 3" xfId="8099"/>
    <cellStyle name="Percent 2 3 5 3 3 2" xfId="10996"/>
    <cellStyle name="Percent 2 3 5 3 4" xfId="9556"/>
    <cellStyle name="Percent 2 3 5 3 5" xfId="6604"/>
    <cellStyle name="Percent 2 3 5 4" xfId="1399"/>
    <cellStyle name="Percent 2 3 5 4 2" xfId="7047"/>
    <cellStyle name="Percent 2 3 5 4 2 2" xfId="8524"/>
    <cellStyle name="Percent 2 3 5 4 2 2 2" xfId="11421"/>
    <cellStyle name="Percent 2 3 5 4 2 3" xfId="9981"/>
    <cellStyle name="Percent 2 3 5 4 3" xfId="7865"/>
    <cellStyle name="Percent 2 3 5 4 3 2" xfId="10763"/>
    <cellStyle name="Percent 2 3 5 4 4" xfId="9323"/>
    <cellStyle name="Percent 2 3 5 4 5" xfId="6368"/>
    <cellStyle name="Percent 2 3 5 5" xfId="6875"/>
    <cellStyle name="Percent 2 3 5 5 2" xfId="8353"/>
    <cellStyle name="Percent 2 3 5 5 2 2" xfId="11250"/>
    <cellStyle name="Percent 2 3 5 5 3" xfId="9810"/>
    <cellStyle name="Percent 2 3 5 6" xfId="7692"/>
    <cellStyle name="Percent 2 3 5 6 2" xfId="10592"/>
    <cellStyle name="Percent 2 3 5 7" xfId="9152"/>
    <cellStyle name="Percent 2 3 5 8" xfId="6170"/>
    <cellStyle name="Percent 2 3 6" xfId="1400"/>
    <cellStyle name="Percent 2 3 6 2" xfId="1401"/>
    <cellStyle name="Percent 2 3 6 2 2" xfId="7344"/>
    <cellStyle name="Percent 2 3 6 2 2 2" xfId="8821"/>
    <cellStyle name="Percent 2 3 6 2 2 2 2" xfId="11718"/>
    <cellStyle name="Percent 2 3 6 2 2 3" xfId="10278"/>
    <cellStyle name="Percent 2 3 6 2 3" xfId="8163"/>
    <cellStyle name="Percent 2 3 6 2 3 2" xfId="11060"/>
    <cellStyle name="Percent 2 3 6 2 4" xfId="9620"/>
    <cellStyle name="Percent 2 3 6 2 5" xfId="6668"/>
    <cellStyle name="Percent 2 3 6 3" xfId="1402"/>
    <cellStyle name="Percent 2 3 6 3 2" xfId="7111"/>
    <cellStyle name="Percent 2 3 6 3 2 2" xfId="8588"/>
    <cellStyle name="Percent 2 3 6 3 2 2 2" xfId="11485"/>
    <cellStyle name="Percent 2 3 6 3 2 3" xfId="10045"/>
    <cellStyle name="Percent 2 3 6 3 3" xfId="7930"/>
    <cellStyle name="Percent 2 3 6 3 3 2" xfId="10827"/>
    <cellStyle name="Percent 2 3 6 3 4" xfId="9387"/>
    <cellStyle name="Percent 2 3 6 3 5" xfId="6435"/>
    <cellStyle name="Percent 2 3 6 4" xfId="6932"/>
    <cellStyle name="Percent 2 3 6 4 2" xfId="8409"/>
    <cellStyle name="Percent 2 3 6 4 2 2" xfId="11306"/>
    <cellStyle name="Percent 2 3 6 4 3" xfId="9866"/>
    <cellStyle name="Percent 2 3 6 5" xfId="7749"/>
    <cellStyle name="Percent 2 3 6 5 2" xfId="10648"/>
    <cellStyle name="Percent 2 3 6 6" xfId="9208"/>
    <cellStyle name="Percent 2 3 6 7" xfId="6233"/>
    <cellStyle name="Percent 2 3 7" xfId="1403"/>
    <cellStyle name="Percent 2 3 7 2" xfId="7228"/>
    <cellStyle name="Percent 2 3 7 2 2" xfId="8705"/>
    <cellStyle name="Percent 2 3 7 2 2 2" xfId="11602"/>
    <cellStyle name="Percent 2 3 7 2 3" xfId="10162"/>
    <cellStyle name="Percent 2 3 7 3" xfId="8047"/>
    <cellStyle name="Percent 2 3 7 3 2" xfId="10944"/>
    <cellStyle name="Percent 2 3 7 4" xfId="9504"/>
    <cellStyle name="Percent 2 3 7 5" xfId="6552"/>
    <cellStyle name="Percent 2 3 8" xfId="1404"/>
    <cellStyle name="Percent 2 3 8 2" xfId="6995"/>
    <cellStyle name="Percent 2 3 8 2 2" xfId="8472"/>
    <cellStyle name="Percent 2 3 8 2 2 2" xfId="11369"/>
    <cellStyle name="Percent 2 3 8 2 3" xfId="9929"/>
    <cellStyle name="Percent 2 3 8 3" xfId="7813"/>
    <cellStyle name="Percent 2 3 8 3 2" xfId="10711"/>
    <cellStyle name="Percent 2 3 8 4" xfId="9271"/>
    <cellStyle name="Percent 2 3 8 5" xfId="6316"/>
    <cellStyle name="Percent 2 3 9" xfId="5534"/>
    <cellStyle name="Percent 2 3 9 2" xfId="8935"/>
    <cellStyle name="Percent 2 3 9 2 2" xfId="11832"/>
    <cellStyle name="Percent 2 3 9 3" xfId="10392"/>
    <cellStyle name="Percent 2 3 9 4" xfId="7461"/>
    <cellStyle name="Percent 2 4" xfId="1405"/>
    <cellStyle name="Percent 2 5" xfId="1406"/>
    <cellStyle name="Percent 2 5 2" xfId="5536"/>
    <cellStyle name="Percent 2 5 2 2" xfId="5537"/>
    <cellStyle name="Percent 2 5 2 2 2" xfId="5538"/>
    <cellStyle name="Percent 2 5 2 2 2 2" xfId="5539"/>
    <cellStyle name="Percent 2 5 2 2 3" xfId="5540"/>
    <cellStyle name="Percent 2 5 2 3" xfId="5541"/>
    <cellStyle name="Percent 2 5 2 3 2" xfId="5542"/>
    <cellStyle name="Percent 2 5 2 4" xfId="5543"/>
    <cellStyle name="Percent 2 5 3" xfId="5544"/>
    <cellStyle name="Percent 2 5 3 2" xfId="5545"/>
    <cellStyle name="Percent 2 5 3 2 2" xfId="5546"/>
    <cellStyle name="Percent 2 5 3 2 2 2" xfId="5547"/>
    <cellStyle name="Percent 2 5 3 2 3" xfId="5548"/>
    <cellStyle name="Percent 2 5 3 3" xfId="5549"/>
    <cellStyle name="Percent 2 5 3 3 2" xfId="5550"/>
    <cellStyle name="Percent 2 5 3 4" xfId="5551"/>
    <cellStyle name="Percent 2 5 4" xfId="5552"/>
    <cellStyle name="Percent 2 5 4 2" xfId="5553"/>
    <cellStyle name="Percent 2 5 4 2 2" xfId="5554"/>
    <cellStyle name="Percent 2 5 4 3" xfId="5555"/>
    <cellStyle name="Percent 2 5 5" xfId="5556"/>
    <cellStyle name="Percent 2 5 5 2" xfId="5557"/>
    <cellStyle name="Percent 2 5 6" xfId="5558"/>
    <cellStyle name="Percent 2 5 7" xfId="5535"/>
    <cellStyle name="Percent 2 5 8" xfId="6064"/>
    <cellStyle name="Percent 2 6" xfId="5559"/>
    <cellStyle name="Percent 2 6 2" xfId="5560"/>
    <cellStyle name="Percent 2 6 2 2" xfId="5561"/>
    <cellStyle name="Percent 2 6 2 2 2" xfId="5562"/>
    <cellStyle name="Percent 2 6 2 2 2 2" xfId="5563"/>
    <cellStyle name="Percent 2 6 2 2 3" xfId="5564"/>
    <cellStyle name="Percent 2 6 2 3" xfId="5565"/>
    <cellStyle name="Percent 2 6 2 3 2" xfId="5566"/>
    <cellStyle name="Percent 2 6 2 4" xfId="5567"/>
    <cellStyle name="Percent 2 6 2 5" xfId="10501"/>
    <cellStyle name="Percent 2 6 3" xfId="5568"/>
    <cellStyle name="Percent 2 6 3 2" xfId="5569"/>
    <cellStyle name="Percent 2 6 3 2 2" xfId="5570"/>
    <cellStyle name="Percent 2 6 3 2 2 2" xfId="5571"/>
    <cellStyle name="Percent 2 6 3 2 3" xfId="5572"/>
    <cellStyle name="Percent 2 6 3 3" xfId="5573"/>
    <cellStyle name="Percent 2 6 3 3 2" xfId="5574"/>
    <cellStyle name="Percent 2 6 3 4" xfId="5575"/>
    <cellStyle name="Percent 2 6 4" xfId="5576"/>
    <cellStyle name="Percent 2 6 4 2" xfId="5577"/>
    <cellStyle name="Percent 2 6 4 2 2" xfId="5578"/>
    <cellStyle name="Percent 2 6 4 3" xfId="5579"/>
    <cellStyle name="Percent 2 6 5" xfId="5580"/>
    <cellStyle name="Percent 2 6 5 2" xfId="5581"/>
    <cellStyle name="Percent 2 6 6" xfId="5582"/>
    <cellStyle name="Percent 2 6 7" xfId="7589"/>
    <cellStyle name="Percent 2 7" xfId="5583"/>
    <cellStyle name="Percent 2 7 2" xfId="5584"/>
    <cellStyle name="Percent 2 7 3" xfId="5585"/>
    <cellStyle name="Percent 2 7 4" xfId="5586"/>
    <cellStyle name="Percent 2 7 4 2" xfId="5587"/>
    <cellStyle name="Percent 2 7 4 2 2" xfId="5588"/>
    <cellStyle name="Percent 2 7 4 3" xfId="5589"/>
    <cellStyle name="Percent 2 7 5" xfId="5590"/>
    <cellStyle name="Percent 2 7 5 2" xfId="5591"/>
    <cellStyle name="Percent 2 7 6" xfId="5592"/>
    <cellStyle name="Percent 2 7 7" xfId="9059"/>
    <cellStyle name="Percent 2 8" xfId="5593"/>
    <cellStyle name="Percent 2 8 2" xfId="5594"/>
    <cellStyle name="Percent 2 8 2 2" xfId="5595"/>
    <cellStyle name="Percent 2 8 2 2 2" xfId="5596"/>
    <cellStyle name="Percent 2 8 2 3" xfId="5597"/>
    <cellStyle name="Percent 2 8 3" xfId="5598"/>
    <cellStyle name="Percent 2 8 3 2" xfId="5599"/>
    <cellStyle name="Percent 2 8 4" xfId="5600"/>
    <cellStyle name="Percent 2 9" xfId="5601"/>
    <cellStyle name="Percent 20" xfId="1407"/>
    <cellStyle name="Percent 20 2" xfId="6281"/>
    <cellStyle name="Percent 21" xfId="1408"/>
    <cellStyle name="Percent 21 2" xfId="6283"/>
    <cellStyle name="Percent 22" xfId="1409"/>
    <cellStyle name="Percent 22 2" xfId="6291"/>
    <cellStyle name="Percent 23" xfId="1410"/>
    <cellStyle name="Percent 23 2" xfId="6770"/>
    <cellStyle name="Percent 24" xfId="1411"/>
    <cellStyle name="Percent 24 2" xfId="6294"/>
    <cellStyle name="Percent 25" xfId="1412"/>
    <cellStyle name="Percent 25 2" xfId="6771"/>
    <cellStyle name="Percent 26" xfId="1413"/>
    <cellStyle name="Percent 26 2" xfId="6302"/>
    <cellStyle name="Percent 27" xfId="1414"/>
    <cellStyle name="Percent 27 2" xfId="6284"/>
    <cellStyle name="Percent 28" xfId="1415"/>
    <cellStyle name="Percent 28 2" xfId="6290"/>
    <cellStyle name="Percent 29" xfId="1416"/>
    <cellStyle name="Percent 29 2" xfId="6773"/>
    <cellStyle name="Percent 3" xfId="1417"/>
    <cellStyle name="Percent 3 2" xfId="1418"/>
    <cellStyle name="Percent 3 2 2" xfId="1419"/>
    <cellStyle name="Percent 3 2 2 2" xfId="5605"/>
    <cellStyle name="Percent 3 2 2 2 2" xfId="8341"/>
    <cellStyle name="Percent 3 2 2 2 2 2" xfId="11238"/>
    <cellStyle name="Percent 3 2 2 2 3" xfId="9798"/>
    <cellStyle name="Percent 3 2 2 2 4" xfId="6863"/>
    <cellStyle name="Percent 3 2 2 3" xfId="5604"/>
    <cellStyle name="Percent 3 2 2 3 2" xfId="10580"/>
    <cellStyle name="Percent 3 2 2 3 3" xfId="7680"/>
    <cellStyle name="Percent 3 2 2 4" xfId="9140"/>
    <cellStyle name="Percent 3 2 2 5" xfId="6155"/>
    <cellStyle name="Percent 3 2 3" xfId="1420"/>
    <cellStyle name="Percent 3 2 3 2" xfId="5606"/>
    <cellStyle name="Percent 3 2 3 2 2" xfId="9038"/>
    <cellStyle name="Percent 3 2 3 2 2 2" xfId="11935"/>
    <cellStyle name="Percent 3 2 3 2 3" xfId="10495"/>
    <cellStyle name="Percent 3 2 3 2 4" xfId="7580"/>
    <cellStyle name="Percent 3 2 3 3" xfId="7587"/>
    <cellStyle name="Percent 3 2 3 3 2" xfId="10499"/>
    <cellStyle name="Percent 3 2 3 4" xfId="9052"/>
    <cellStyle name="Percent 3 2 3 4 2" xfId="11939"/>
    <cellStyle name="Percent 3 2 3 5" xfId="9057"/>
    <cellStyle name="Percent 3 2 3 6" xfId="6047"/>
    <cellStyle name="Percent 3 2 4" xfId="5607"/>
    <cellStyle name="Percent 3 2 5" xfId="5603"/>
    <cellStyle name="Percent 3 3" xfId="1421"/>
    <cellStyle name="Percent 3 3 2" xfId="5608"/>
    <cellStyle name="Percent 3 3 3" xfId="6096"/>
    <cellStyle name="Percent 3 4" xfId="1422"/>
    <cellStyle name="Percent 3 4 2" xfId="5609"/>
    <cellStyle name="Percent 3 4 2 2" xfId="8337"/>
    <cellStyle name="Percent 3 4 2 2 2" xfId="11234"/>
    <cellStyle name="Percent 3 4 2 3" xfId="9794"/>
    <cellStyle name="Percent 3 4 2 4" xfId="6858"/>
    <cellStyle name="Percent 3 4 3" xfId="7676"/>
    <cellStyle name="Percent 3 4 3 2" xfId="10576"/>
    <cellStyle name="Percent 3 4 4" xfId="9136"/>
    <cellStyle name="Percent 3 4 5" xfId="6150"/>
    <cellStyle name="Percent 3 5" xfId="1423"/>
    <cellStyle name="Percent 3 6" xfId="1520"/>
    <cellStyle name="Percent 3 7" xfId="5602"/>
    <cellStyle name="Percent 30" xfId="1424"/>
    <cellStyle name="Percent 30 2" xfId="6299"/>
    <cellStyle name="Percent 31" xfId="1425"/>
    <cellStyle name="Percent 31 2" xfId="6301"/>
    <cellStyle name="Percent 32" xfId="17"/>
    <cellStyle name="Percent 32 2" xfId="6292"/>
    <cellStyle name="Percent 33" xfId="1426"/>
    <cellStyle name="Percent 33 2" xfId="6772"/>
    <cellStyle name="Percent 34" xfId="1427"/>
    <cellStyle name="Percent 35" xfId="1428"/>
    <cellStyle name="Percent 36" xfId="1429"/>
    <cellStyle name="Percent 37" xfId="1430"/>
    <cellStyle name="Percent 38" xfId="1431"/>
    <cellStyle name="Percent 39" xfId="1432"/>
    <cellStyle name="Percent 4" xfId="1433"/>
    <cellStyle name="Percent 4 2" xfId="1434"/>
    <cellStyle name="Percent 4 2 2" xfId="5612"/>
    <cellStyle name="Percent 4 2 2 2" xfId="8347"/>
    <cellStyle name="Percent 4 2 2 2 2" xfId="11244"/>
    <cellStyle name="Percent 4 2 2 3" xfId="9804"/>
    <cellStyle name="Percent 4 2 2 4" xfId="6869"/>
    <cellStyle name="Percent 4 2 3" xfId="5611"/>
    <cellStyle name="Percent 4 2 3 2" xfId="10586"/>
    <cellStyle name="Percent 4 2 3 3" xfId="7686"/>
    <cellStyle name="Percent 4 2 4" xfId="9146"/>
    <cellStyle name="Percent 4 2 5" xfId="6164"/>
    <cellStyle name="Percent 4 3" xfId="1435"/>
    <cellStyle name="Percent 4 3 2" xfId="5614"/>
    <cellStyle name="Percent 4 3 2 2" xfId="5615"/>
    <cellStyle name="Percent 4 3 3" xfId="5616"/>
    <cellStyle name="Percent 4 3 4" xfId="5613"/>
    <cellStyle name="Percent 4 4" xfId="5610"/>
    <cellStyle name="Percent 40" xfId="1436"/>
    <cellStyle name="Percent 41" xfId="1437"/>
    <cellStyle name="Percent 42" xfId="1438"/>
    <cellStyle name="Percent 43" xfId="1439"/>
    <cellStyle name="Percent 44" xfId="1440"/>
    <cellStyle name="Percent 45" xfId="1441"/>
    <cellStyle name="Percent 46" xfId="1442"/>
    <cellStyle name="Percent 47" xfId="1443"/>
    <cellStyle name="Percent 48" xfId="1444"/>
    <cellStyle name="Percent 49" xfId="1445"/>
    <cellStyle name="Percent 49 2" xfId="7447"/>
    <cellStyle name="Percent 5" xfId="1446"/>
    <cellStyle name="Percent 5 2" xfId="5618"/>
    <cellStyle name="Percent 5 2 2" xfId="5619"/>
    <cellStyle name="Percent 5 2 2 2" xfId="5620"/>
    <cellStyle name="Percent 5 2 3" xfId="5621"/>
    <cellStyle name="Percent 5 3" xfId="5617"/>
    <cellStyle name="Percent 5 4" xfId="6105"/>
    <cellStyle name="Percent 50" xfId="1447"/>
    <cellStyle name="Percent 50 2" xfId="7444"/>
    <cellStyle name="Percent 51" xfId="1448"/>
    <cellStyle name="Percent 51 2" xfId="7507"/>
    <cellStyle name="Percent 52" xfId="1449"/>
    <cellStyle name="Percent 52 2" xfId="6783"/>
    <cellStyle name="Percent 53" xfId="1450"/>
    <cellStyle name="Percent 53 2" xfId="6847"/>
    <cellStyle name="Percent 54" xfId="1451"/>
    <cellStyle name="Percent 54 2" xfId="7565"/>
    <cellStyle name="Percent 55" xfId="1515"/>
    <cellStyle name="Percent 56" xfId="1521"/>
    <cellStyle name="Percent 56 2" xfId="7567"/>
    <cellStyle name="Percent 57" xfId="1522"/>
    <cellStyle name="Percent 57 2" xfId="6860"/>
    <cellStyle name="Percent 58" xfId="1523"/>
    <cellStyle name="Percent 58 2" xfId="7570"/>
    <cellStyle name="Percent 59" xfId="1524"/>
    <cellStyle name="Percent 59 2" xfId="6775"/>
    <cellStyle name="Percent 6" xfId="1452"/>
    <cellStyle name="Percent 6 2" xfId="1453"/>
    <cellStyle name="Percent 6 2 2" xfId="1454"/>
    <cellStyle name="Percent 6 2 2 2" xfId="5625"/>
    <cellStyle name="Percent 6 2 2 2 2" xfId="8893"/>
    <cellStyle name="Percent 6 2 2 2 2 2" xfId="11790"/>
    <cellStyle name="Percent 6 2 2 2 3" xfId="10350"/>
    <cellStyle name="Percent 6 2 2 2 4" xfId="7416"/>
    <cellStyle name="Percent 6 2 2 3" xfId="5624"/>
    <cellStyle name="Percent 6 2 2 3 2" xfId="11132"/>
    <cellStyle name="Percent 6 2 2 3 3" xfId="8235"/>
    <cellStyle name="Percent 6 2 2 4" xfId="9692"/>
    <cellStyle name="Percent 6 2 2 5" xfId="6740"/>
    <cellStyle name="Percent 6 2 3" xfId="1455"/>
    <cellStyle name="Percent 6 2 3 2" xfId="5626"/>
    <cellStyle name="Percent 6 2 3 2 2" xfId="8660"/>
    <cellStyle name="Percent 6 2 3 2 2 2" xfId="11557"/>
    <cellStyle name="Percent 6 2 3 2 3" xfId="10117"/>
    <cellStyle name="Percent 6 2 3 2 4" xfId="7183"/>
    <cellStyle name="Percent 6 2 3 3" xfId="8002"/>
    <cellStyle name="Percent 6 2 3 3 2" xfId="10899"/>
    <cellStyle name="Percent 6 2 3 4" xfId="9459"/>
    <cellStyle name="Percent 6 2 3 5" xfId="6507"/>
    <cellStyle name="Percent 6 2 4" xfId="5623"/>
    <cellStyle name="Percent 6 2 4 2" xfId="8373"/>
    <cellStyle name="Percent 6 2 4 2 2" xfId="11270"/>
    <cellStyle name="Percent 6 2 4 3" xfId="9830"/>
    <cellStyle name="Percent 6 2 4 4" xfId="6895"/>
    <cellStyle name="Percent 6 2 5" xfId="7712"/>
    <cellStyle name="Percent 6 2 5 2" xfId="10612"/>
    <cellStyle name="Percent 6 2 6" xfId="9172"/>
    <cellStyle name="Percent 6 2 7" xfId="6191"/>
    <cellStyle name="Percent 6 3" xfId="1456"/>
    <cellStyle name="Percent 6 3 2" xfId="1457"/>
    <cellStyle name="Percent 6 3 2 2" xfId="5629"/>
    <cellStyle name="Percent 6 3 2 2 2" xfId="8777"/>
    <cellStyle name="Percent 6 3 2 2 2 2" xfId="11674"/>
    <cellStyle name="Percent 6 3 2 2 3" xfId="10234"/>
    <cellStyle name="Percent 6 3 2 2 4" xfId="7300"/>
    <cellStyle name="Percent 6 3 2 3" xfId="5628"/>
    <cellStyle name="Percent 6 3 2 3 2" xfId="11016"/>
    <cellStyle name="Percent 6 3 2 3 3" xfId="8119"/>
    <cellStyle name="Percent 6 3 2 4" xfId="9576"/>
    <cellStyle name="Percent 6 3 2 5" xfId="6624"/>
    <cellStyle name="Percent 6 3 3" xfId="5630"/>
    <cellStyle name="Percent 6 3 3 2" xfId="8429"/>
    <cellStyle name="Percent 6 3 3 2 2" xfId="11326"/>
    <cellStyle name="Percent 6 3 3 3" xfId="9886"/>
    <cellStyle name="Percent 6 3 3 4" xfId="6952"/>
    <cellStyle name="Percent 6 3 4" xfId="5627"/>
    <cellStyle name="Percent 6 3 4 2" xfId="10668"/>
    <cellStyle name="Percent 6 3 4 3" xfId="7769"/>
    <cellStyle name="Percent 6 3 5" xfId="9228"/>
    <cellStyle name="Percent 6 3 6" xfId="6253"/>
    <cellStyle name="Percent 6 4" xfId="1458"/>
    <cellStyle name="Percent 6 4 2" xfId="7067"/>
    <cellStyle name="Percent 6 4 2 2" xfId="8544"/>
    <cellStyle name="Percent 6 4 2 2 2" xfId="11441"/>
    <cellStyle name="Percent 6 4 2 3" xfId="10001"/>
    <cellStyle name="Percent 6 4 3" xfId="7885"/>
    <cellStyle name="Percent 6 4 3 2" xfId="10783"/>
    <cellStyle name="Percent 6 4 4" xfId="9343"/>
    <cellStyle name="Percent 6 4 5" xfId="6388"/>
    <cellStyle name="Percent 6 5" xfId="5622"/>
    <cellStyle name="Percent 6 5 2" xfId="8292"/>
    <cellStyle name="Percent 6 5 2 2" xfId="11189"/>
    <cellStyle name="Percent 6 5 3" xfId="9749"/>
    <cellStyle name="Percent 6 5 4" xfId="6811"/>
    <cellStyle name="Percent 6 6" xfId="7631"/>
    <cellStyle name="Percent 6 6 2" xfId="10531"/>
    <cellStyle name="Percent 6 7" xfId="9091"/>
    <cellStyle name="Percent 6 8" xfId="6100"/>
    <cellStyle name="Percent 60" xfId="1527"/>
    <cellStyle name="Percent 60 2" xfId="7563"/>
    <cellStyle name="Percent 61" xfId="4991"/>
    <cellStyle name="Percent 61 2" xfId="6776"/>
    <cellStyle name="Percent 62" xfId="6022"/>
    <cellStyle name="Percent 62 2" xfId="6778"/>
    <cellStyle name="Percent 63" xfId="6779"/>
    <cellStyle name="Percent 64" xfId="6063"/>
    <cellStyle name="Percent 65" xfId="7573"/>
    <cellStyle name="Percent 66" xfId="7576"/>
    <cellStyle name="Percent 67" xfId="7575"/>
    <cellStyle name="Percent 7" xfId="1459"/>
    <cellStyle name="Percent 7 2" xfId="1460"/>
    <cellStyle name="Percent 7 2 2" xfId="5633"/>
    <cellStyle name="Percent 7 2 2 2" xfId="5634"/>
    <cellStyle name="Percent 7 2 3" xfId="5635"/>
    <cellStyle name="Percent 7 2 4" xfId="5632"/>
    <cellStyle name="Percent 7 2 5" xfId="6421"/>
    <cellStyle name="Percent 7 3" xfId="5636"/>
    <cellStyle name="Percent 7 3 2" xfId="5637"/>
    <cellStyle name="Percent 7 4" xfId="5638"/>
    <cellStyle name="Percent 7 5" xfId="5631"/>
    <cellStyle name="Percent 8" xfId="1461"/>
    <cellStyle name="Percent 8 2" xfId="1462"/>
    <cellStyle name="Percent 8 2 2" xfId="7213"/>
    <cellStyle name="Percent 8 2 2 2" xfId="8690"/>
    <cellStyle name="Percent 8 2 2 2 2" xfId="11587"/>
    <cellStyle name="Percent 8 2 2 3" xfId="10147"/>
    <cellStyle name="Percent 8 2 3" xfId="8032"/>
    <cellStyle name="Percent 8 2 3 2" xfId="10929"/>
    <cellStyle name="Percent 8 2 4" xfId="9489"/>
    <cellStyle name="Percent 8 2 5" xfId="6537"/>
    <cellStyle name="Percent 8 3" xfId="5639"/>
    <cellStyle name="Percent 9" xfId="1463"/>
    <cellStyle name="Percent 9 2" xfId="5640"/>
    <cellStyle name="Percent Hard" xfId="5641"/>
    <cellStyle name="percentage" xfId="5642"/>
    <cellStyle name="PercentChange" xfId="5643"/>
    <cellStyle name="PLAN1" xfId="5644"/>
    <cellStyle name="Porcentaje" xfId="5645"/>
    <cellStyle name="Pourcentage_Profit &amp; Loss" xfId="5646"/>
    <cellStyle name="PrePop Currency (0)" xfId="5647"/>
    <cellStyle name="PrePop Currency (2)" xfId="5648"/>
    <cellStyle name="PrePop Units (0)" xfId="5649"/>
    <cellStyle name="PrePop Units (1)" xfId="5650"/>
    <cellStyle name="PrePop Units (2)" xfId="5651"/>
    <cellStyle name="Procenten" xfId="5652"/>
    <cellStyle name="Procenten estimate" xfId="5653"/>
    <cellStyle name="Procenten_EMI" xfId="5654"/>
    <cellStyle name="Profit figure" xfId="5655"/>
    <cellStyle name="Protected" xfId="5656"/>
    <cellStyle name="ProtectedDates" xfId="5657"/>
    <cellStyle name="PSChar" xfId="5658"/>
    <cellStyle name="PSDate" xfId="5659"/>
    <cellStyle name="PSDec" xfId="5660"/>
    <cellStyle name="PSHeading" xfId="5661"/>
    <cellStyle name="PSInt" xfId="5662"/>
    <cellStyle name="PSSpacer" xfId="5663"/>
    <cellStyle name="RatioX" xfId="5664"/>
    <cellStyle name="Red font" xfId="5665"/>
    <cellStyle name="ref" xfId="5666"/>
    <cellStyle name="Right" xfId="5667"/>
    <cellStyle name="Salomon Logo" xfId="5668"/>
    <cellStyle name="ScripFactor" xfId="5669"/>
    <cellStyle name="SectionHeading" xfId="5670"/>
    <cellStyle name="Shade" xfId="5671"/>
    <cellStyle name="Shaded" xfId="5672"/>
    <cellStyle name="Single Accounting" xfId="5673"/>
    <cellStyle name="SingleLineAcctgn" xfId="5674"/>
    <cellStyle name="SingleLinePercent" xfId="5675"/>
    <cellStyle name="Source Superscript" xfId="5676"/>
    <cellStyle name="Source Text" xfId="5677"/>
    <cellStyle name="ssp " xfId="5678"/>
    <cellStyle name="Standard" xfId="5679"/>
    <cellStyle name="Style 1" xfId="5680"/>
    <cellStyle name="Style 10" xfId="5681"/>
    <cellStyle name="Style 100" xfId="5682"/>
    <cellStyle name="Style 101" xfId="5683"/>
    <cellStyle name="Style 102" xfId="5684"/>
    <cellStyle name="Style 103" xfId="5685"/>
    <cellStyle name="Style 104" xfId="5686"/>
    <cellStyle name="Style 105" xfId="5687"/>
    <cellStyle name="Style 106" xfId="5688"/>
    <cellStyle name="Style 107" xfId="5689"/>
    <cellStyle name="Style 108" xfId="5690"/>
    <cellStyle name="Style 109" xfId="5691"/>
    <cellStyle name="Style 11" xfId="5692"/>
    <cellStyle name="Style 110" xfId="5693"/>
    <cellStyle name="Style 111" xfId="5694"/>
    <cellStyle name="Style 112" xfId="5695"/>
    <cellStyle name="Style 113" xfId="5696"/>
    <cellStyle name="Style 114" xfId="5697"/>
    <cellStyle name="Style 115" xfId="5698"/>
    <cellStyle name="Style 116" xfId="5699"/>
    <cellStyle name="Style 117" xfId="5700"/>
    <cellStyle name="Style 118" xfId="5701"/>
    <cellStyle name="Style 119" xfId="5702"/>
    <cellStyle name="Style 12" xfId="5703"/>
    <cellStyle name="Style 120" xfId="5704"/>
    <cellStyle name="Style 121" xfId="5705"/>
    <cellStyle name="Style 122" xfId="5706"/>
    <cellStyle name="Style 123" xfId="5707"/>
    <cellStyle name="Style 124" xfId="5708"/>
    <cellStyle name="Style 125" xfId="5709"/>
    <cellStyle name="Style 126" xfId="5710"/>
    <cellStyle name="Style 127" xfId="5711"/>
    <cellStyle name="Style 128" xfId="5712"/>
    <cellStyle name="Style 129" xfId="5713"/>
    <cellStyle name="Style 13" xfId="5714"/>
    <cellStyle name="Style 130" xfId="5715"/>
    <cellStyle name="Style 131" xfId="5716"/>
    <cellStyle name="Style 132" xfId="5717"/>
    <cellStyle name="Style 133" xfId="5718"/>
    <cellStyle name="Style 134" xfId="5719"/>
    <cellStyle name="Style 135" xfId="5720"/>
    <cellStyle name="Style 136" xfId="5721"/>
    <cellStyle name="Style 137" xfId="5722"/>
    <cellStyle name="Style 138" xfId="5723"/>
    <cellStyle name="Style 139" xfId="5724"/>
    <cellStyle name="Style 14" xfId="5725"/>
    <cellStyle name="Style 140" xfId="5726"/>
    <cellStyle name="Style 141" xfId="5727"/>
    <cellStyle name="Style 142" xfId="5728"/>
    <cellStyle name="Style 143" xfId="5729"/>
    <cellStyle name="Style 144" xfId="5730"/>
    <cellStyle name="Style 145" xfId="5731"/>
    <cellStyle name="Style 146" xfId="5732"/>
    <cellStyle name="Style 147" xfId="5733"/>
    <cellStyle name="Style 148" xfId="5734"/>
    <cellStyle name="Style 149" xfId="5735"/>
    <cellStyle name="Style 15" xfId="5736"/>
    <cellStyle name="Style 150" xfId="5737"/>
    <cellStyle name="Style 151" xfId="5738"/>
    <cellStyle name="Style 152" xfId="5739"/>
    <cellStyle name="Style 153" xfId="5740"/>
    <cellStyle name="Style 154" xfId="5741"/>
    <cellStyle name="Style 155" xfId="5742"/>
    <cellStyle name="Style 156" xfId="5743"/>
    <cellStyle name="Style 157" xfId="5744"/>
    <cellStyle name="Style 158" xfId="5745"/>
    <cellStyle name="Style 159" xfId="5746"/>
    <cellStyle name="Style 16" xfId="5747"/>
    <cellStyle name="Style 160" xfId="5748"/>
    <cellStyle name="Style 161" xfId="5749"/>
    <cellStyle name="Style 162" xfId="5750"/>
    <cellStyle name="Style 163" xfId="5751"/>
    <cellStyle name="Style 164" xfId="5752"/>
    <cellStyle name="Style 165" xfId="5753"/>
    <cellStyle name="Style 166" xfId="5754"/>
    <cellStyle name="Style 167" xfId="5755"/>
    <cellStyle name="Style 168" xfId="5756"/>
    <cellStyle name="Style 169" xfId="5757"/>
    <cellStyle name="Style 17" xfId="5758"/>
    <cellStyle name="Style 170" xfId="5759"/>
    <cellStyle name="Style 171" xfId="5760"/>
    <cellStyle name="Style 172" xfId="5761"/>
    <cellStyle name="Style 173" xfId="5762"/>
    <cellStyle name="Style 174" xfId="5763"/>
    <cellStyle name="Style 175" xfId="5764"/>
    <cellStyle name="Style 176" xfId="5765"/>
    <cellStyle name="Style 177" xfId="5766"/>
    <cellStyle name="Style 178" xfId="5767"/>
    <cellStyle name="Style 179" xfId="5768"/>
    <cellStyle name="Style 18" xfId="5769"/>
    <cellStyle name="Style 180" xfId="5770"/>
    <cellStyle name="Style 181" xfId="5771"/>
    <cellStyle name="Style 182" xfId="5772"/>
    <cellStyle name="Style 183" xfId="5773"/>
    <cellStyle name="Style 184" xfId="5774"/>
    <cellStyle name="Style 185" xfId="5775"/>
    <cellStyle name="Style 186" xfId="5776"/>
    <cellStyle name="Style 187" xfId="5777"/>
    <cellStyle name="Style 188" xfId="5778"/>
    <cellStyle name="Style 189" xfId="5779"/>
    <cellStyle name="Style 19" xfId="5780"/>
    <cellStyle name="Style 190" xfId="5781"/>
    <cellStyle name="Style 191" xfId="5782"/>
    <cellStyle name="Style 192" xfId="5783"/>
    <cellStyle name="Style 193" xfId="5784"/>
    <cellStyle name="Style 194" xfId="5785"/>
    <cellStyle name="Style 195" xfId="5786"/>
    <cellStyle name="Style 196" xfId="5787"/>
    <cellStyle name="Style 197" xfId="5788"/>
    <cellStyle name="Style 198" xfId="5789"/>
    <cellStyle name="Style 199" xfId="5790"/>
    <cellStyle name="Style 2" xfId="5791"/>
    <cellStyle name="Style 20" xfId="5792"/>
    <cellStyle name="Style 200" xfId="5793"/>
    <cellStyle name="Style 201" xfId="5794"/>
    <cellStyle name="Style 202" xfId="5795"/>
    <cellStyle name="Style 203" xfId="5796"/>
    <cellStyle name="Style 204" xfId="5797"/>
    <cellStyle name="Style 205" xfId="5798"/>
    <cellStyle name="Style 206" xfId="5799"/>
    <cellStyle name="Style 207" xfId="5800"/>
    <cellStyle name="Style 208" xfId="5801"/>
    <cellStyle name="Style 209" xfId="5802"/>
    <cellStyle name="Style 21" xfId="5803"/>
    <cellStyle name="Style 21 2" xfId="5804"/>
    <cellStyle name="Style 22" xfId="5805"/>
    <cellStyle name="Style 22 2" xfId="5806"/>
    <cellStyle name="Style 22 3" xfId="5807"/>
    <cellStyle name="Style 22 4" xfId="5808"/>
    <cellStyle name="Style 23" xfId="3"/>
    <cellStyle name="Style 23 2" xfId="1464"/>
    <cellStyle name="Style 23 2 2" xfId="6075"/>
    <cellStyle name="Style 23 3" xfId="5809"/>
    <cellStyle name="Style 23 3 2" xfId="6074"/>
    <cellStyle name="Style 23 4" xfId="6044"/>
    <cellStyle name="Style 24" xfId="5810"/>
    <cellStyle name="Style 24 2" xfId="5811"/>
    <cellStyle name="Style 24 3" xfId="5812"/>
    <cellStyle name="Style 24 4" xfId="5813"/>
    <cellStyle name="Style 25" xfId="5814"/>
    <cellStyle name="Style 25 2" xfId="5815"/>
    <cellStyle name="Style 25 3" xfId="5816"/>
    <cellStyle name="Style 26" xfId="5817"/>
    <cellStyle name="Style 26 2" xfId="5818"/>
    <cellStyle name="Style 26 3" xfId="5819"/>
    <cellStyle name="Style 26 4" xfId="5820"/>
    <cellStyle name="Style 27" xfId="5821"/>
    <cellStyle name="Style 28" xfId="5822"/>
    <cellStyle name="Style 29" xfId="5823"/>
    <cellStyle name="Style 3" xfId="5824"/>
    <cellStyle name="Style 30" xfId="5825"/>
    <cellStyle name="Style 31" xfId="5826"/>
    <cellStyle name="Style 32" xfId="5827"/>
    <cellStyle name="Style 33" xfId="5828"/>
    <cellStyle name="Style 34" xfId="5829"/>
    <cellStyle name="Style 35" xfId="5830"/>
    <cellStyle name="Style 36" xfId="5831"/>
    <cellStyle name="Style 37" xfId="5832"/>
    <cellStyle name="Style 38" xfId="5833"/>
    <cellStyle name="Style 39" xfId="5834"/>
    <cellStyle name="Style 4" xfId="5835"/>
    <cellStyle name="Style 40" xfId="5836"/>
    <cellStyle name="Style 41" xfId="5837"/>
    <cellStyle name="Style 42" xfId="5838"/>
    <cellStyle name="Style 43" xfId="5839"/>
    <cellStyle name="Style 44" xfId="5840"/>
    <cellStyle name="Style 45" xfId="5841"/>
    <cellStyle name="Style 46" xfId="5842"/>
    <cellStyle name="Style 47" xfId="5843"/>
    <cellStyle name="Style 48" xfId="5844"/>
    <cellStyle name="Style 49" xfId="5845"/>
    <cellStyle name="Style 5" xfId="5846"/>
    <cellStyle name="Style 50" xfId="5847"/>
    <cellStyle name="Style 51" xfId="5848"/>
    <cellStyle name="Style 52" xfId="5849"/>
    <cellStyle name="Style 53" xfId="5850"/>
    <cellStyle name="Style 54" xfId="5851"/>
    <cellStyle name="Style 55" xfId="5852"/>
    <cellStyle name="Style 56" xfId="5853"/>
    <cellStyle name="Style 57" xfId="5854"/>
    <cellStyle name="Style 58" xfId="5855"/>
    <cellStyle name="Style 59" xfId="5856"/>
    <cellStyle name="Style 6" xfId="5857"/>
    <cellStyle name="Style 60" xfId="5858"/>
    <cellStyle name="Style 61" xfId="5859"/>
    <cellStyle name="Style 62" xfId="5860"/>
    <cellStyle name="Style 63" xfId="5861"/>
    <cellStyle name="Style 64" xfId="5862"/>
    <cellStyle name="Style 65" xfId="5863"/>
    <cellStyle name="Style 66" xfId="5864"/>
    <cellStyle name="Style 67" xfId="5865"/>
    <cellStyle name="Style 68" xfId="5866"/>
    <cellStyle name="Style 69" xfId="5867"/>
    <cellStyle name="Style 7" xfId="5868"/>
    <cellStyle name="Style 70" xfId="5869"/>
    <cellStyle name="Style 71" xfId="5870"/>
    <cellStyle name="Style 72" xfId="5871"/>
    <cellStyle name="Style 73" xfId="5872"/>
    <cellStyle name="Style 74" xfId="5873"/>
    <cellStyle name="Style 75" xfId="5874"/>
    <cellStyle name="Style 76" xfId="5875"/>
    <cellStyle name="Style 77" xfId="5876"/>
    <cellStyle name="Style 78" xfId="5877"/>
    <cellStyle name="Style 79" xfId="5878"/>
    <cellStyle name="Style 8" xfId="5879"/>
    <cellStyle name="Style 80" xfId="5880"/>
    <cellStyle name="Style 81" xfId="5881"/>
    <cellStyle name="Style 82" xfId="5882"/>
    <cellStyle name="Style 83" xfId="5883"/>
    <cellStyle name="Style 84" xfId="5884"/>
    <cellStyle name="Style 85" xfId="5885"/>
    <cellStyle name="Style 86" xfId="5886"/>
    <cellStyle name="Style 87" xfId="5887"/>
    <cellStyle name="Style 88" xfId="5888"/>
    <cellStyle name="Style 89" xfId="5889"/>
    <cellStyle name="Style 9" xfId="5890"/>
    <cellStyle name="Style 90" xfId="5891"/>
    <cellStyle name="Style 91" xfId="5892"/>
    <cellStyle name="Style 92" xfId="5893"/>
    <cellStyle name="Style 93" xfId="5894"/>
    <cellStyle name="Style 94" xfId="5895"/>
    <cellStyle name="Style 95" xfId="5896"/>
    <cellStyle name="Style 96" xfId="5897"/>
    <cellStyle name="Style 97" xfId="5898"/>
    <cellStyle name="Style 98" xfId="5899"/>
    <cellStyle name="Style 99" xfId="5900"/>
    <cellStyle name="STYLE1" xfId="5901"/>
    <cellStyle name="STYLE2" xfId="5902"/>
    <cellStyle name="STYLE3" xfId="5903"/>
    <cellStyle name="Subhead" xfId="5904"/>
    <cellStyle name="Subtotal_left" xfId="5905"/>
    <cellStyle name="SwitchCell" xfId="5906"/>
    <cellStyle name="t" xfId="5907"/>
    <cellStyle name="Table Col Head" xfId="5908"/>
    <cellStyle name="Table Head" xfId="5909"/>
    <cellStyle name="Table Head Aligned" xfId="5910"/>
    <cellStyle name="Table Head Blue" xfId="5911"/>
    <cellStyle name="Table Head Green" xfId="5912"/>
    <cellStyle name="Table Head_Val_Sum_Graph" xfId="5913"/>
    <cellStyle name="Table Sub Head" xfId="5914"/>
    <cellStyle name="Table Text" xfId="5915"/>
    <cellStyle name="Table Title" xfId="5916"/>
    <cellStyle name="Table Units" xfId="5917"/>
    <cellStyle name="Table_Header" xfId="5918"/>
    <cellStyle name="TableBorder" xfId="5919"/>
    <cellStyle name="TableColumnHeader" xfId="5920"/>
    <cellStyle name="TableColumnHeader 2" xfId="5989"/>
    <cellStyle name="TableHeading" xfId="5921"/>
    <cellStyle name="TableHighlight" xfId="5922"/>
    <cellStyle name="TableNote" xfId="5923"/>
    <cellStyle name="test a style" xfId="5924"/>
    <cellStyle name="Text 1" xfId="5925"/>
    <cellStyle name="Text Head 1" xfId="5926"/>
    <cellStyle name="Text Indent A" xfId="5927"/>
    <cellStyle name="Text Indent B" xfId="5928"/>
    <cellStyle name="Text Indent C" xfId="5929"/>
    <cellStyle name="Text Wrap" xfId="5930"/>
    <cellStyle name="Time" xfId="5931"/>
    <cellStyle name="Times 10" xfId="5932"/>
    <cellStyle name="Times 12" xfId="5933"/>
    <cellStyle name="Times New Roman" xfId="5934"/>
    <cellStyle name="Title" xfId="6042" builtinId="15" customBuiltin="1"/>
    <cellStyle name="Title 2" xfId="1465"/>
    <cellStyle name="Title 2 2" xfId="1466"/>
    <cellStyle name="Title 2 2 2" xfId="5935"/>
    <cellStyle name="Title 3" xfId="1467"/>
    <cellStyle name="Title 3 2" xfId="5936"/>
    <cellStyle name="title1" xfId="5937"/>
    <cellStyle name="title2" xfId="5938"/>
    <cellStyle name="Title-2" xfId="5939"/>
    <cellStyle name="Titles" xfId="5940"/>
    <cellStyle name="titre_col" xfId="5941"/>
    <cellStyle name="TOC" xfId="5942"/>
    <cellStyle name="Total 10" xfId="1468"/>
    <cellStyle name="Total 11" xfId="1469"/>
    <cellStyle name="Total 12" xfId="1470"/>
    <cellStyle name="Total 13" xfId="1471"/>
    <cellStyle name="Total 14" xfId="1472"/>
    <cellStyle name="Total 15" xfId="1473"/>
    <cellStyle name="Total 16" xfId="1474"/>
    <cellStyle name="Total 16 2" xfId="6131"/>
    <cellStyle name="Total 2" xfId="1475"/>
    <cellStyle name="Total 2 10" xfId="5944"/>
    <cellStyle name="Total 2 11" xfId="5943"/>
    <cellStyle name="Total 2 12" xfId="5988"/>
    <cellStyle name="Total 2 2" xfId="1476"/>
    <cellStyle name="Total 2 2 2" xfId="5946"/>
    <cellStyle name="Total 2 2 3" xfId="5945"/>
    <cellStyle name="Total 2 2 4" xfId="5987"/>
    <cellStyle name="Total 2 3" xfId="5947"/>
    <cellStyle name="Total 2 4" xfId="5948"/>
    <cellStyle name="Total 2 5" xfId="5949"/>
    <cellStyle name="Total 2 6" xfId="5950"/>
    <cellStyle name="Total 2 7" xfId="5951"/>
    <cellStyle name="Total 2 8" xfId="5952"/>
    <cellStyle name="Total 2 9" xfId="5953"/>
    <cellStyle name="Total 3" xfId="1477"/>
    <cellStyle name="Total 3 2" xfId="5954"/>
    <cellStyle name="Total 4" xfId="1478"/>
    <cellStyle name="Total 5" xfId="1479"/>
    <cellStyle name="Total 6" xfId="1480"/>
    <cellStyle name="Total 7" xfId="1481"/>
    <cellStyle name="Total 8" xfId="1482"/>
    <cellStyle name="Total 9" xfId="1483"/>
    <cellStyle name="Total Bold" xfId="5955"/>
    <cellStyle name="Totals" xfId="5956"/>
    <cellStyle name="Underline_Single" xfId="5957"/>
    <cellStyle name="UnProtectedCalc" xfId="5958"/>
    <cellStyle name="Valuta (0)_Sheet1" xfId="5959"/>
    <cellStyle name="Valuta_piv_polio" xfId="5960"/>
    <cellStyle name="Währung [0]_A17 - 31.03.1998" xfId="5961"/>
    <cellStyle name="Währung_A17 - 31.03.1998" xfId="5962"/>
    <cellStyle name="Warburg" xfId="5963"/>
    <cellStyle name="Warning Text 10" xfId="1484"/>
    <cellStyle name="Warning Text 11" xfId="1485"/>
    <cellStyle name="Warning Text 12" xfId="1486"/>
    <cellStyle name="Warning Text 13" xfId="1487"/>
    <cellStyle name="Warning Text 14" xfId="1488"/>
    <cellStyle name="Warning Text 15" xfId="1489"/>
    <cellStyle name="Warning Text 16" xfId="1490"/>
    <cellStyle name="Warning Text 2" xfId="1491"/>
    <cellStyle name="Warning Text 2 10" xfId="5964"/>
    <cellStyle name="Warning Text 2 2" xfId="1492"/>
    <cellStyle name="Warning Text 2 2 2" xfId="5965"/>
    <cellStyle name="Warning Text 2 3" xfId="5966"/>
    <cellStyle name="Warning Text 2 4" xfId="5967"/>
    <cellStyle name="Warning Text 2 5" xfId="5968"/>
    <cellStyle name="Warning Text 2 6" xfId="5969"/>
    <cellStyle name="Warning Text 2 7" xfId="5970"/>
    <cellStyle name="Warning Text 2 8" xfId="5971"/>
    <cellStyle name="Warning Text 2 9" xfId="5972"/>
    <cellStyle name="Warning Text 3" xfId="1493"/>
    <cellStyle name="Warning Text 4" xfId="1494"/>
    <cellStyle name="Warning Text 5" xfId="1495"/>
    <cellStyle name="Warning Text 6" xfId="1496"/>
    <cellStyle name="Warning Text 7" xfId="1497"/>
    <cellStyle name="Warning Text 8" xfId="1498"/>
    <cellStyle name="Warning Text 9" xfId="1499"/>
    <cellStyle name="wild guess" xfId="5973"/>
    <cellStyle name="Wildguess" xfId="5974"/>
    <cellStyle name="Year" xfId="5975"/>
    <cellStyle name="Year Estimate" xfId="5976"/>
    <cellStyle name="Year, Actual" xfId="5977"/>
    <cellStyle name="YearE_ Pies " xfId="5978"/>
    <cellStyle name="YearFormat" xfId="5979"/>
    <cellStyle name="Yen" xfId="5980"/>
    <cellStyle name="YesNo" xfId="5981"/>
    <cellStyle name="쬞\?1@" xfId="5982"/>
    <cellStyle name="常规 2" xfId="5983"/>
    <cellStyle name="標準_car_JP" xfId="5984"/>
  </cellStyles>
  <dxfs count="0"/>
  <tableStyles count="0" defaultTableStyle="TableStyleMedium2" defaultPivotStyle="PivotStyleLight16"/>
  <colors>
    <mruColors>
      <color rgb="FFCCFFCC"/>
      <color rgb="FF97F640"/>
      <color rgb="FF4BEB3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Monthly Actual and Predicted kWh Purchased</a:t>
            </a:r>
          </a:p>
        </c:rich>
      </c:tx>
      <c:overlay val="0"/>
    </c:title>
    <c:autoTitleDeleted val="0"/>
    <c:plotArea>
      <c:layout>
        <c:manualLayout>
          <c:layoutTarget val="inner"/>
          <c:xMode val="edge"/>
          <c:yMode val="edge"/>
          <c:x val="0.11816225180067355"/>
          <c:y val="0.1687808174556755"/>
          <c:w val="0.60552440175134525"/>
          <c:h val="0.69338878115451885"/>
        </c:manualLayout>
      </c:layout>
      <c:lineChart>
        <c:grouping val="standard"/>
        <c:varyColors val="0"/>
        <c:ser>
          <c:idx val="0"/>
          <c:order val="0"/>
          <c:tx>
            <c:strRef>
              <c:f>'Purchased Power Model'!$H$5</c:f>
              <c:strCache>
                <c:ptCount val="1"/>
                <c:pt idx="0">
                  <c:v>Revised Purchases kWh</c:v>
                </c:pt>
              </c:strCache>
            </c:strRef>
          </c:tx>
          <c:marker>
            <c:symbol val="none"/>
          </c:marker>
          <c:cat>
            <c:numRef>
              <c:f>'Purchased Power Model'!$B$18:$B$137</c:f>
              <c:numCache>
                <c:formatCode>mmm\-yy</c:formatCode>
                <c:ptCount val="120"/>
                <c:pt idx="0">
                  <c:v>38748</c:v>
                </c:pt>
                <c:pt idx="1">
                  <c:v>38776</c:v>
                </c:pt>
                <c:pt idx="2">
                  <c:v>38807</c:v>
                </c:pt>
                <c:pt idx="3">
                  <c:v>38837</c:v>
                </c:pt>
                <c:pt idx="4">
                  <c:v>38868</c:v>
                </c:pt>
                <c:pt idx="5">
                  <c:v>38898</c:v>
                </c:pt>
                <c:pt idx="6">
                  <c:v>38929</c:v>
                </c:pt>
                <c:pt idx="7">
                  <c:v>38960</c:v>
                </c:pt>
                <c:pt idx="8">
                  <c:v>38990</c:v>
                </c:pt>
                <c:pt idx="9">
                  <c:v>39021</c:v>
                </c:pt>
                <c:pt idx="10">
                  <c:v>39051</c:v>
                </c:pt>
                <c:pt idx="11">
                  <c:v>39082</c:v>
                </c:pt>
                <c:pt idx="12">
                  <c:v>39113</c:v>
                </c:pt>
                <c:pt idx="13">
                  <c:v>39141</c:v>
                </c:pt>
                <c:pt idx="14">
                  <c:v>39172</c:v>
                </c:pt>
                <c:pt idx="15">
                  <c:v>39202</c:v>
                </c:pt>
                <c:pt idx="16">
                  <c:v>39233</c:v>
                </c:pt>
                <c:pt idx="17">
                  <c:v>39263</c:v>
                </c:pt>
                <c:pt idx="18">
                  <c:v>39294</c:v>
                </c:pt>
                <c:pt idx="19">
                  <c:v>39325</c:v>
                </c:pt>
                <c:pt idx="20">
                  <c:v>39355</c:v>
                </c:pt>
                <c:pt idx="21">
                  <c:v>39386</c:v>
                </c:pt>
                <c:pt idx="22">
                  <c:v>39416</c:v>
                </c:pt>
                <c:pt idx="23">
                  <c:v>39447</c:v>
                </c:pt>
                <c:pt idx="24">
                  <c:v>39478</c:v>
                </c:pt>
                <c:pt idx="25">
                  <c:v>39507</c:v>
                </c:pt>
                <c:pt idx="26">
                  <c:v>39538</c:v>
                </c:pt>
                <c:pt idx="27">
                  <c:v>39568</c:v>
                </c:pt>
                <c:pt idx="28">
                  <c:v>39599</c:v>
                </c:pt>
                <c:pt idx="29">
                  <c:v>39629</c:v>
                </c:pt>
                <c:pt idx="30">
                  <c:v>39660</c:v>
                </c:pt>
                <c:pt idx="31">
                  <c:v>39691</c:v>
                </c:pt>
                <c:pt idx="32">
                  <c:v>39721</c:v>
                </c:pt>
                <c:pt idx="33">
                  <c:v>39752</c:v>
                </c:pt>
                <c:pt idx="34">
                  <c:v>39782</c:v>
                </c:pt>
                <c:pt idx="35">
                  <c:v>39813</c:v>
                </c:pt>
                <c:pt idx="36">
                  <c:v>39844</c:v>
                </c:pt>
                <c:pt idx="37">
                  <c:v>39872</c:v>
                </c:pt>
                <c:pt idx="38">
                  <c:v>39903</c:v>
                </c:pt>
                <c:pt idx="39">
                  <c:v>39933</c:v>
                </c:pt>
                <c:pt idx="40">
                  <c:v>39964</c:v>
                </c:pt>
                <c:pt idx="41">
                  <c:v>39994</c:v>
                </c:pt>
                <c:pt idx="42">
                  <c:v>40025</c:v>
                </c:pt>
                <c:pt idx="43">
                  <c:v>40056</c:v>
                </c:pt>
                <c:pt idx="44">
                  <c:v>40086</c:v>
                </c:pt>
                <c:pt idx="45">
                  <c:v>40117</c:v>
                </c:pt>
                <c:pt idx="46">
                  <c:v>40147</c:v>
                </c:pt>
                <c:pt idx="47">
                  <c:v>40178</c:v>
                </c:pt>
                <c:pt idx="48">
                  <c:v>40209</c:v>
                </c:pt>
                <c:pt idx="49">
                  <c:v>40237</c:v>
                </c:pt>
                <c:pt idx="50">
                  <c:v>40268</c:v>
                </c:pt>
                <c:pt idx="51">
                  <c:v>40298</c:v>
                </c:pt>
                <c:pt idx="52">
                  <c:v>40329</c:v>
                </c:pt>
                <c:pt idx="53">
                  <c:v>40359</c:v>
                </c:pt>
                <c:pt idx="54">
                  <c:v>40390</c:v>
                </c:pt>
                <c:pt idx="55">
                  <c:v>40421</c:v>
                </c:pt>
                <c:pt idx="56">
                  <c:v>40451</c:v>
                </c:pt>
                <c:pt idx="57">
                  <c:v>40482</c:v>
                </c:pt>
                <c:pt idx="58">
                  <c:v>40512</c:v>
                </c:pt>
                <c:pt idx="59">
                  <c:v>40543</c:v>
                </c:pt>
                <c:pt idx="60">
                  <c:v>40574</c:v>
                </c:pt>
                <c:pt idx="61">
                  <c:v>40602</c:v>
                </c:pt>
                <c:pt idx="62">
                  <c:v>40633</c:v>
                </c:pt>
                <c:pt idx="63">
                  <c:v>40663</c:v>
                </c:pt>
                <c:pt idx="64">
                  <c:v>40694</c:v>
                </c:pt>
                <c:pt idx="65">
                  <c:v>40724</c:v>
                </c:pt>
                <c:pt idx="66">
                  <c:v>40755</c:v>
                </c:pt>
                <c:pt idx="67">
                  <c:v>40786</c:v>
                </c:pt>
                <c:pt idx="68">
                  <c:v>40816</c:v>
                </c:pt>
                <c:pt idx="69">
                  <c:v>40847</c:v>
                </c:pt>
                <c:pt idx="70">
                  <c:v>40877</c:v>
                </c:pt>
                <c:pt idx="71">
                  <c:v>40908</c:v>
                </c:pt>
                <c:pt idx="72">
                  <c:v>40939</c:v>
                </c:pt>
                <c:pt idx="73">
                  <c:v>40968</c:v>
                </c:pt>
                <c:pt idx="74">
                  <c:v>40999</c:v>
                </c:pt>
                <c:pt idx="75">
                  <c:v>41029</c:v>
                </c:pt>
                <c:pt idx="76">
                  <c:v>41060</c:v>
                </c:pt>
                <c:pt idx="77">
                  <c:v>41090</c:v>
                </c:pt>
                <c:pt idx="78">
                  <c:v>41121</c:v>
                </c:pt>
                <c:pt idx="79">
                  <c:v>41152</c:v>
                </c:pt>
                <c:pt idx="80">
                  <c:v>41182</c:v>
                </c:pt>
                <c:pt idx="81">
                  <c:v>41213</c:v>
                </c:pt>
                <c:pt idx="82">
                  <c:v>41243</c:v>
                </c:pt>
                <c:pt idx="83">
                  <c:v>41274</c:v>
                </c:pt>
                <c:pt idx="84">
                  <c:v>41305</c:v>
                </c:pt>
                <c:pt idx="85">
                  <c:v>41333</c:v>
                </c:pt>
                <c:pt idx="86">
                  <c:v>41364</c:v>
                </c:pt>
                <c:pt idx="87">
                  <c:v>41394</c:v>
                </c:pt>
                <c:pt idx="88">
                  <c:v>41425</c:v>
                </c:pt>
                <c:pt idx="89">
                  <c:v>41455</c:v>
                </c:pt>
                <c:pt idx="90">
                  <c:v>41486</c:v>
                </c:pt>
                <c:pt idx="91">
                  <c:v>41517</c:v>
                </c:pt>
                <c:pt idx="92">
                  <c:v>41547</c:v>
                </c:pt>
                <c:pt idx="93">
                  <c:v>41578</c:v>
                </c:pt>
                <c:pt idx="94">
                  <c:v>41608</c:v>
                </c:pt>
                <c:pt idx="95">
                  <c:v>41639</c:v>
                </c:pt>
                <c:pt idx="96">
                  <c:v>41670</c:v>
                </c:pt>
                <c:pt idx="97">
                  <c:v>41698</c:v>
                </c:pt>
                <c:pt idx="98">
                  <c:v>41729</c:v>
                </c:pt>
                <c:pt idx="99">
                  <c:v>41759</c:v>
                </c:pt>
                <c:pt idx="100">
                  <c:v>41790</c:v>
                </c:pt>
                <c:pt idx="101">
                  <c:v>41820</c:v>
                </c:pt>
                <c:pt idx="102">
                  <c:v>41851</c:v>
                </c:pt>
                <c:pt idx="103">
                  <c:v>41882</c:v>
                </c:pt>
                <c:pt idx="104">
                  <c:v>41912</c:v>
                </c:pt>
                <c:pt idx="105">
                  <c:v>41943</c:v>
                </c:pt>
                <c:pt idx="106">
                  <c:v>41973</c:v>
                </c:pt>
                <c:pt idx="107">
                  <c:v>42004</c:v>
                </c:pt>
                <c:pt idx="108">
                  <c:v>42035</c:v>
                </c:pt>
                <c:pt idx="109">
                  <c:v>42063</c:v>
                </c:pt>
                <c:pt idx="110">
                  <c:v>42094</c:v>
                </c:pt>
                <c:pt idx="111">
                  <c:v>42124</c:v>
                </c:pt>
                <c:pt idx="112">
                  <c:v>42155</c:v>
                </c:pt>
                <c:pt idx="113">
                  <c:v>42185</c:v>
                </c:pt>
                <c:pt idx="114">
                  <c:v>42216</c:v>
                </c:pt>
                <c:pt idx="115">
                  <c:v>42247</c:v>
                </c:pt>
                <c:pt idx="116">
                  <c:v>42277</c:v>
                </c:pt>
                <c:pt idx="117">
                  <c:v>42308</c:v>
                </c:pt>
                <c:pt idx="118">
                  <c:v>42338</c:v>
                </c:pt>
                <c:pt idx="119">
                  <c:v>42369</c:v>
                </c:pt>
              </c:numCache>
              <c:extLst>
                <c:ext xmlns:c15="http://schemas.microsoft.com/office/drawing/2012/chart" uri="{02D57815-91ED-43cb-92C2-25804820EDAC}">
                  <c15:fullRef>
                    <c15:sqref>'Purchased Power Model'!$B$6:$B$137</c15:sqref>
                  </c15:fullRef>
                </c:ext>
              </c:extLst>
            </c:numRef>
          </c:cat>
          <c:val>
            <c:numRef>
              <c:f>'Purchased Power Model'!$H$18:$H$137</c:f>
              <c:numCache>
                <c:formatCode>_-* #,##0_-;\-* #,##0_-;_-* "-"??_-;_-@_-</c:formatCode>
                <c:ptCount val="120"/>
                <c:pt idx="0">
                  <c:v>12508470</c:v>
                </c:pt>
                <c:pt idx="1">
                  <c:v>11727560</c:v>
                </c:pt>
                <c:pt idx="2">
                  <c:v>11784150</c:v>
                </c:pt>
                <c:pt idx="3">
                  <c:v>9406440</c:v>
                </c:pt>
                <c:pt idx="4">
                  <c:v>9293920</c:v>
                </c:pt>
                <c:pt idx="5">
                  <c:v>9564320</c:v>
                </c:pt>
                <c:pt idx="6">
                  <c:v>10639870</c:v>
                </c:pt>
                <c:pt idx="7">
                  <c:v>10096480</c:v>
                </c:pt>
                <c:pt idx="8">
                  <c:v>8938560</c:v>
                </c:pt>
                <c:pt idx="9">
                  <c:v>9952100</c:v>
                </c:pt>
                <c:pt idx="10">
                  <c:v>10436420</c:v>
                </c:pt>
                <c:pt idx="11">
                  <c:v>11345280</c:v>
                </c:pt>
                <c:pt idx="12">
                  <c:v>12568180</c:v>
                </c:pt>
                <c:pt idx="13">
                  <c:v>12210720</c:v>
                </c:pt>
                <c:pt idx="14">
                  <c:v>11873120</c:v>
                </c:pt>
                <c:pt idx="15">
                  <c:v>9854780</c:v>
                </c:pt>
                <c:pt idx="16">
                  <c:v>9000430</c:v>
                </c:pt>
                <c:pt idx="17">
                  <c:v>9265780</c:v>
                </c:pt>
                <c:pt idx="18">
                  <c:v>9662330</c:v>
                </c:pt>
                <c:pt idx="19">
                  <c:v>9982760</c:v>
                </c:pt>
                <c:pt idx="20">
                  <c:v>9063690</c:v>
                </c:pt>
                <c:pt idx="21">
                  <c:v>9402850</c:v>
                </c:pt>
                <c:pt idx="22">
                  <c:v>10423660</c:v>
                </c:pt>
                <c:pt idx="23">
                  <c:v>12253260</c:v>
                </c:pt>
                <c:pt idx="24">
                  <c:v>12288190</c:v>
                </c:pt>
                <c:pt idx="25">
                  <c:v>11701800</c:v>
                </c:pt>
                <c:pt idx="26">
                  <c:v>11663590</c:v>
                </c:pt>
                <c:pt idx="27">
                  <c:v>9464610</c:v>
                </c:pt>
                <c:pt idx="28">
                  <c:v>8709540</c:v>
                </c:pt>
                <c:pt idx="29">
                  <c:v>9032720</c:v>
                </c:pt>
                <c:pt idx="30">
                  <c:v>9681910</c:v>
                </c:pt>
                <c:pt idx="31">
                  <c:v>9241240</c:v>
                </c:pt>
                <c:pt idx="32">
                  <c:v>8800520</c:v>
                </c:pt>
                <c:pt idx="33">
                  <c:v>8997790</c:v>
                </c:pt>
                <c:pt idx="34">
                  <c:v>9775270</c:v>
                </c:pt>
                <c:pt idx="35">
                  <c:v>11977460</c:v>
                </c:pt>
                <c:pt idx="36">
                  <c:v>12715660</c:v>
                </c:pt>
                <c:pt idx="37">
                  <c:v>10806911</c:v>
                </c:pt>
                <c:pt idx="38">
                  <c:v>10822297</c:v>
                </c:pt>
                <c:pt idx="39">
                  <c:v>9188119</c:v>
                </c:pt>
                <c:pt idx="40">
                  <c:v>8646669</c:v>
                </c:pt>
                <c:pt idx="41">
                  <c:v>8694745</c:v>
                </c:pt>
                <c:pt idx="42">
                  <c:v>8965453</c:v>
                </c:pt>
                <c:pt idx="43">
                  <c:v>9534995</c:v>
                </c:pt>
                <c:pt idx="44">
                  <c:v>8543544</c:v>
                </c:pt>
                <c:pt idx="45">
                  <c:v>9341679</c:v>
                </c:pt>
                <c:pt idx="46">
                  <c:v>9542500</c:v>
                </c:pt>
                <c:pt idx="47">
                  <c:v>11612258</c:v>
                </c:pt>
                <c:pt idx="48">
                  <c:v>12078338</c:v>
                </c:pt>
                <c:pt idx="49">
                  <c:v>10494800</c:v>
                </c:pt>
                <c:pt idx="50">
                  <c:v>10154062</c:v>
                </c:pt>
                <c:pt idx="51">
                  <c:v>8300785</c:v>
                </c:pt>
                <c:pt idx="52">
                  <c:v>8510046</c:v>
                </c:pt>
                <c:pt idx="53">
                  <c:v>8680146</c:v>
                </c:pt>
                <c:pt idx="54">
                  <c:v>9983854</c:v>
                </c:pt>
                <c:pt idx="55">
                  <c:v>9543754</c:v>
                </c:pt>
                <c:pt idx="56">
                  <c:v>8579877</c:v>
                </c:pt>
                <c:pt idx="57">
                  <c:v>8994685</c:v>
                </c:pt>
                <c:pt idx="58">
                  <c:v>9833800</c:v>
                </c:pt>
                <c:pt idx="59">
                  <c:v>11438554</c:v>
                </c:pt>
                <c:pt idx="60">
                  <c:v>12132585</c:v>
                </c:pt>
                <c:pt idx="61">
                  <c:v>10868253</c:v>
                </c:pt>
                <c:pt idx="62">
                  <c:v>11068641</c:v>
                </c:pt>
                <c:pt idx="63">
                  <c:v>9074817</c:v>
                </c:pt>
                <c:pt idx="64">
                  <c:v>8658879</c:v>
                </c:pt>
                <c:pt idx="65">
                  <c:v>8778920</c:v>
                </c:pt>
                <c:pt idx="66">
                  <c:v>10001581</c:v>
                </c:pt>
                <c:pt idx="67">
                  <c:v>9454436</c:v>
                </c:pt>
                <c:pt idx="68">
                  <c:v>8634961</c:v>
                </c:pt>
                <c:pt idx="69">
                  <c:v>8927131</c:v>
                </c:pt>
                <c:pt idx="70">
                  <c:v>9482575</c:v>
                </c:pt>
                <c:pt idx="71">
                  <c:v>10919663</c:v>
                </c:pt>
                <c:pt idx="72">
                  <c:v>11700330</c:v>
                </c:pt>
                <c:pt idx="73">
                  <c:v>10395841</c:v>
                </c:pt>
                <c:pt idx="74">
                  <c:v>9872024</c:v>
                </c:pt>
                <c:pt idx="75">
                  <c:v>8707449</c:v>
                </c:pt>
                <c:pt idx="76">
                  <c:v>8480484</c:v>
                </c:pt>
                <c:pt idx="77">
                  <c:v>9037032</c:v>
                </c:pt>
                <c:pt idx="78">
                  <c:v>9784872</c:v>
                </c:pt>
                <c:pt idx="79">
                  <c:v>9438341</c:v>
                </c:pt>
                <c:pt idx="80">
                  <c:v>8463793</c:v>
                </c:pt>
                <c:pt idx="81">
                  <c:v>8669407</c:v>
                </c:pt>
                <c:pt idx="82">
                  <c:v>9769730</c:v>
                </c:pt>
                <c:pt idx="83">
                  <c:v>10961744</c:v>
                </c:pt>
                <c:pt idx="84">
                  <c:v>12001052</c:v>
                </c:pt>
                <c:pt idx="85">
                  <c:v>10703797</c:v>
                </c:pt>
                <c:pt idx="86">
                  <c:v>10577021</c:v>
                </c:pt>
                <c:pt idx="87">
                  <c:v>9121662</c:v>
                </c:pt>
                <c:pt idx="88">
                  <c:v>8211243</c:v>
                </c:pt>
                <c:pt idx="89">
                  <c:v>8287581</c:v>
                </c:pt>
                <c:pt idx="90">
                  <c:v>9598701</c:v>
                </c:pt>
                <c:pt idx="91">
                  <c:v>9619248</c:v>
                </c:pt>
                <c:pt idx="92">
                  <c:v>8194773</c:v>
                </c:pt>
                <c:pt idx="93">
                  <c:v>8732069</c:v>
                </c:pt>
                <c:pt idx="94">
                  <c:v>9931378</c:v>
                </c:pt>
                <c:pt idx="95">
                  <c:v>11616941</c:v>
                </c:pt>
                <c:pt idx="96">
                  <c:v>12522131</c:v>
                </c:pt>
                <c:pt idx="97">
                  <c:v>10695468</c:v>
                </c:pt>
                <c:pt idx="98">
                  <c:v>11273530</c:v>
                </c:pt>
                <c:pt idx="99">
                  <c:v>9031993</c:v>
                </c:pt>
                <c:pt idx="100">
                  <c:v>8286920</c:v>
                </c:pt>
                <c:pt idx="101">
                  <c:v>8579731</c:v>
                </c:pt>
                <c:pt idx="102">
                  <c:v>9080121</c:v>
                </c:pt>
                <c:pt idx="103">
                  <c:v>8989250</c:v>
                </c:pt>
                <c:pt idx="104">
                  <c:v>8464550</c:v>
                </c:pt>
                <c:pt idx="105">
                  <c:v>8670762</c:v>
                </c:pt>
                <c:pt idx="106">
                  <c:v>9598673</c:v>
                </c:pt>
                <c:pt idx="107">
                  <c:v>10755419</c:v>
                </c:pt>
                <c:pt idx="108">
                  <c:v>12180927.15</c:v>
                </c:pt>
                <c:pt idx="109">
                  <c:v>11448305.18</c:v>
                </c:pt>
                <c:pt idx="110">
                  <c:v>10924977.359999999</c:v>
                </c:pt>
                <c:pt idx="111">
                  <c:v>8731936</c:v>
                </c:pt>
                <c:pt idx="112">
                  <c:v>8223122.5700000003</c:v>
                </c:pt>
                <c:pt idx="113">
                  <c:v>8092658.46</c:v>
                </c:pt>
                <c:pt idx="114">
                  <c:v>8978804.4600000009</c:v>
                </c:pt>
                <c:pt idx="115">
                  <c:v>8939421.9100000001</c:v>
                </c:pt>
                <c:pt idx="116">
                  <c:v>8496700.6799999997</c:v>
                </c:pt>
                <c:pt idx="117">
                  <c:v>8450501.8100000005</c:v>
                </c:pt>
                <c:pt idx="118">
                  <c:v>8794018.0199999996</c:v>
                </c:pt>
                <c:pt idx="119">
                  <c:v>9423404.3499999996</c:v>
                </c:pt>
              </c:numCache>
              <c:extLst>
                <c:ext xmlns:c15="http://schemas.microsoft.com/office/drawing/2012/chart" uri="{02D57815-91ED-43cb-92C2-25804820EDAC}">
                  <c15:fullRef>
                    <c15:sqref>'Purchased Power Model'!$H$6:$H$137</c15:sqref>
                  </c15:fullRef>
                </c:ext>
              </c:extLst>
            </c:numRef>
          </c:val>
          <c:smooth val="0"/>
        </c:ser>
        <c:ser>
          <c:idx val="1"/>
          <c:order val="1"/>
          <c:tx>
            <c:strRef>
              <c:f>'Purchased Power Model'!$U$5</c:f>
              <c:strCache>
                <c:ptCount val="1"/>
                <c:pt idx="0">
                  <c:v>Predicted Purchases(kWh)</c:v>
                </c:pt>
              </c:strCache>
            </c:strRef>
          </c:tx>
          <c:marker>
            <c:symbol val="none"/>
          </c:marker>
          <c:cat>
            <c:numRef>
              <c:f>'Purchased Power Model'!$B$18:$B$137</c:f>
              <c:numCache>
                <c:formatCode>mmm\-yy</c:formatCode>
                <c:ptCount val="120"/>
                <c:pt idx="0">
                  <c:v>38748</c:v>
                </c:pt>
                <c:pt idx="1">
                  <c:v>38776</c:v>
                </c:pt>
                <c:pt idx="2">
                  <c:v>38807</c:v>
                </c:pt>
                <c:pt idx="3">
                  <c:v>38837</c:v>
                </c:pt>
                <c:pt idx="4">
                  <c:v>38868</c:v>
                </c:pt>
                <c:pt idx="5">
                  <c:v>38898</c:v>
                </c:pt>
                <c:pt idx="6">
                  <c:v>38929</c:v>
                </c:pt>
                <c:pt idx="7">
                  <c:v>38960</c:v>
                </c:pt>
                <c:pt idx="8">
                  <c:v>38990</c:v>
                </c:pt>
                <c:pt idx="9">
                  <c:v>39021</c:v>
                </c:pt>
                <c:pt idx="10">
                  <c:v>39051</c:v>
                </c:pt>
                <c:pt idx="11">
                  <c:v>39082</c:v>
                </c:pt>
                <c:pt idx="12">
                  <c:v>39113</c:v>
                </c:pt>
                <c:pt idx="13">
                  <c:v>39141</c:v>
                </c:pt>
                <c:pt idx="14">
                  <c:v>39172</c:v>
                </c:pt>
                <c:pt idx="15">
                  <c:v>39202</c:v>
                </c:pt>
                <c:pt idx="16">
                  <c:v>39233</c:v>
                </c:pt>
                <c:pt idx="17">
                  <c:v>39263</c:v>
                </c:pt>
                <c:pt idx="18">
                  <c:v>39294</c:v>
                </c:pt>
                <c:pt idx="19">
                  <c:v>39325</c:v>
                </c:pt>
                <c:pt idx="20">
                  <c:v>39355</c:v>
                </c:pt>
                <c:pt idx="21">
                  <c:v>39386</c:v>
                </c:pt>
                <c:pt idx="22">
                  <c:v>39416</c:v>
                </c:pt>
                <c:pt idx="23">
                  <c:v>39447</c:v>
                </c:pt>
                <c:pt idx="24">
                  <c:v>39478</c:v>
                </c:pt>
                <c:pt idx="25">
                  <c:v>39507</c:v>
                </c:pt>
                <c:pt idx="26">
                  <c:v>39538</c:v>
                </c:pt>
                <c:pt idx="27">
                  <c:v>39568</c:v>
                </c:pt>
                <c:pt idx="28">
                  <c:v>39599</c:v>
                </c:pt>
                <c:pt idx="29">
                  <c:v>39629</c:v>
                </c:pt>
                <c:pt idx="30">
                  <c:v>39660</c:v>
                </c:pt>
                <c:pt idx="31">
                  <c:v>39691</c:v>
                </c:pt>
                <c:pt idx="32">
                  <c:v>39721</c:v>
                </c:pt>
                <c:pt idx="33">
                  <c:v>39752</c:v>
                </c:pt>
                <c:pt idx="34">
                  <c:v>39782</c:v>
                </c:pt>
                <c:pt idx="35">
                  <c:v>39813</c:v>
                </c:pt>
                <c:pt idx="36">
                  <c:v>39844</c:v>
                </c:pt>
                <c:pt idx="37">
                  <c:v>39872</c:v>
                </c:pt>
                <c:pt idx="38">
                  <c:v>39903</c:v>
                </c:pt>
                <c:pt idx="39">
                  <c:v>39933</c:v>
                </c:pt>
                <c:pt idx="40">
                  <c:v>39964</c:v>
                </c:pt>
                <c:pt idx="41">
                  <c:v>39994</c:v>
                </c:pt>
                <c:pt idx="42">
                  <c:v>40025</c:v>
                </c:pt>
                <c:pt idx="43">
                  <c:v>40056</c:v>
                </c:pt>
                <c:pt idx="44">
                  <c:v>40086</c:v>
                </c:pt>
                <c:pt idx="45">
                  <c:v>40117</c:v>
                </c:pt>
                <c:pt idx="46">
                  <c:v>40147</c:v>
                </c:pt>
                <c:pt idx="47">
                  <c:v>40178</c:v>
                </c:pt>
                <c:pt idx="48">
                  <c:v>40209</c:v>
                </c:pt>
                <c:pt idx="49">
                  <c:v>40237</c:v>
                </c:pt>
                <c:pt idx="50">
                  <c:v>40268</c:v>
                </c:pt>
                <c:pt idx="51">
                  <c:v>40298</c:v>
                </c:pt>
                <c:pt idx="52">
                  <c:v>40329</c:v>
                </c:pt>
                <c:pt idx="53">
                  <c:v>40359</c:v>
                </c:pt>
                <c:pt idx="54">
                  <c:v>40390</c:v>
                </c:pt>
                <c:pt idx="55">
                  <c:v>40421</c:v>
                </c:pt>
                <c:pt idx="56">
                  <c:v>40451</c:v>
                </c:pt>
                <c:pt idx="57">
                  <c:v>40482</c:v>
                </c:pt>
                <c:pt idx="58">
                  <c:v>40512</c:v>
                </c:pt>
                <c:pt idx="59">
                  <c:v>40543</c:v>
                </c:pt>
                <c:pt idx="60">
                  <c:v>40574</c:v>
                </c:pt>
                <c:pt idx="61">
                  <c:v>40602</c:v>
                </c:pt>
                <c:pt idx="62">
                  <c:v>40633</c:v>
                </c:pt>
                <c:pt idx="63">
                  <c:v>40663</c:v>
                </c:pt>
                <c:pt idx="64">
                  <c:v>40694</c:v>
                </c:pt>
                <c:pt idx="65">
                  <c:v>40724</c:v>
                </c:pt>
                <c:pt idx="66">
                  <c:v>40755</c:v>
                </c:pt>
                <c:pt idx="67">
                  <c:v>40786</c:v>
                </c:pt>
                <c:pt idx="68">
                  <c:v>40816</c:v>
                </c:pt>
                <c:pt idx="69">
                  <c:v>40847</c:v>
                </c:pt>
                <c:pt idx="70">
                  <c:v>40877</c:v>
                </c:pt>
                <c:pt idx="71">
                  <c:v>40908</c:v>
                </c:pt>
                <c:pt idx="72">
                  <c:v>40939</c:v>
                </c:pt>
                <c:pt idx="73">
                  <c:v>40968</c:v>
                </c:pt>
                <c:pt idx="74">
                  <c:v>40999</c:v>
                </c:pt>
                <c:pt idx="75">
                  <c:v>41029</c:v>
                </c:pt>
                <c:pt idx="76">
                  <c:v>41060</c:v>
                </c:pt>
                <c:pt idx="77">
                  <c:v>41090</c:v>
                </c:pt>
                <c:pt idx="78">
                  <c:v>41121</c:v>
                </c:pt>
                <c:pt idx="79">
                  <c:v>41152</c:v>
                </c:pt>
                <c:pt idx="80">
                  <c:v>41182</c:v>
                </c:pt>
                <c:pt idx="81">
                  <c:v>41213</c:v>
                </c:pt>
                <c:pt idx="82">
                  <c:v>41243</c:v>
                </c:pt>
                <c:pt idx="83">
                  <c:v>41274</c:v>
                </c:pt>
                <c:pt idx="84">
                  <c:v>41305</c:v>
                </c:pt>
                <c:pt idx="85">
                  <c:v>41333</c:v>
                </c:pt>
                <c:pt idx="86">
                  <c:v>41364</c:v>
                </c:pt>
                <c:pt idx="87">
                  <c:v>41394</c:v>
                </c:pt>
                <c:pt idx="88">
                  <c:v>41425</c:v>
                </c:pt>
                <c:pt idx="89">
                  <c:v>41455</c:v>
                </c:pt>
                <c:pt idx="90">
                  <c:v>41486</c:v>
                </c:pt>
                <c:pt idx="91">
                  <c:v>41517</c:v>
                </c:pt>
                <c:pt idx="92">
                  <c:v>41547</c:v>
                </c:pt>
                <c:pt idx="93">
                  <c:v>41578</c:v>
                </c:pt>
                <c:pt idx="94">
                  <c:v>41608</c:v>
                </c:pt>
                <c:pt idx="95">
                  <c:v>41639</c:v>
                </c:pt>
                <c:pt idx="96">
                  <c:v>41670</c:v>
                </c:pt>
                <c:pt idx="97">
                  <c:v>41698</c:v>
                </c:pt>
                <c:pt idx="98">
                  <c:v>41729</c:v>
                </c:pt>
                <c:pt idx="99">
                  <c:v>41759</c:v>
                </c:pt>
                <c:pt idx="100">
                  <c:v>41790</c:v>
                </c:pt>
                <c:pt idx="101">
                  <c:v>41820</c:v>
                </c:pt>
                <c:pt idx="102">
                  <c:v>41851</c:v>
                </c:pt>
                <c:pt idx="103">
                  <c:v>41882</c:v>
                </c:pt>
                <c:pt idx="104">
                  <c:v>41912</c:v>
                </c:pt>
                <c:pt idx="105">
                  <c:v>41943</c:v>
                </c:pt>
                <c:pt idx="106">
                  <c:v>41973</c:v>
                </c:pt>
                <c:pt idx="107">
                  <c:v>42004</c:v>
                </c:pt>
                <c:pt idx="108">
                  <c:v>42035</c:v>
                </c:pt>
                <c:pt idx="109">
                  <c:v>42063</c:v>
                </c:pt>
                <c:pt idx="110">
                  <c:v>42094</c:v>
                </c:pt>
                <c:pt idx="111">
                  <c:v>42124</c:v>
                </c:pt>
                <c:pt idx="112">
                  <c:v>42155</c:v>
                </c:pt>
                <c:pt idx="113">
                  <c:v>42185</c:v>
                </c:pt>
                <c:pt idx="114">
                  <c:v>42216</c:v>
                </c:pt>
                <c:pt idx="115">
                  <c:v>42247</c:v>
                </c:pt>
                <c:pt idx="116">
                  <c:v>42277</c:v>
                </c:pt>
                <c:pt idx="117">
                  <c:v>42308</c:v>
                </c:pt>
                <c:pt idx="118">
                  <c:v>42338</c:v>
                </c:pt>
                <c:pt idx="119">
                  <c:v>42369</c:v>
                </c:pt>
              </c:numCache>
              <c:extLst>
                <c:ext xmlns:c15="http://schemas.microsoft.com/office/drawing/2012/chart" uri="{02D57815-91ED-43cb-92C2-25804820EDAC}">
                  <c15:fullRef>
                    <c15:sqref>'Purchased Power Model'!$B$6:$B$137</c15:sqref>
                  </c15:fullRef>
                </c:ext>
              </c:extLst>
            </c:numRef>
          </c:cat>
          <c:val>
            <c:numRef>
              <c:f>'Purchased Power Model'!$U$18:$U$137</c:f>
              <c:numCache>
                <c:formatCode>_-* #,##0_-;\-* #,##0_-;_-* "-"??_-;_-@_-</c:formatCode>
                <c:ptCount val="120"/>
                <c:pt idx="0">
                  <c:v>12205947.439700987</c:v>
                </c:pt>
                <c:pt idx="1">
                  <c:v>11503397.063659886</c:v>
                </c:pt>
                <c:pt idx="2">
                  <c:v>11311757.95327932</c:v>
                </c:pt>
                <c:pt idx="3">
                  <c:v>9524122.0045315363</c:v>
                </c:pt>
                <c:pt idx="4">
                  <c:v>9210610.4687370174</c:v>
                </c:pt>
                <c:pt idx="5">
                  <c:v>9400871.7061331999</c:v>
                </c:pt>
                <c:pt idx="6">
                  <c:v>10546677.773800151</c:v>
                </c:pt>
                <c:pt idx="7">
                  <c:v>9752983.4885658119</c:v>
                </c:pt>
                <c:pt idx="8">
                  <c:v>8732666.1139974743</c:v>
                </c:pt>
                <c:pt idx="9">
                  <c:v>9903229.1943269242</c:v>
                </c:pt>
                <c:pt idx="10">
                  <c:v>10140039.631016856</c:v>
                </c:pt>
                <c:pt idx="11">
                  <c:v>11423640.189164458</c:v>
                </c:pt>
                <c:pt idx="12">
                  <c:v>12403298.926413769</c:v>
                </c:pt>
                <c:pt idx="13">
                  <c:v>11866943.181279041</c:v>
                </c:pt>
                <c:pt idx="14">
                  <c:v>11411737.1200385</c:v>
                </c:pt>
                <c:pt idx="15">
                  <c:v>9609982.7907168586</c:v>
                </c:pt>
                <c:pt idx="16">
                  <c:v>9253813.6265717987</c:v>
                </c:pt>
                <c:pt idx="17">
                  <c:v>9593766.8713515215</c:v>
                </c:pt>
                <c:pt idx="18">
                  <c:v>9592150.5418811291</c:v>
                </c:pt>
                <c:pt idx="19">
                  <c:v>9820372.6348447111</c:v>
                </c:pt>
                <c:pt idx="20">
                  <c:v>8709245.184069233</c:v>
                </c:pt>
                <c:pt idx="21">
                  <c:v>9327728.7336267307</c:v>
                </c:pt>
                <c:pt idx="22">
                  <c:v>10509652.987388045</c:v>
                </c:pt>
                <c:pt idx="23">
                  <c:v>12157979.341931904</c:v>
                </c:pt>
                <c:pt idx="24">
                  <c:v>12109346.42334608</c:v>
                </c:pt>
                <c:pt idx="25">
                  <c:v>11698139.981752114</c:v>
                </c:pt>
                <c:pt idx="26">
                  <c:v>11460150.207560536</c:v>
                </c:pt>
                <c:pt idx="27">
                  <c:v>9463017.4033310674</c:v>
                </c:pt>
                <c:pt idx="28">
                  <c:v>9059801.9301231671</c:v>
                </c:pt>
                <c:pt idx="29">
                  <c:v>9367119.4571318775</c:v>
                </c:pt>
                <c:pt idx="30">
                  <c:v>9649957.0735640638</c:v>
                </c:pt>
                <c:pt idx="31">
                  <c:v>9301282.1650948711</c:v>
                </c:pt>
                <c:pt idx="32">
                  <c:v>8714198.5726929475</c:v>
                </c:pt>
                <c:pt idx="33">
                  <c:v>9668081.7833461463</c:v>
                </c:pt>
                <c:pt idx="34">
                  <c:v>10371786.173504325</c:v>
                </c:pt>
                <c:pt idx="35">
                  <c:v>12130689.063893862</c:v>
                </c:pt>
                <c:pt idx="36">
                  <c:v>13081989.096257327</c:v>
                </c:pt>
                <c:pt idx="37">
                  <c:v>11064839.858575944</c:v>
                </c:pt>
                <c:pt idx="38">
                  <c:v>11013026.123415295</c:v>
                </c:pt>
                <c:pt idx="39">
                  <c:v>9321375.1741176825</c:v>
                </c:pt>
                <c:pt idx="40">
                  <c:v>8964840.4403598718</c:v>
                </c:pt>
                <c:pt idx="41">
                  <c:v>9148846.3188228998</c:v>
                </c:pt>
                <c:pt idx="42">
                  <c:v>9066574.5763966292</c:v>
                </c:pt>
                <c:pt idx="43">
                  <c:v>9656067.3253532015</c:v>
                </c:pt>
                <c:pt idx="44">
                  <c:v>8324383.0110811386</c:v>
                </c:pt>
                <c:pt idx="45">
                  <c:v>9651434.1638121456</c:v>
                </c:pt>
                <c:pt idx="46">
                  <c:v>9788310.260088833</c:v>
                </c:pt>
                <c:pt idx="47">
                  <c:v>11761429.818241801</c:v>
                </c:pt>
                <c:pt idx="48">
                  <c:v>12011161.081308693</c:v>
                </c:pt>
                <c:pt idx="49">
                  <c:v>10635915.14950466</c:v>
                </c:pt>
                <c:pt idx="50">
                  <c:v>10214663.606608169</c:v>
                </c:pt>
                <c:pt idx="51">
                  <c:v>8810462.0775788315</c:v>
                </c:pt>
                <c:pt idx="52">
                  <c:v>8998438.491547443</c:v>
                </c:pt>
                <c:pt idx="53">
                  <c:v>8813004.7749011926</c:v>
                </c:pt>
                <c:pt idx="54">
                  <c:v>10423573.751855513</c:v>
                </c:pt>
                <c:pt idx="55">
                  <c:v>9664490.854964165</c:v>
                </c:pt>
                <c:pt idx="56">
                  <c:v>8568101.3376092706</c:v>
                </c:pt>
                <c:pt idx="57">
                  <c:v>9379975.6677355636</c:v>
                </c:pt>
                <c:pt idx="58">
                  <c:v>10084481.057388674</c:v>
                </c:pt>
                <c:pt idx="59">
                  <c:v>11593334.980524747</c:v>
                </c:pt>
                <c:pt idx="60">
                  <c:v>12427806.573942121</c:v>
                </c:pt>
                <c:pt idx="61">
                  <c:v>10930997.155498661</c:v>
                </c:pt>
                <c:pt idx="62">
                  <c:v>10957149.089649057</c:v>
                </c:pt>
                <c:pt idx="63">
                  <c:v>9124654.994248474</c:v>
                </c:pt>
                <c:pt idx="64">
                  <c:v>8750424.9117504414</c:v>
                </c:pt>
                <c:pt idx="65">
                  <c:v>8978685.6182700768</c:v>
                </c:pt>
                <c:pt idx="66">
                  <c:v>10104366.275066709</c:v>
                </c:pt>
                <c:pt idx="67">
                  <c:v>9333675.868451843</c:v>
                </c:pt>
                <c:pt idx="68">
                  <c:v>8261881.6499075135</c:v>
                </c:pt>
                <c:pt idx="69">
                  <c:v>9011169.4821508322</c:v>
                </c:pt>
                <c:pt idx="70">
                  <c:v>9466738.9594162554</c:v>
                </c:pt>
                <c:pt idx="71">
                  <c:v>11149256.917300219</c:v>
                </c:pt>
                <c:pt idx="72">
                  <c:v>11987533.040688785</c:v>
                </c:pt>
                <c:pt idx="73">
                  <c:v>10725504.027840072</c:v>
                </c:pt>
                <c:pt idx="74">
                  <c:v>9965794.560041856</c:v>
                </c:pt>
                <c:pt idx="75">
                  <c:v>9063074.5651648976</c:v>
                </c:pt>
                <c:pt idx="76">
                  <c:v>8437940.4761202671</c:v>
                </c:pt>
                <c:pt idx="77">
                  <c:v>9009304.6591946185</c:v>
                </c:pt>
                <c:pt idx="78">
                  <c:v>9979759.7244821861</c:v>
                </c:pt>
                <c:pt idx="79">
                  <c:v>9381739.0129392371</c:v>
                </c:pt>
                <c:pt idx="80">
                  <c:v>8230378.7358689746</c:v>
                </c:pt>
                <c:pt idx="81">
                  <c:v>8795692.4668686222</c:v>
                </c:pt>
                <c:pt idx="82">
                  <c:v>9959068.8009645734</c:v>
                </c:pt>
                <c:pt idx="83">
                  <c:v>11162376.641486682</c:v>
                </c:pt>
                <c:pt idx="84">
                  <c:v>11835445.848286847</c:v>
                </c:pt>
                <c:pt idx="85">
                  <c:v>10561216.673891328</c:v>
                </c:pt>
                <c:pt idx="86">
                  <c:v>10395948.842979494</c:v>
                </c:pt>
                <c:pt idx="87">
                  <c:v>9058614.8786295988</c:v>
                </c:pt>
                <c:pt idx="88">
                  <c:v>8302062.6323643103</c:v>
                </c:pt>
                <c:pt idx="89">
                  <c:v>8570875.0409648251</c:v>
                </c:pt>
                <c:pt idx="90">
                  <c:v>9516321.2440593597</c:v>
                </c:pt>
                <c:pt idx="91">
                  <c:v>8735855.4336096942</c:v>
                </c:pt>
                <c:pt idx="92">
                  <c:v>8016717.2584379716</c:v>
                </c:pt>
                <c:pt idx="93">
                  <c:v>8747439.5066602305</c:v>
                </c:pt>
                <c:pt idx="94">
                  <c:v>9977662.1079528499</c:v>
                </c:pt>
                <c:pt idx="95">
                  <c:v>11753831.835354848</c:v>
                </c:pt>
                <c:pt idx="96">
                  <c:v>12129174.165602989</c:v>
                </c:pt>
                <c:pt idx="97">
                  <c:v>10776770.227079557</c:v>
                </c:pt>
                <c:pt idx="98">
                  <c:v>11206118.854517972</c:v>
                </c:pt>
                <c:pt idx="99">
                  <c:v>8844425.6728340778</c:v>
                </c:pt>
                <c:pt idx="100">
                  <c:v>8110971.0247796709</c:v>
                </c:pt>
                <c:pt idx="101">
                  <c:v>8466411.7296850737</c:v>
                </c:pt>
                <c:pt idx="102">
                  <c:v>8639518.170908967</c:v>
                </c:pt>
                <c:pt idx="103">
                  <c:v>8582014.2031717952</c:v>
                </c:pt>
                <c:pt idx="104">
                  <c:v>7883709.6663453756</c:v>
                </c:pt>
                <c:pt idx="105">
                  <c:v>8546605.0335974395</c:v>
                </c:pt>
                <c:pt idx="106">
                  <c:v>9528881.8849337418</c:v>
                </c:pt>
                <c:pt idx="107">
                  <c:v>10769554.469349943</c:v>
                </c:pt>
                <c:pt idx="108">
                  <c:v>12158148.11580299</c:v>
                </c:pt>
                <c:pt idx="109">
                  <c:v>11365877.304013425</c:v>
                </c:pt>
                <c:pt idx="110">
                  <c:v>10747023.05164057</c:v>
                </c:pt>
                <c:pt idx="111">
                  <c:v>8565684.5554122403</c:v>
                </c:pt>
                <c:pt idx="112">
                  <c:v>8078963.1992615033</c:v>
                </c:pt>
                <c:pt idx="113">
                  <c:v>8019204.316960318</c:v>
                </c:pt>
                <c:pt idx="114">
                  <c:v>9100934.2638273686</c:v>
                </c:pt>
                <c:pt idx="115">
                  <c:v>8635690.7347424794</c:v>
                </c:pt>
                <c:pt idx="116">
                  <c:v>7931287.3533165371</c:v>
                </c:pt>
                <c:pt idx="117">
                  <c:v>8889275.0372397937</c:v>
                </c:pt>
                <c:pt idx="118">
                  <c:v>9186902.5123824999</c:v>
                </c:pt>
                <c:pt idx="119">
                  <c:v>10008599.228551852</c:v>
                </c:pt>
              </c:numCache>
              <c:extLst>
                <c:ext xmlns:c15="http://schemas.microsoft.com/office/drawing/2012/chart" uri="{02D57815-91ED-43cb-92C2-25804820EDAC}">
                  <c15:fullRef>
                    <c15:sqref>'Purchased Power Model'!$U$6:$U$137</c15:sqref>
                  </c15:fullRef>
                </c:ext>
              </c:extLst>
            </c:numRef>
          </c:val>
          <c:smooth val="0"/>
        </c:ser>
        <c:dLbls>
          <c:showLegendKey val="0"/>
          <c:showVal val="0"/>
          <c:showCatName val="0"/>
          <c:showSerName val="0"/>
          <c:showPercent val="0"/>
          <c:showBubbleSize val="0"/>
        </c:dLbls>
        <c:marker val="1"/>
        <c:smooth val="0"/>
        <c:axId val="169661440"/>
        <c:axId val="158985600"/>
      </c:lineChart>
      <c:dateAx>
        <c:axId val="169661440"/>
        <c:scaling>
          <c:orientation val="minMax"/>
        </c:scaling>
        <c:delete val="0"/>
        <c:axPos val="b"/>
        <c:numFmt formatCode="mmm\-yy" sourceLinked="1"/>
        <c:majorTickMark val="out"/>
        <c:minorTickMark val="none"/>
        <c:tickLblPos val="nextTo"/>
        <c:crossAx val="158985600"/>
        <c:crosses val="autoZero"/>
        <c:auto val="1"/>
        <c:lblOffset val="100"/>
        <c:baseTimeUnit val="months"/>
      </c:dateAx>
      <c:valAx>
        <c:axId val="158985600"/>
        <c:scaling>
          <c:orientation val="minMax"/>
          <c:max val="14000000"/>
          <c:min val="7000000"/>
        </c:scaling>
        <c:delete val="0"/>
        <c:axPos val="l"/>
        <c:majorGridlines/>
        <c:numFmt formatCode="_-* #,##0_-;\-* #,##0_-;_-* &quot;-&quot;??_-;_-@_-" sourceLinked="1"/>
        <c:majorTickMark val="out"/>
        <c:minorTickMark val="none"/>
        <c:tickLblPos val="nextTo"/>
        <c:crossAx val="169661440"/>
        <c:crosses val="autoZero"/>
        <c:crossBetween val="between"/>
      </c:valAx>
    </c:plotArea>
    <c:legend>
      <c:legendPos val="r"/>
      <c:layout>
        <c:manualLayout>
          <c:xMode val="edge"/>
          <c:yMode val="edge"/>
          <c:x val="0.7179968628181832"/>
          <c:y val="0.25580556867124432"/>
          <c:w val="0.27422544973720964"/>
          <c:h val="0.1268976728547238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Annual Actual and Predicted kWh</a:t>
            </a:r>
            <a:r>
              <a:rPr lang="en-US" sz="1100" baseline="0"/>
              <a:t> Purchased</a:t>
            </a:r>
            <a:r>
              <a:rPr lang="en-US" sz="1100"/>
              <a:t> </a:t>
            </a:r>
          </a:p>
        </c:rich>
      </c:tx>
      <c:overlay val="1"/>
    </c:title>
    <c:autoTitleDeleted val="0"/>
    <c:plotArea>
      <c:layout>
        <c:manualLayout>
          <c:layoutTarget val="inner"/>
          <c:xMode val="edge"/>
          <c:yMode val="edge"/>
          <c:x val="0.17085544398261196"/>
          <c:y val="0.20097373324517642"/>
          <c:w val="0.72609264993784484"/>
          <c:h val="0.59340528775366497"/>
        </c:manualLayout>
      </c:layout>
      <c:barChart>
        <c:barDir val="col"/>
        <c:grouping val="clustered"/>
        <c:varyColors val="0"/>
        <c:ser>
          <c:idx val="0"/>
          <c:order val="0"/>
          <c:tx>
            <c:strRef>
              <c:f>'Purchased Power Model'!$AA$33</c:f>
              <c:strCache>
                <c:ptCount val="1"/>
                <c:pt idx="0">
                  <c:v>Year</c:v>
                </c:pt>
              </c:strCache>
            </c:strRef>
          </c:tx>
          <c:spPr>
            <a:ln>
              <a:solidFill>
                <a:srgbClr val="C00000"/>
              </a:solidFill>
            </a:ln>
          </c:spPr>
          <c:invertIfNegative val="0"/>
          <c:cat>
            <c:numRef>
              <c:f>'Purchased Power Model'!$AA$34:$AA$43</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'Purchased Power Model'!$AA$34:$AA$43</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extLst>
                <c:ext xmlns:c15="http://schemas.microsoft.com/office/drawing/2012/chart" uri="{02D57815-91ED-43cb-92C2-25804820EDAC}">
                  <c15:fullRef>
                    <c15:sqref>'Purchased Power Model'!$AA$34:$AA$44</c15:sqref>
                  </c15:fullRef>
                </c:ext>
              </c:extLst>
            </c:numRef>
          </c:val>
        </c:ser>
        <c:ser>
          <c:idx val="1"/>
          <c:order val="1"/>
          <c:tx>
            <c:strRef>
              <c:f>'Purchased Power Model'!$AB$33</c:f>
              <c:strCache>
                <c:ptCount val="1"/>
                <c:pt idx="0">
                  <c:v>Predicted by Model</c:v>
                </c:pt>
              </c:strCache>
            </c:strRef>
          </c:tx>
          <c:spPr>
            <a:ln>
              <a:solidFill>
                <a:srgbClr val="C00000"/>
              </a:solidFill>
            </a:ln>
          </c:spPr>
          <c:invertIfNegative val="0"/>
          <c:cat>
            <c:numRef>
              <c:f>'Purchased Power Model'!$AA$34:$AA$43</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'Purchased Power Model'!$AB$34:$AB$43</c:f>
              <c:numCache>
                <c:formatCode>_-* #,##0_-;\-* #,##0_-;_-* "-"??_-;_-@_-</c:formatCode>
                <c:ptCount val="10"/>
                <c:pt idx="0">
                  <c:v>127895969.18627138</c:v>
                </c:pt>
                <c:pt idx="1">
                  <c:v>123655943.02691363</c:v>
                </c:pt>
                <c:pt idx="2">
                  <c:v>124256671.94011325</c:v>
                </c:pt>
                <c:pt idx="3">
                  <c:v>122993570.23534104</c:v>
                </c:pt>
                <c:pt idx="4">
                  <c:v>120843116.16652277</c:v>
                </c:pt>
                <c:pt idx="5">
                  <c:v>119197602.83152692</c:v>
                </c:pt>
                <c:pt idx="6">
                  <c:v>118496807.49565221</c:v>
                </c:pt>
                <c:pt idx="7">
                  <c:v>116698166.7116608</c:v>
                </c:pt>
                <c:pt idx="8">
                  <c:v>115471991.30319136</c:v>
                </c:pt>
                <c:pt idx="9">
                  <c:v>113484155.1028066</c:v>
                </c:pt>
              </c:numCache>
              <c:extLst>
                <c:ext xmlns:c15="http://schemas.microsoft.com/office/drawing/2012/chart" uri="{02D57815-91ED-43cb-92C2-25804820EDAC}">
                  <c15:fullRef>
                    <c15:sqref>'Purchased Power Model'!$AB$34:$AB$44</c15:sqref>
                  </c15:fullRef>
                </c:ext>
              </c:extLst>
            </c:numRef>
          </c:val>
        </c:ser>
        <c:ser>
          <c:idx val="2"/>
          <c:order val="2"/>
          <c:tx>
            <c:strRef>
              <c:f>'Purchased Power Model'!$AC$33</c:f>
              <c:strCache>
                <c:ptCount val="1"/>
                <c:pt idx="0">
                  <c:v> Actual</c:v>
                </c:pt>
              </c:strCache>
            </c:strRef>
          </c:tx>
          <c:spPr>
            <a:ln>
              <a:solidFill>
                <a:srgbClr val="7030A0"/>
              </a:solidFill>
            </a:ln>
          </c:spPr>
          <c:invertIfNegative val="0"/>
          <c:cat>
            <c:numRef>
              <c:f>'Purchased Power Model'!$AA$34:$AA$43</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'Purchased Power Model'!$AC$34:$AC$43</c:f>
              <c:numCache>
                <c:formatCode>_-* #,##0_-;\-* #,##0_-;_-* "-"??_-;_-@_-</c:formatCode>
                <c:ptCount val="10"/>
                <c:pt idx="0">
                  <c:v>129569190</c:v>
                </c:pt>
                <c:pt idx="1">
                  <c:v>125693570</c:v>
                </c:pt>
                <c:pt idx="2">
                  <c:v>125561560</c:v>
                </c:pt>
                <c:pt idx="3">
                  <c:v>121334640</c:v>
                </c:pt>
                <c:pt idx="4">
                  <c:v>118414830</c:v>
                </c:pt>
                <c:pt idx="5">
                  <c:v>116592701</c:v>
                </c:pt>
                <c:pt idx="6">
                  <c:v>118002442</c:v>
                </c:pt>
                <c:pt idx="7">
                  <c:v>115281047</c:v>
                </c:pt>
                <c:pt idx="8">
                  <c:v>116595466</c:v>
                </c:pt>
                <c:pt idx="9">
                  <c:v>115948548</c:v>
                </c:pt>
              </c:numCache>
              <c:extLst>
                <c:ext xmlns:c15="http://schemas.microsoft.com/office/drawing/2012/chart" uri="{02D57815-91ED-43cb-92C2-25804820EDAC}">
                  <c15:fullRef>
                    <c15:sqref>'Purchased Power Model'!$AC$34:$AC$44</c15:sqref>
                  </c15:fullRef>
                </c:ext>
              </c:extLst>
            </c:numRef>
          </c:val>
        </c:ser>
        <c:dLbls>
          <c:showLegendKey val="0"/>
          <c:showVal val="0"/>
          <c:showCatName val="0"/>
          <c:showSerName val="0"/>
          <c:showPercent val="0"/>
          <c:showBubbleSize val="0"/>
        </c:dLbls>
        <c:gapWidth val="150"/>
        <c:axId val="169662464"/>
        <c:axId val="158987904"/>
      </c:barChart>
      <c:dateAx>
        <c:axId val="169662464"/>
        <c:scaling>
          <c:orientation val="minMax"/>
        </c:scaling>
        <c:delete val="0"/>
        <c:axPos val="b"/>
        <c:title>
          <c:tx>
            <c:rich>
              <a:bodyPr/>
              <a:lstStyle/>
              <a:p>
                <a:pPr>
                  <a:defRPr/>
                </a:pPr>
                <a:r>
                  <a:rPr lang="en-US"/>
                  <a:t>Year</a:t>
                </a:r>
              </a:p>
            </c:rich>
          </c:tx>
          <c:overlay val="0"/>
        </c:title>
        <c:numFmt formatCode="@" sourceLinked="1"/>
        <c:majorTickMark val="out"/>
        <c:minorTickMark val="none"/>
        <c:tickLblPos val="nextTo"/>
        <c:crossAx val="158987904"/>
        <c:crosses val="autoZero"/>
        <c:auto val="0"/>
        <c:lblOffset val="100"/>
        <c:baseTimeUnit val="days"/>
      </c:dateAx>
      <c:valAx>
        <c:axId val="158987904"/>
        <c:scaling>
          <c:orientation val="minMax"/>
          <c:max val="135000000"/>
          <c:min val="105000000"/>
        </c:scaling>
        <c:delete val="0"/>
        <c:axPos val="l"/>
        <c:majorGridlines/>
        <c:title>
          <c:tx>
            <c:rich>
              <a:bodyPr rot="-5400000" vert="horz"/>
              <a:lstStyle/>
              <a:p>
                <a:pPr>
                  <a:defRPr/>
                </a:pPr>
                <a:r>
                  <a:rPr lang="en-US"/>
                  <a:t>kWh</a:t>
                </a:r>
              </a:p>
            </c:rich>
          </c:tx>
          <c:layout>
            <c:manualLayout>
              <c:xMode val="edge"/>
              <c:yMode val="edge"/>
              <c:x val="8.9159595047855686E-3"/>
              <c:y val="0.41550332925941508"/>
            </c:manualLayout>
          </c:layout>
          <c:overlay val="0"/>
        </c:title>
        <c:numFmt formatCode="#,##0" sourceLinked="0"/>
        <c:majorTickMark val="out"/>
        <c:minorTickMark val="none"/>
        <c:tickLblPos val="nextTo"/>
        <c:crossAx val="169662464"/>
        <c:crossesAt val="1"/>
        <c:crossBetween val="between"/>
        <c:majorUnit val="5000000"/>
      </c:valAx>
    </c:plotArea>
    <c:legend>
      <c:legendPos val="r"/>
      <c:legendEntry>
        <c:idx val="0"/>
        <c:delete val="1"/>
      </c:legendEntry>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0"/>
          <c:order val="0"/>
          <c:tx>
            <c:strRef>
              <c:f>'HDD &amp; CDD'!$A$6</c:f>
              <c:strCache>
                <c:ptCount val="1"/>
                <c:pt idx="0">
                  <c:v>January</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CDD'!$L$6:$V$6</c:f>
              <c:numCache>
                <c:formatCode>_(* #,##0.0_);_(* \(#,##0.0\);_(* "-"??_);_(@_)</c:formatCode>
                <c:ptCount val="11"/>
                <c:pt idx="0">
                  <c:v>920.6999999999997</c:v>
                </c:pt>
                <c:pt idx="1">
                  <c:v>733.50000000000023</c:v>
                </c:pt>
                <c:pt idx="2">
                  <c:v>797.09999999999991</c:v>
                </c:pt>
                <c:pt idx="3">
                  <c:v>754.20000000000016</c:v>
                </c:pt>
                <c:pt idx="4">
                  <c:v>979.5</c:v>
                </c:pt>
                <c:pt idx="5">
                  <c:v>789.2</c:v>
                </c:pt>
                <c:pt idx="6">
                  <c:v>888.7</c:v>
                </c:pt>
                <c:pt idx="7">
                  <c:v>831.00000000000023</c:v>
                </c:pt>
                <c:pt idx="8">
                  <c:v>839.90000000000009</c:v>
                </c:pt>
                <c:pt idx="9">
                  <c:v>918.30000000000007</c:v>
                </c:pt>
                <c:pt idx="10">
                  <c:v>968.19999999999982</c:v>
                </c:pt>
              </c:numCache>
            </c:numRef>
          </c:val>
          <c:smooth val="0"/>
        </c:ser>
        <c:ser>
          <c:idx val="11"/>
          <c:order val="1"/>
          <c:tx>
            <c:strRef>
              <c:f>'HDD &amp; CDD'!$A$7</c:f>
              <c:strCache>
                <c:ptCount val="1"/>
                <c:pt idx="0">
                  <c:v>February</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CDD'!$L$7:$V$7</c:f>
              <c:numCache>
                <c:formatCode>_(* #,##0.0_);_(* \(#,##0.0\);_(* "-"??_);_(@_)</c:formatCode>
                <c:ptCount val="11"/>
                <c:pt idx="0">
                  <c:v>700.60000000000014</c:v>
                </c:pt>
                <c:pt idx="1">
                  <c:v>720.9</c:v>
                </c:pt>
                <c:pt idx="2">
                  <c:v>820</c:v>
                </c:pt>
                <c:pt idx="3">
                  <c:v>774.30000000000007</c:v>
                </c:pt>
                <c:pt idx="4">
                  <c:v>711.5</c:v>
                </c:pt>
                <c:pt idx="5">
                  <c:v>655.8</c:v>
                </c:pt>
                <c:pt idx="6">
                  <c:v>731.6</c:v>
                </c:pt>
                <c:pt idx="7">
                  <c:v>671.39999999999986</c:v>
                </c:pt>
                <c:pt idx="8">
                  <c:v>728.5</c:v>
                </c:pt>
                <c:pt idx="9">
                  <c:v>793.2</c:v>
                </c:pt>
                <c:pt idx="10">
                  <c:v>957.8000000000003</c:v>
                </c:pt>
              </c:numCache>
            </c:numRef>
          </c:val>
          <c:smooth val="0"/>
        </c:ser>
        <c:ser>
          <c:idx val="12"/>
          <c:order val="2"/>
          <c:tx>
            <c:strRef>
              <c:f>'HDD &amp; CDD'!$A$8</c:f>
              <c:strCache>
                <c:ptCount val="1"/>
                <c:pt idx="0">
                  <c:v>March</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CDD'!$L$8:$V$8</c:f>
              <c:numCache>
                <c:formatCode>_(* #,##0.0_);_(* \(#,##0.0\);_(* "-"??_);_(@_)</c:formatCode>
                <c:ptCount val="11"/>
                <c:pt idx="0">
                  <c:v>668.8</c:v>
                </c:pt>
                <c:pt idx="1">
                  <c:v>600.4</c:v>
                </c:pt>
                <c:pt idx="2">
                  <c:v>643.00000000000023</c:v>
                </c:pt>
                <c:pt idx="3">
                  <c:v>721.1</c:v>
                </c:pt>
                <c:pt idx="4">
                  <c:v>598.30000000000007</c:v>
                </c:pt>
                <c:pt idx="5">
                  <c:v>460.7000000000001</c:v>
                </c:pt>
                <c:pt idx="6">
                  <c:v>634.59999999999991</c:v>
                </c:pt>
                <c:pt idx="7">
                  <c:v>460.29999999999984</c:v>
                </c:pt>
                <c:pt idx="8">
                  <c:v>612.9</c:v>
                </c:pt>
                <c:pt idx="9">
                  <c:v>783.6</c:v>
                </c:pt>
                <c:pt idx="10">
                  <c:v>718.59999999999991</c:v>
                </c:pt>
              </c:numCache>
            </c:numRef>
          </c:val>
          <c:smooth val="0"/>
        </c:ser>
        <c:ser>
          <c:idx val="13"/>
          <c:order val="3"/>
          <c:tx>
            <c:strRef>
              <c:f>'HDD &amp; CDD'!$A$9</c:f>
              <c:strCache>
                <c:ptCount val="1"/>
                <c:pt idx="0">
                  <c:v>April</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CDD'!$L$9:$V$9</c:f>
              <c:numCache>
                <c:formatCode>_(* #,##0.0_);_(* \(#,##0.0\);_(* "-"??_);_(@_)</c:formatCode>
                <c:ptCount val="11"/>
                <c:pt idx="0">
                  <c:v>324.8</c:v>
                </c:pt>
                <c:pt idx="1">
                  <c:v>321.59999999999991</c:v>
                </c:pt>
                <c:pt idx="2">
                  <c:v>361.1</c:v>
                </c:pt>
                <c:pt idx="3">
                  <c:v>299.60000000000008</c:v>
                </c:pt>
                <c:pt idx="4">
                  <c:v>334.2999999999999</c:v>
                </c:pt>
                <c:pt idx="5">
                  <c:v>258.09999999999997</c:v>
                </c:pt>
                <c:pt idx="6">
                  <c:v>347.40000000000009</c:v>
                </c:pt>
                <c:pt idx="7">
                  <c:v>363.30000000000007</c:v>
                </c:pt>
                <c:pt idx="8">
                  <c:v>381.1</c:v>
                </c:pt>
                <c:pt idx="9">
                  <c:v>384.20000000000005</c:v>
                </c:pt>
                <c:pt idx="10">
                  <c:v>352.59999999999991</c:v>
                </c:pt>
              </c:numCache>
            </c:numRef>
          </c:val>
          <c:smooth val="0"/>
        </c:ser>
        <c:ser>
          <c:idx val="14"/>
          <c:order val="4"/>
          <c:tx>
            <c:strRef>
              <c:f>'HDD &amp; CDD'!$A$10</c:f>
              <c:strCache>
                <c:ptCount val="1"/>
                <c:pt idx="0">
                  <c:v>May</c:v>
                </c:pt>
              </c:strCache>
            </c:strRef>
          </c:tx>
          <c:marker>
            <c:symbol val="none"/>
          </c:marker>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CDD'!$L$10:$V$10</c:f>
              <c:numCache>
                <c:formatCode>_(* #,##0.0_);_(* \(#,##0.0\);_(* "-"??_);_(@_)</c:formatCode>
                <c:ptCount val="11"/>
                <c:pt idx="0">
                  <c:v>205</c:v>
                </c:pt>
                <c:pt idx="1">
                  <c:v>128.19999999999999</c:v>
                </c:pt>
                <c:pt idx="2">
                  <c:v>157.30000000000001</c:v>
                </c:pt>
                <c:pt idx="3">
                  <c:v>185.40000000000003</c:v>
                </c:pt>
                <c:pt idx="4">
                  <c:v>181.6</c:v>
                </c:pt>
                <c:pt idx="5">
                  <c:v>112.30000000000001</c:v>
                </c:pt>
                <c:pt idx="6">
                  <c:v>142.79999999999998</c:v>
                </c:pt>
                <c:pt idx="7">
                  <c:v>102.4</c:v>
                </c:pt>
                <c:pt idx="8">
                  <c:v>121.2</c:v>
                </c:pt>
                <c:pt idx="9">
                  <c:v>127.3</c:v>
                </c:pt>
                <c:pt idx="10">
                  <c:v>94.200000000000031</c:v>
                </c:pt>
              </c:numCache>
            </c:numRef>
          </c:val>
          <c:smooth val="0"/>
        </c:ser>
        <c:ser>
          <c:idx val="15"/>
          <c:order val="5"/>
          <c:tx>
            <c:strRef>
              <c:f>'HDD &amp; CDD'!$A$11</c:f>
              <c:strCache>
                <c:ptCount val="1"/>
                <c:pt idx="0">
                  <c:v>June</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CDD'!$L$11:$V$11</c:f>
              <c:numCache>
                <c:formatCode>_(* #,##0.0_);_(* \(#,##0.0\);_(* "-"??_);_(@_)</c:formatCode>
                <c:ptCount val="11"/>
                <c:pt idx="0">
                  <c:v>16.099999999999998</c:v>
                </c:pt>
                <c:pt idx="1">
                  <c:v>27.599999999999998</c:v>
                </c:pt>
                <c:pt idx="2">
                  <c:v>34.200000000000003</c:v>
                </c:pt>
                <c:pt idx="3">
                  <c:v>22.400000000000002</c:v>
                </c:pt>
                <c:pt idx="4">
                  <c:v>50.4</c:v>
                </c:pt>
                <c:pt idx="5">
                  <c:v>37.600000000000009</c:v>
                </c:pt>
                <c:pt idx="6">
                  <c:v>18.5</c:v>
                </c:pt>
                <c:pt idx="7">
                  <c:v>31.4</c:v>
                </c:pt>
                <c:pt idx="8">
                  <c:v>58.1</c:v>
                </c:pt>
                <c:pt idx="9">
                  <c:v>20.299999999999997</c:v>
                </c:pt>
                <c:pt idx="10">
                  <c:v>45.199999999999996</c:v>
                </c:pt>
              </c:numCache>
            </c:numRef>
          </c:val>
          <c:smooth val="0"/>
        </c:ser>
        <c:ser>
          <c:idx val="16"/>
          <c:order val="6"/>
          <c:tx>
            <c:strRef>
              <c:f>'HDD &amp; CDD'!$A$12</c:f>
              <c:strCache>
                <c:ptCount val="1"/>
                <c:pt idx="0">
                  <c:v>July</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CDD'!$L$12:$V$12</c:f>
              <c:numCache>
                <c:formatCode>_(* #,##0.0_);_(* \(#,##0.0\);_(* "-"??_);_(@_)</c:formatCode>
                <c:ptCount val="11"/>
                <c:pt idx="0">
                  <c:v>2.9000000000000004</c:v>
                </c:pt>
                <c:pt idx="1">
                  <c:v>0.3</c:v>
                </c:pt>
                <c:pt idx="2">
                  <c:v>11.799999999999999</c:v>
                </c:pt>
                <c:pt idx="3">
                  <c:v>0.3</c:v>
                </c:pt>
                <c:pt idx="4">
                  <c:v>13.1</c:v>
                </c:pt>
                <c:pt idx="5">
                  <c:v>4.5</c:v>
                </c:pt>
                <c:pt idx="6">
                  <c:v>0</c:v>
                </c:pt>
                <c:pt idx="7">
                  <c:v>0</c:v>
                </c:pt>
                <c:pt idx="8">
                  <c:v>7.7</c:v>
                </c:pt>
                <c:pt idx="9">
                  <c:v>8.8000000000000007</c:v>
                </c:pt>
                <c:pt idx="10">
                  <c:v>9.3000000000000007</c:v>
                </c:pt>
              </c:numCache>
            </c:numRef>
          </c:val>
          <c:smooth val="0"/>
        </c:ser>
        <c:ser>
          <c:idx val="17"/>
          <c:order val="7"/>
          <c:tx>
            <c:strRef>
              <c:f>'HDD &amp; CDD'!$A$13</c:f>
              <c:strCache>
                <c:ptCount val="1"/>
                <c:pt idx="0">
                  <c:v>August</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CDD'!$L$13:$V$13</c:f>
              <c:numCache>
                <c:formatCode>_(* #,##0.0_);_(* \(#,##0.0\);_(* "-"??_);_(@_)</c:formatCode>
                <c:ptCount val="11"/>
                <c:pt idx="0">
                  <c:v>8.3999999999999986</c:v>
                </c:pt>
                <c:pt idx="1">
                  <c:v>18.200000000000003</c:v>
                </c:pt>
                <c:pt idx="2">
                  <c:v>20.100000000000001</c:v>
                </c:pt>
                <c:pt idx="3">
                  <c:v>14.399999999999999</c:v>
                </c:pt>
                <c:pt idx="4">
                  <c:v>26.1</c:v>
                </c:pt>
                <c:pt idx="5">
                  <c:v>14.7</c:v>
                </c:pt>
                <c:pt idx="6">
                  <c:v>2.3000000000000003</c:v>
                </c:pt>
                <c:pt idx="7">
                  <c:v>8.4</c:v>
                </c:pt>
                <c:pt idx="8">
                  <c:v>13.400000000000004</c:v>
                </c:pt>
                <c:pt idx="9">
                  <c:v>21.400000000000002</c:v>
                </c:pt>
                <c:pt idx="10">
                  <c:v>5.6</c:v>
                </c:pt>
              </c:numCache>
            </c:numRef>
          </c:val>
          <c:smooth val="0"/>
        </c:ser>
        <c:ser>
          <c:idx val="18"/>
          <c:order val="8"/>
          <c:tx>
            <c:strRef>
              <c:f>'HDD &amp; CDD'!$A$14</c:f>
              <c:strCache>
                <c:ptCount val="1"/>
                <c:pt idx="0">
                  <c:v>September</c:v>
                </c:pt>
              </c:strCache>
            </c:strRef>
          </c:tx>
          <c:marker>
            <c:symbol val="none"/>
          </c:marker>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CDD'!$L$14:$V$14</c:f>
              <c:numCache>
                <c:formatCode>_(* #,##0.0_);_(* \(#,##0.0\);_(* "-"??_);_(@_)</c:formatCode>
                <c:ptCount val="11"/>
                <c:pt idx="0">
                  <c:v>59.2</c:v>
                </c:pt>
                <c:pt idx="1">
                  <c:v>120.99999999999997</c:v>
                </c:pt>
                <c:pt idx="2">
                  <c:v>75.999999999999986</c:v>
                </c:pt>
                <c:pt idx="3">
                  <c:v>95.4</c:v>
                </c:pt>
                <c:pt idx="4">
                  <c:v>106.49999999999999</c:v>
                </c:pt>
                <c:pt idx="5">
                  <c:v>112</c:v>
                </c:pt>
                <c:pt idx="6">
                  <c:v>55.4</c:v>
                </c:pt>
                <c:pt idx="7">
                  <c:v>127.30000000000001</c:v>
                </c:pt>
                <c:pt idx="8">
                  <c:v>133.20000000000005</c:v>
                </c:pt>
                <c:pt idx="9">
                  <c:v>110.3</c:v>
                </c:pt>
                <c:pt idx="10">
                  <c:v>48.400000000000006</c:v>
                </c:pt>
              </c:numCache>
            </c:numRef>
          </c:val>
          <c:smooth val="0"/>
        </c:ser>
        <c:ser>
          <c:idx val="19"/>
          <c:order val="9"/>
          <c:tx>
            <c:strRef>
              <c:f>'HDD &amp; CDD'!$A$15</c:f>
              <c:strCache>
                <c:ptCount val="1"/>
                <c:pt idx="0">
                  <c:v>October</c:v>
                </c:pt>
              </c:strCache>
            </c:strRef>
          </c:tx>
          <c:marker>
            <c:symbol val="none"/>
          </c:marker>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CDD'!$L$15:$V$15</c:f>
              <c:numCache>
                <c:formatCode>_(* #,##0.0_);_(* \(#,##0.0\);_(* "-"??_);_(@_)</c:formatCode>
                <c:ptCount val="11"/>
                <c:pt idx="0">
                  <c:v>269.70000000000005</c:v>
                </c:pt>
                <c:pt idx="1">
                  <c:v>335.70000000000005</c:v>
                </c:pt>
                <c:pt idx="2">
                  <c:v>227.49999999999997</c:v>
                </c:pt>
                <c:pt idx="3">
                  <c:v>321.80000000000007</c:v>
                </c:pt>
                <c:pt idx="4">
                  <c:v>355.5</c:v>
                </c:pt>
                <c:pt idx="5">
                  <c:v>311</c:v>
                </c:pt>
                <c:pt idx="6">
                  <c:v>259.10000000000002</c:v>
                </c:pt>
                <c:pt idx="7">
                  <c:v>259.8595782569019</c:v>
                </c:pt>
                <c:pt idx="8">
                  <c:v>265.2</c:v>
                </c:pt>
                <c:pt idx="9">
                  <c:v>257.90000000000003</c:v>
                </c:pt>
                <c:pt idx="10">
                  <c:v>337.30000000000007</c:v>
                </c:pt>
              </c:numCache>
            </c:numRef>
          </c:val>
          <c:smooth val="0"/>
        </c:ser>
        <c:ser>
          <c:idx val="1"/>
          <c:order val="10"/>
          <c:tx>
            <c:strRef>
              <c:f>'HDD &amp; CDD'!$A$16</c:f>
              <c:strCache>
                <c:ptCount val="1"/>
                <c:pt idx="0">
                  <c:v>November</c:v>
                </c:pt>
              </c:strCache>
            </c:strRef>
          </c:tx>
          <c:marker>
            <c:symbol val="none"/>
          </c:marker>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CDD'!$L$16:$V$16</c:f>
              <c:numCache>
                <c:formatCode>_(* #,##0.0_);_(* \(#,##0.0\);_(* "-"??_);_(@_)</c:formatCode>
                <c:ptCount val="11"/>
                <c:pt idx="0">
                  <c:v>484.2</c:v>
                </c:pt>
                <c:pt idx="1">
                  <c:v>417.3</c:v>
                </c:pt>
                <c:pt idx="2">
                  <c:v>517</c:v>
                </c:pt>
                <c:pt idx="3">
                  <c:v>502.8</c:v>
                </c:pt>
                <c:pt idx="4">
                  <c:v>417.39999999999992</c:v>
                </c:pt>
                <c:pt idx="5">
                  <c:v>491.59999999999985</c:v>
                </c:pt>
                <c:pt idx="6">
                  <c:v>392.9</c:v>
                </c:pt>
                <c:pt idx="7">
                  <c:v>541.70000000000005</c:v>
                </c:pt>
                <c:pt idx="8">
                  <c:v>560.79999999999995</c:v>
                </c:pt>
                <c:pt idx="9">
                  <c:v>510.6</c:v>
                </c:pt>
                <c:pt idx="10">
                  <c:v>429.00000000000006</c:v>
                </c:pt>
              </c:numCache>
            </c:numRef>
          </c:val>
          <c:smooth val="0"/>
        </c:ser>
        <c:ser>
          <c:idx val="2"/>
          <c:order val="11"/>
          <c:tx>
            <c:strRef>
              <c:f>'HDD &amp; CDD'!$A$17</c:f>
              <c:strCache>
                <c:ptCount val="1"/>
                <c:pt idx="0">
                  <c:v>December</c:v>
                </c:pt>
              </c:strCache>
            </c:strRef>
          </c:tx>
          <c:cat>
            <c:numRef>
              <c:f>'HDD &amp; CDD'!$L$5:$V$5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'HDD &amp; CDD'!$L$17:$V$17</c:f>
              <c:numCache>
                <c:formatCode>_(* #,##0.0_);_(* \(#,##0.0\);_(* "-"??_);_(@_)</c:formatCode>
                <c:ptCount val="11"/>
                <c:pt idx="0">
                  <c:v>761.99999999999989</c:v>
                </c:pt>
                <c:pt idx="1">
                  <c:v>609.99999999999989</c:v>
                </c:pt>
                <c:pt idx="2">
                  <c:v>787.69999999999982</c:v>
                </c:pt>
                <c:pt idx="3">
                  <c:v>796.70000000000027</c:v>
                </c:pt>
                <c:pt idx="4">
                  <c:v>759.40000000000009</c:v>
                </c:pt>
                <c:pt idx="5">
                  <c:v>731.39999999999986</c:v>
                </c:pt>
                <c:pt idx="6">
                  <c:v>672.19999999999993</c:v>
                </c:pt>
                <c:pt idx="7">
                  <c:v>719.1</c:v>
                </c:pt>
                <c:pt idx="8">
                  <c:v>858.20000000000016</c:v>
                </c:pt>
                <c:pt idx="9">
                  <c:v>696.39999999999986</c:v>
                </c:pt>
                <c:pt idx="10">
                  <c:v>519.90000000000009</c:v>
                </c:pt>
              </c:numCache>
            </c:numRef>
          </c:val>
          <c:smooth val="0"/>
        </c:ser>
        <c:dLbls>
          <c:showLegendKey val="0"/>
          <c:showVal val="0"/>
          <c:showCatName val="0"/>
          <c:showSerName val="0"/>
          <c:showPercent val="0"/>
          <c:showBubbleSize val="0"/>
        </c:dLbls>
        <c:marker val="1"/>
        <c:smooth val="0"/>
        <c:axId val="172474880"/>
        <c:axId val="172933120"/>
      </c:lineChart>
      <c:catAx>
        <c:axId val="172474880"/>
        <c:scaling>
          <c:orientation val="minMax"/>
        </c:scaling>
        <c:delete val="0"/>
        <c:axPos val="b"/>
        <c:numFmt formatCode="General" sourceLinked="1"/>
        <c:majorTickMark val="out"/>
        <c:minorTickMark val="none"/>
        <c:tickLblPos val="nextTo"/>
        <c:crossAx val="172933120"/>
        <c:crosses val="autoZero"/>
        <c:auto val="1"/>
        <c:lblAlgn val="ctr"/>
        <c:lblOffset val="100"/>
        <c:noMultiLvlLbl val="0"/>
      </c:catAx>
      <c:valAx>
        <c:axId val="172933120"/>
        <c:scaling>
          <c:orientation val="minMax"/>
        </c:scaling>
        <c:delete val="0"/>
        <c:axPos val="l"/>
        <c:majorGridlines/>
        <c:numFmt formatCode="_(* #,##0.0_);_(* \(#,##0.0\);_(* &quot;-&quot;??_);_(@_)" sourceLinked="1"/>
        <c:majorTickMark val="out"/>
        <c:minorTickMark val="none"/>
        <c:tickLblPos val="nextTo"/>
        <c:crossAx val="172474880"/>
        <c:crosses val="autoZero"/>
        <c:crossBetween val="between"/>
        <c:majorUnit val="300"/>
      </c:valAx>
    </c:plotArea>
    <c:legend>
      <c:legendPos val="r"/>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33</xdr:col>
      <xdr:colOff>209551</xdr:colOff>
      <xdr:row>71</xdr:row>
      <xdr:rowOff>133350</xdr:rowOff>
    </xdr:from>
    <xdr:to>
      <xdr:col>42</xdr:col>
      <xdr:colOff>466725</xdr:colOff>
      <xdr:row>94</xdr:row>
      <xdr:rowOff>28574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85725</xdr:colOff>
      <xdr:row>70</xdr:row>
      <xdr:rowOff>152400</xdr:rowOff>
    </xdr:from>
    <xdr:to>
      <xdr:col>31</xdr:col>
      <xdr:colOff>638175</xdr:colOff>
      <xdr:row>94</xdr:row>
      <xdr:rowOff>9525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584489</xdr:colOff>
      <xdr:row>43</xdr:row>
      <xdr:rowOff>65808</xdr:rowOff>
    </xdr:from>
    <xdr:to>
      <xdr:col>30</xdr:col>
      <xdr:colOff>25979</xdr:colOff>
      <xdr:row>68</xdr:row>
      <xdr:rowOff>112568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bacon\Documents\London\2013%20Rate%20Applicaiton\Interrogatories\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g\Desktop\Dummy%20Fi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jwei\Local%20Settings\Temporary%20Internet%20Files\Content.Outlook\X698NZBL\Jane%20CHEC_Load%20Forecast_Wholesale_Sept%208%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jwei\Local%20Settings\Temporary%20Internet%20Files\Content.Outlook\X698NZBL\Hybrid%20Load%20Forecast%20Feb%2025\Jane%20CHEC_Load%20Forecast_Wholesale_Sept%208%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ane\Downloads\2015_Filing_Requirements_Chapter2_Appendices%20(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jwei\Local%20Settings\Temporary%20Internet%20Files\Content.Outlook\X698NZBL\Hybrid%20Load%20Forecast%20Feb%2025\RSL%202012%20cop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jwei\Local%20Settings\Temporary%20Internet%20Files\Content.Outlook\X698NZBL\RSL%202012%20cop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jwei\Local%20Settings\Temporary%20Internet%20Files\Content.Outlook\X698NZBL\Purchased%20kWh\Purchased%20kWh%20Use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jwei\Local%20Settings\Temporary%20Internet%20Files\Content.Outlook\X698NZBL\Holidays%20in%20months\Holidays%20and%20Peak%20hour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jwei\Local%20Settings\Temporary%20Internet%20Files\Content.Outlook\X698NZBL\Billed%20kWh%20and%20Customer%20Count\Consumption%20and%20Count%20Use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jwei\Local%20Settings\Temporary%20Internet%20Files\Content.Outlook\X698NZBL\CDM%20data\CDM%20Allocatio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jwei\Local%20Settings\Temporary%20Internet%20Files\Content.Outlook\X698NZBL\CDM%20data\Data%20Use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jwei\Local%20Settings\Temporary%20Internet%20Files\Content.Outlook\X698NZBL\CDM%20data\Pre%202011\2006-2010%20Final%20OPA%20CDM%20Results.Rideau%20St.%20Lawrence%20Distribution%20In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jwei\Local%20Settings\Temporary%20Internet%20Files\Content.Outlook\X698NZBL\Population%20Varable\Census%20and%20customer%20co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sheetData sheetId="1"/>
      <sheetData sheetId="2"/>
      <sheetData sheetId="3"/>
      <sheetData sheetId="4"/>
      <sheetData sheetId="5"/>
      <sheetData sheetId="6" refreshError="1">
        <row r="2">
          <cell r="B2" t="str">
            <v>Horizon_Utilities_Corporation_Detailed_CA_model_Run2.xls</v>
          </cell>
        </row>
        <row r="5">
          <cell r="B5" t="str">
            <v>Revenue Requirement (includes NI)</v>
          </cell>
        </row>
        <row r="6">
          <cell r="B6">
            <v>92033309.222477198</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Rate Class Energy Model"/>
      <sheetName val="Rate Class Load Model"/>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 val="Sheet1"/>
      <sheetName val="App.2-R_Loss Factors"/>
      <sheetName val="RSL Loss Factor"/>
      <sheetName val="6. WS Regression Analysis 20Y"/>
      <sheetName val="6. WS Regression Analysis (2)"/>
      <sheetName val="6. WS Regression Analysis ( (3"/>
      <sheetName val="Sheet2"/>
    </sheetNames>
    <sheetDataSet>
      <sheetData sheetId="0"/>
      <sheetData sheetId="1"/>
      <sheetData sheetId="2">
        <row r="25">
          <cell r="B25">
            <v>2005</v>
          </cell>
        </row>
      </sheetData>
      <sheetData sheetId="3">
        <row r="17">
          <cell r="B17">
            <v>2005</v>
          </cell>
        </row>
      </sheetData>
      <sheetData sheetId="4">
        <row r="16">
          <cell r="B16" t="str">
            <v>HDD</v>
          </cell>
        </row>
        <row r="43">
          <cell r="B43" t="str">
            <v>CDD</v>
          </cell>
        </row>
        <row r="70">
          <cell r="B70" t="str">
            <v>Number of Days in Month</v>
          </cell>
        </row>
        <row r="100">
          <cell r="B100" t="str">
            <v>Spring/Fall Flag</v>
          </cell>
        </row>
        <row r="116">
          <cell r="B116" t="str">
            <v>Holidays in Month</v>
          </cell>
        </row>
        <row r="132">
          <cell r="B132" t="str">
            <v>HDD</v>
          </cell>
        </row>
        <row r="133">
          <cell r="B133" t="str">
            <v>CDD</v>
          </cell>
        </row>
        <row r="134">
          <cell r="B134" t="str">
            <v>Number of Days in Month</v>
          </cell>
        </row>
        <row r="135">
          <cell r="B135" t="str">
            <v>Population</v>
          </cell>
        </row>
        <row r="136">
          <cell r="B136" t="str">
            <v>Spring/Fall Flag</v>
          </cell>
        </row>
        <row r="137">
          <cell r="B137" t="str">
            <v>Holidays in Month</v>
          </cell>
        </row>
      </sheetData>
      <sheetData sheetId="5"/>
      <sheetData sheetId="6"/>
      <sheetData sheetId="7">
        <row r="4">
          <cell r="F4">
            <v>1.0760105974916543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Rate Class Energy Mode Usedl"/>
      <sheetName val="Rate Class Load Model"/>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 val="Sheet1"/>
      <sheetName val="App.2-R_Loss Factors"/>
      <sheetName val="RSL Loss Factor"/>
      <sheetName val="6. WS Regression Analysis 20Y"/>
      <sheetName val="6. WS Regression Analysis (2)"/>
      <sheetName val="6. WS Regression Analysis ( (3"/>
      <sheetName val="Sheet2"/>
    </sheetNames>
    <sheetDataSet>
      <sheetData sheetId="0" refreshError="1"/>
      <sheetData sheetId="1" refreshError="1"/>
      <sheetData sheetId="2" refreshError="1"/>
      <sheetData sheetId="3">
        <row r="17">
          <cell r="B17">
            <v>2005</v>
          </cell>
        </row>
      </sheetData>
      <sheetData sheetId="4">
        <row r="16">
          <cell r="B16" t="str">
            <v>HDD</v>
          </cell>
        </row>
        <row r="43">
          <cell r="B43" t="str">
            <v>CDD</v>
          </cell>
        </row>
        <row r="70">
          <cell r="B70" t="str">
            <v>Number of Days in Month</v>
          </cell>
        </row>
        <row r="100">
          <cell r="B100" t="str">
            <v>Spring/Fall Flag</v>
          </cell>
        </row>
        <row r="116">
          <cell r="B116" t="str">
            <v>Holidays in Month</v>
          </cell>
        </row>
        <row r="132">
          <cell r="B132" t="str">
            <v>HDD</v>
          </cell>
        </row>
        <row r="133">
          <cell r="B133" t="str">
            <v>CDD</v>
          </cell>
        </row>
        <row r="134">
          <cell r="B134" t="str">
            <v>Number of Days in Month</v>
          </cell>
        </row>
        <row r="135">
          <cell r="B135" t="str">
            <v>Population</v>
          </cell>
        </row>
        <row r="136">
          <cell r="B136" t="str">
            <v>Spring/Fall Flag</v>
          </cell>
        </row>
        <row r="137">
          <cell r="B137" t="str">
            <v>Holidays in Month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row r="19">
          <cell r="B19" t="str">
            <v>UNMETERED SCATTERED LOAD</v>
          </cell>
        </row>
        <row r="20">
          <cell r="B20" t="str">
            <v>RESIDENTIAL URBAN</v>
          </cell>
        </row>
        <row r="21">
          <cell r="B21" t="str">
            <v>microFIT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row r="24">
          <cell r="E24">
            <v>0</v>
          </cell>
        </row>
        <row r="26">
          <cell r="E26" t="str">
            <v/>
          </cell>
        </row>
        <row r="28">
          <cell r="E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refreshError="1"/>
      <sheetData sheetId="1" refreshError="1"/>
      <sheetData sheetId="2" refreshError="1"/>
      <sheetData sheetId="3" refreshError="1">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Rate App"/>
      <sheetName val="Summary"/>
      <sheetName val="Purchased Power Model"/>
      <sheetName val="StLawrence"/>
      <sheetName val="Rate Class Energy Model"/>
      <sheetName val="Rate Class Customer Model"/>
      <sheetName val="Rate Class Load Model"/>
      <sheetName val="Weather data"/>
      <sheetName val="Tables Used for Exhibits"/>
      <sheetName val="Exhibit 3 Energy by Rate Class"/>
      <sheetName val="RSL Loss Factor"/>
      <sheetName val="2011 COP"/>
      <sheetName val="2012 COP"/>
      <sheetName val="Sheet 1"/>
    </sheetNames>
    <sheetDataSet>
      <sheetData sheetId="0"/>
      <sheetData sheetId="1"/>
      <sheetData sheetId="2">
        <row r="115">
          <cell r="B115">
            <v>129569190</v>
          </cell>
        </row>
      </sheetData>
      <sheetData sheetId="3">
        <row r="29">
          <cell r="H29">
            <v>6094000</v>
          </cell>
        </row>
      </sheetData>
      <sheetData sheetId="4">
        <row r="11">
          <cell r="G11">
            <v>126336267</v>
          </cell>
        </row>
      </sheetData>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Rate App"/>
      <sheetName val="Summary"/>
      <sheetName val="Purchased Power Model"/>
      <sheetName val="StLawrence"/>
      <sheetName val="Rate Class Energy Model"/>
      <sheetName val="Rate Class Customer Model"/>
      <sheetName val="Rate Class Load Model"/>
      <sheetName val="Weather data"/>
      <sheetName val="Tables Used for Exhibits"/>
      <sheetName val="Exhibit 3 Energy by Rate Class"/>
      <sheetName val="RSL Loss Factor"/>
      <sheetName val="2011 COP"/>
      <sheetName val="2012 COP"/>
      <sheetName val="Sheet 1"/>
    </sheetNames>
    <sheetDataSet>
      <sheetData sheetId="0"/>
      <sheetData sheetId="1"/>
      <sheetData sheetId="2">
        <row r="115">
          <cell r="B115">
            <v>129569190</v>
          </cell>
        </row>
      </sheetData>
      <sheetData sheetId="3">
        <row r="29">
          <cell r="H29">
            <v>6094000</v>
          </cell>
        </row>
      </sheetData>
      <sheetData sheetId="4">
        <row r="11">
          <cell r="G11">
            <v>126336267</v>
          </cell>
        </row>
      </sheetData>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F5">
            <v>-444000</v>
          </cell>
          <cell r="G5">
            <v>14043460</v>
          </cell>
        </row>
        <row r="6">
          <cell r="F6">
            <v>-498000</v>
          </cell>
          <cell r="G6">
            <v>12095730</v>
          </cell>
        </row>
        <row r="7">
          <cell r="F7">
            <v>-484000</v>
          </cell>
          <cell r="G7">
            <v>12289830</v>
          </cell>
        </row>
        <row r="8">
          <cell r="F8">
            <v>-330000</v>
          </cell>
          <cell r="G8">
            <v>10028980</v>
          </cell>
        </row>
        <row r="9">
          <cell r="F9">
            <v>-432000</v>
          </cell>
          <cell r="G9">
            <v>9635640</v>
          </cell>
        </row>
        <row r="10">
          <cell r="F10">
            <v>-500000</v>
          </cell>
          <cell r="G10">
            <v>10690860</v>
          </cell>
        </row>
        <row r="11">
          <cell r="F11">
            <v>-676000</v>
          </cell>
          <cell r="G11">
            <v>11192530</v>
          </cell>
        </row>
        <row r="12">
          <cell r="F12">
            <v>-600000</v>
          </cell>
          <cell r="G12">
            <v>11098410</v>
          </cell>
        </row>
        <row r="13">
          <cell r="F13">
            <v>-472000</v>
          </cell>
          <cell r="G13">
            <v>9976880</v>
          </cell>
        </row>
        <row r="14">
          <cell r="F14">
            <v>-416000</v>
          </cell>
          <cell r="G14">
            <v>10338960</v>
          </cell>
        </row>
        <row r="15">
          <cell r="F15">
            <v>-634000</v>
          </cell>
          <cell r="G15">
            <v>11286470</v>
          </cell>
        </row>
        <row r="16">
          <cell r="F16">
            <v>-608000</v>
          </cell>
          <cell r="G16">
            <v>12985440</v>
          </cell>
        </row>
        <row r="17">
          <cell r="F17">
            <v>-392000</v>
          </cell>
          <cell r="G17">
            <v>12900470</v>
          </cell>
        </row>
        <row r="24">
          <cell r="C24">
            <v>12132585</v>
          </cell>
        </row>
        <row r="25">
          <cell r="C25">
            <v>10866454</v>
          </cell>
          <cell r="D25">
            <v>1799</v>
          </cell>
        </row>
        <row r="26">
          <cell r="C26">
            <v>11067608</v>
          </cell>
          <cell r="D26">
            <v>1033</v>
          </cell>
        </row>
        <row r="27">
          <cell r="C27">
            <v>9072415</v>
          </cell>
          <cell r="D27">
            <v>2402</v>
          </cell>
        </row>
        <row r="28">
          <cell r="C28">
            <v>8656277</v>
          </cell>
          <cell r="D28">
            <v>2602</v>
          </cell>
        </row>
        <row r="29">
          <cell r="C29">
            <v>8776092</v>
          </cell>
          <cell r="D29">
            <v>2828</v>
          </cell>
        </row>
        <row r="30">
          <cell r="C30">
            <v>9998192</v>
          </cell>
          <cell r="D30">
            <v>3389</v>
          </cell>
        </row>
        <row r="31">
          <cell r="C31">
            <v>9450654</v>
          </cell>
          <cell r="D31">
            <v>3782</v>
          </cell>
        </row>
        <row r="32">
          <cell r="C32">
            <v>8631923</v>
          </cell>
          <cell r="D32">
            <v>3038</v>
          </cell>
        </row>
        <row r="33">
          <cell r="C33">
            <v>8921515</v>
          </cell>
          <cell r="D33">
            <v>5616</v>
          </cell>
        </row>
        <row r="34">
          <cell r="C34">
            <v>9478715</v>
          </cell>
          <cell r="D34">
            <v>3860</v>
          </cell>
        </row>
        <row r="35">
          <cell r="C35">
            <v>10916892</v>
          </cell>
          <cell r="D35">
            <v>2771</v>
          </cell>
        </row>
        <row r="36">
          <cell r="C36">
            <v>11698538</v>
          </cell>
          <cell r="D36">
            <v>1792</v>
          </cell>
        </row>
        <row r="37">
          <cell r="C37">
            <v>10394346</v>
          </cell>
          <cell r="D37">
            <v>1495</v>
          </cell>
        </row>
        <row r="38">
          <cell r="C38">
            <v>9868346</v>
          </cell>
          <cell r="D38">
            <v>3678</v>
          </cell>
        </row>
        <row r="39">
          <cell r="C39">
            <v>8701738</v>
          </cell>
          <cell r="D39">
            <v>5711</v>
          </cell>
        </row>
        <row r="40">
          <cell r="C40">
            <v>8473818</v>
          </cell>
          <cell r="D40">
            <v>6666</v>
          </cell>
        </row>
        <row r="41">
          <cell r="C41">
            <v>9028518</v>
          </cell>
          <cell r="D41">
            <v>8514</v>
          </cell>
        </row>
        <row r="42">
          <cell r="C42">
            <v>9776500</v>
          </cell>
          <cell r="D42">
            <v>8372</v>
          </cell>
        </row>
        <row r="43">
          <cell r="C43">
            <v>9430200</v>
          </cell>
          <cell r="D43">
            <v>8141</v>
          </cell>
        </row>
        <row r="44">
          <cell r="C44">
            <v>8456345</v>
          </cell>
          <cell r="D44">
            <v>7448</v>
          </cell>
        </row>
        <row r="45">
          <cell r="C45">
            <v>8663345</v>
          </cell>
          <cell r="D45">
            <v>6062</v>
          </cell>
        </row>
        <row r="46">
          <cell r="C46">
            <v>9765918</v>
          </cell>
          <cell r="D46">
            <v>3812</v>
          </cell>
        </row>
        <row r="47">
          <cell r="C47">
            <v>10958364</v>
          </cell>
          <cell r="D47">
            <v>3380</v>
          </cell>
        </row>
        <row r="48">
          <cell r="C48">
            <v>11999817</v>
          </cell>
          <cell r="D48">
            <v>1235</v>
          </cell>
        </row>
        <row r="49">
          <cell r="C49">
            <v>10701983</v>
          </cell>
          <cell r="D49">
            <v>1814</v>
          </cell>
        </row>
        <row r="50">
          <cell r="C50">
            <v>10574475</v>
          </cell>
          <cell r="D50">
            <v>2546</v>
          </cell>
        </row>
        <row r="51">
          <cell r="C51">
            <v>9116700</v>
          </cell>
          <cell r="D51">
            <v>4962</v>
          </cell>
        </row>
        <row r="52">
          <cell r="C52">
            <v>8204917</v>
          </cell>
          <cell r="D52">
            <v>6326</v>
          </cell>
        </row>
        <row r="53">
          <cell r="C53">
            <v>8279408</v>
          </cell>
          <cell r="D53">
            <v>8173</v>
          </cell>
        </row>
        <row r="54">
          <cell r="C54">
            <v>9591758</v>
          </cell>
          <cell r="D54">
            <v>6943</v>
          </cell>
        </row>
        <row r="55">
          <cell r="C55">
            <v>9610958</v>
          </cell>
          <cell r="D55">
            <v>8290</v>
          </cell>
        </row>
        <row r="56">
          <cell r="C56">
            <v>8187217</v>
          </cell>
          <cell r="D56">
            <v>7556</v>
          </cell>
        </row>
        <row r="57">
          <cell r="C57">
            <v>8725825</v>
          </cell>
          <cell r="D57">
            <v>6244</v>
          </cell>
        </row>
        <row r="58">
          <cell r="C58">
            <v>9926917</v>
          </cell>
          <cell r="D58">
            <v>4461</v>
          </cell>
        </row>
        <row r="59">
          <cell r="C59">
            <v>11614675</v>
          </cell>
          <cell r="D59">
            <v>2266</v>
          </cell>
        </row>
        <row r="60">
          <cell r="C60">
            <v>12521267</v>
          </cell>
          <cell r="D60">
            <v>864</v>
          </cell>
        </row>
        <row r="61">
          <cell r="C61">
            <v>10693642</v>
          </cell>
          <cell r="D61">
            <v>1826</v>
          </cell>
        </row>
        <row r="62">
          <cell r="C62">
            <v>11270883</v>
          </cell>
          <cell r="D62">
            <v>2647</v>
          </cell>
        </row>
        <row r="63">
          <cell r="C63">
            <v>9026483</v>
          </cell>
          <cell r="D63">
            <v>5510</v>
          </cell>
        </row>
        <row r="64">
          <cell r="C64">
            <v>8278885</v>
          </cell>
          <cell r="D64">
            <v>8035</v>
          </cell>
        </row>
        <row r="65">
          <cell r="C65">
            <v>8570154</v>
          </cell>
          <cell r="D65">
            <v>9577</v>
          </cell>
        </row>
        <row r="66">
          <cell r="C66">
            <v>9070654</v>
          </cell>
          <cell r="D66">
            <v>9467</v>
          </cell>
        </row>
        <row r="67">
          <cell r="C67">
            <v>8980123</v>
          </cell>
          <cell r="D67">
            <v>9127</v>
          </cell>
        </row>
        <row r="68">
          <cell r="C68">
            <v>8455877</v>
          </cell>
          <cell r="D68">
            <v>8673</v>
          </cell>
        </row>
        <row r="69">
          <cell r="C69">
            <v>8663323</v>
          </cell>
          <cell r="D69">
            <v>7439</v>
          </cell>
        </row>
        <row r="70">
          <cell r="C70">
            <v>9594308</v>
          </cell>
          <cell r="D70">
            <v>4365</v>
          </cell>
        </row>
        <row r="71">
          <cell r="C71">
            <v>10753031</v>
          </cell>
          <cell r="D71">
            <v>2388</v>
          </cell>
        </row>
        <row r="72">
          <cell r="C72">
            <v>12178875.15</v>
          </cell>
          <cell r="D72">
            <v>2052</v>
          </cell>
        </row>
        <row r="73">
          <cell r="C73">
            <v>11445612.18</v>
          </cell>
          <cell r="D73">
            <v>2693</v>
          </cell>
        </row>
        <row r="74">
          <cell r="C74">
            <v>10922675.359999999</v>
          </cell>
          <cell r="D74">
            <v>2302</v>
          </cell>
        </row>
        <row r="75">
          <cell r="C75">
            <v>8724747</v>
          </cell>
          <cell r="D75">
            <v>7189</v>
          </cell>
        </row>
        <row r="76">
          <cell r="C76">
            <v>8214245.5700000003</v>
          </cell>
          <cell r="D76">
            <v>8877</v>
          </cell>
        </row>
        <row r="77">
          <cell r="C77">
            <v>8082238.46</v>
          </cell>
          <cell r="D77">
            <v>10420</v>
          </cell>
        </row>
        <row r="78">
          <cell r="C78">
            <v>8969560.4600000009</v>
          </cell>
          <cell r="D78">
            <v>9244</v>
          </cell>
        </row>
        <row r="79">
          <cell r="C79">
            <v>8928792.9100000001</v>
          </cell>
          <cell r="D79">
            <v>10629</v>
          </cell>
        </row>
        <row r="80">
          <cell r="C80">
            <v>8487585.6799999997</v>
          </cell>
          <cell r="D80">
            <v>9115</v>
          </cell>
        </row>
        <row r="81">
          <cell r="C81">
            <v>8442807.8100000005</v>
          </cell>
          <cell r="D81">
            <v>7694</v>
          </cell>
        </row>
        <row r="82">
          <cell r="C82">
            <v>8788398.0199999996</v>
          </cell>
          <cell r="D82">
            <v>5620</v>
          </cell>
        </row>
        <row r="83">
          <cell r="C83">
            <v>9419775.3499999996</v>
          </cell>
          <cell r="D83">
            <v>3629</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eak hours"/>
    </sheetNames>
    <sheetDataSet>
      <sheetData sheetId="0">
        <row r="4">
          <cell r="C4">
            <v>1</v>
          </cell>
        </row>
        <row r="5">
          <cell r="C5">
            <v>0</v>
          </cell>
        </row>
        <row r="6">
          <cell r="C6">
            <v>2</v>
          </cell>
        </row>
        <row r="7">
          <cell r="C7">
            <v>0</v>
          </cell>
        </row>
        <row r="8">
          <cell r="C8">
            <v>1</v>
          </cell>
        </row>
        <row r="9">
          <cell r="C9">
            <v>0</v>
          </cell>
        </row>
        <row r="10">
          <cell r="C10">
            <v>1</v>
          </cell>
        </row>
        <row r="11">
          <cell r="C11">
            <v>1</v>
          </cell>
        </row>
        <row r="12">
          <cell r="C12">
            <v>1</v>
          </cell>
        </row>
        <row r="13">
          <cell r="C13">
            <v>1</v>
          </cell>
        </row>
        <row r="14">
          <cell r="C14">
            <v>0</v>
          </cell>
        </row>
        <row r="15">
          <cell r="C15">
            <v>2</v>
          </cell>
        </row>
        <row r="16">
          <cell r="C16">
            <v>1</v>
          </cell>
        </row>
        <row r="17">
          <cell r="C17">
            <v>0</v>
          </cell>
        </row>
        <row r="18">
          <cell r="C18">
            <v>0</v>
          </cell>
        </row>
        <row r="19">
          <cell r="C19">
            <v>2</v>
          </cell>
        </row>
        <row r="20">
          <cell r="C20">
            <v>1</v>
          </cell>
        </row>
        <row r="21">
          <cell r="C21">
            <v>0</v>
          </cell>
        </row>
        <row r="22">
          <cell r="C22">
            <v>1</v>
          </cell>
        </row>
        <row r="23">
          <cell r="C23">
            <v>1</v>
          </cell>
        </row>
        <row r="24">
          <cell r="C24">
            <v>1</v>
          </cell>
        </row>
        <row r="25">
          <cell r="C25">
            <v>1</v>
          </cell>
        </row>
        <row r="26">
          <cell r="C26">
            <v>0</v>
          </cell>
        </row>
        <row r="27">
          <cell r="C27">
            <v>2</v>
          </cell>
        </row>
        <row r="28">
          <cell r="C28">
            <v>1</v>
          </cell>
        </row>
        <row r="29">
          <cell r="C29">
            <v>0</v>
          </cell>
        </row>
        <row r="30">
          <cell r="C30">
            <v>0</v>
          </cell>
        </row>
        <row r="31">
          <cell r="C31">
            <v>2</v>
          </cell>
        </row>
        <row r="32">
          <cell r="C32">
            <v>1</v>
          </cell>
        </row>
        <row r="33">
          <cell r="C33">
            <v>0</v>
          </cell>
        </row>
        <row r="34">
          <cell r="C34">
            <v>1</v>
          </cell>
        </row>
        <row r="35">
          <cell r="C35">
            <v>1</v>
          </cell>
        </row>
        <row r="36">
          <cell r="C36">
            <v>1</v>
          </cell>
        </row>
        <row r="37">
          <cell r="C37">
            <v>1</v>
          </cell>
        </row>
        <row r="38">
          <cell r="C38">
            <v>0</v>
          </cell>
        </row>
        <row r="39">
          <cell r="C39">
            <v>2</v>
          </cell>
        </row>
        <row r="40">
          <cell r="C40">
            <v>1</v>
          </cell>
        </row>
        <row r="41">
          <cell r="C41">
            <v>1</v>
          </cell>
        </row>
        <row r="42">
          <cell r="C42">
            <v>2</v>
          </cell>
        </row>
        <row r="43">
          <cell r="C43">
            <v>0</v>
          </cell>
        </row>
        <row r="44">
          <cell r="C44">
            <v>1</v>
          </cell>
        </row>
        <row r="45">
          <cell r="C45">
            <v>0</v>
          </cell>
        </row>
        <row r="46">
          <cell r="C46">
            <v>1</v>
          </cell>
        </row>
        <row r="47">
          <cell r="C47">
            <v>1</v>
          </cell>
        </row>
        <row r="48">
          <cell r="C48">
            <v>1</v>
          </cell>
        </row>
        <row r="49">
          <cell r="C49">
            <v>1</v>
          </cell>
        </row>
        <row r="50">
          <cell r="C50">
            <v>0</v>
          </cell>
        </row>
        <row r="51">
          <cell r="C51">
            <v>2</v>
          </cell>
        </row>
        <row r="52">
          <cell r="C52">
            <v>1</v>
          </cell>
        </row>
        <row r="53">
          <cell r="C53">
            <v>1</v>
          </cell>
        </row>
        <row r="54">
          <cell r="C54">
            <v>0</v>
          </cell>
        </row>
        <row r="55">
          <cell r="C55">
            <v>2</v>
          </cell>
        </row>
        <row r="56">
          <cell r="C56">
            <v>1</v>
          </cell>
        </row>
        <row r="57">
          <cell r="C57">
            <v>0</v>
          </cell>
        </row>
        <row r="58">
          <cell r="C58">
            <v>1</v>
          </cell>
        </row>
        <row r="59">
          <cell r="C59">
            <v>1</v>
          </cell>
        </row>
        <row r="60">
          <cell r="C60">
            <v>1</v>
          </cell>
        </row>
        <row r="61">
          <cell r="C61">
            <v>1</v>
          </cell>
        </row>
        <row r="62">
          <cell r="C62">
            <v>0</v>
          </cell>
        </row>
        <row r="63">
          <cell r="C63">
            <v>2</v>
          </cell>
        </row>
        <row r="64">
          <cell r="C64">
            <v>1</v>
          </cell>
        </row>
        <row r="65">
          <cell r="C65">
            <v>1</v>
          </cell>
        </row>
        <row r="66">
          <cell r="C66">
            <v>0</v>
          </cell>
        </row>
        <row r="67">
          <cell r="C67">
            <v>2</v>
          </cell>
        </row>
        <row r="68">
          <cell r="C68">
            <v>1</v>
          </cell>
        </row>
        <row r="69">
          <cell r="C69">
            <v>0</v>
          </cell>
        </row>
        <row r="70">
          <cell r="C70">
            <v>1</v>
          </cell>
        </row>
        <row r="71">
          <cell r="C71">
            <v>1</v>
          </cell>
        </row>
        <row r="72">
          <cell r="C72">
            <v>1</v>
          </cell>
        </row>
        <row r="73">
          <cell r="C73">
            <v>1</v>
          </cell>
        </row>
        <row r="74">
          <cell r="C74">
            <v>0</v>
          </cell>
        </row>
        <row r="75">
          <cell r="C75">
            <v>2</v>
          </cell>
        </row>
        <row r="76">
          <cell r="C76">
            <v>1</v>
          </cell>
        </row>
        <row r="77">
          <cell r="C77">
            <v>1</v>
          </cell>
        </row>
        <row r="78">
          <cell r="C78">
            <v>0</v>
          </cell>
        </row>
        <row r="79">
          <cell r="C79">
            <v>2</v>
          </cell>
        </row>
        <row r="80">
          <cell r="C80">
            <v>1</v>
          </cell>
        </row>
        <row r="81">
          <cell r="C81">
            <v>0</v>
          </cell>
        </row>
        <row r="82">
          <cell r="C82">
            <v>1</v>
          </cell>
        </row>
        <row r="83">
          <cell r="C83">
            <v>1</v>
          </cell>
        </row>
        <row r="84">
          <cell r="C84">
            <v>1</v>
          </cell>
        </row>
        <row r="85">
          <cell r="C85">
            <v>1</v>
          </cell>
        </row>
        <row r="86">
          <cell r="C86">
            <v>0</v>
          </cell>
        </row>
        <row r="87">
          <cell r="C87">
            <v>2</v>
          </cell>
        </row>
        <row r="88">
          <cell r="C88">
            <v>1</v>
          </cell>
        </row>
        <row r="89">
          <cell r="C89">
            <v>1</v>
          </cell>
        </row>
        <row r="90">
          <cell r="C90">
            <v>0</v>
          </cell>
        </row>
        <row r="91">
          <cell r="C91">
            <v>2</v>
          </cell>
        </row>
        <row r="92">
          <cell r="C92">
            <v>1</v>
          </cell>
        </row>
        <row r="93">
          <cell r="C93">
            <v>0</v>
          </cell>
        </row>
        <row r="94">
          <cell r="C94">
            <v>1</v>
          </cell>
        </row>
        <row r="95">
          <cell r="C95">
            <v>1</v>
          </cell>
        </row>
        <row r="96">
          <cell r="C96">
            <v>1</v>
          </cell>
        </row>
        <row r="97">
          <cell r="C97">
            <v>1</v>
          </cell>
        </row>
        <row r="98">
          <cell r="C98">
            <v>0</v>
          </cell>
        </row>
        <row r="99">
          <cell r="C99">
            <v>2</v>
          </cell>
        </row>
        <row r="100">
          <cell r="C100">
            <v>1</v>
          </cell>
        </row>
        <row r="101">
          <cell r="C101">
            <v>1</v>
          </cell>
        </row>
        <row r="102">
          <cell r="C102">
            <v>1</v>
          </cell>
        </row>
        <row r="103">
          <cell r="C103">
            <v>1</v>
          </cell>
        </row>
        <row r="104">
          <cell r="C104">
            <v>1</v>
          </cell>
        </row>
        <row r="105">
          <cell r="C105">
            <v>0</v>
          </cell>
        </row>
        <row r="106">
          <cell r="C106">
            <v>1</v>
          </cell>
        </row>
        <row r="107">
          <cell r="C107">
            <v>1</v>
          </cell>
        </row>
        <row r="108">
          <cell r="C108">
            <v>1</v>
          </cell>
        </row>
        <row r="109">
          <cell r="C109">
            <v>1</v>
          </cell>
        </row>
        <row r="110">
          <cell r="C110">
            <v>0</v>
          </cell>
        </row>
        <row r="111">
          <cell r="C111">
            <v>2</v>
          </cell>
        </row>
        <row r="112">
          <cell r="C112">
            <v>1</v>
          </cell>
        </row>
        <row r="113">
          <cell r="C113">
            <v>1</v>
          </cell>
        </row>
        <row r="114">
          <cell r="C114">
            <v>0</v>
          </cell>
        </row>
        <row r="115">
          <cell r="C115">
            <v>2</v>
          </cell>
        </row>
        <row r="116">
          <cell r="C116">
            <v>1</v>
          </cell>
        </row>
        <row r="117">
          <cell r="C117">
            <v>0</v>
          </cell>
        </row>
        <row r="118">
          <cell r="C118">
            <v>1</v>
          </cell>
        </row>
        <row r="119">
          <cell r="C119">
            <v>1</v>
          </cell>
        </row>
        <row r="120">
          <cell r="C120">
            <v>1</v>
          </cell>
        </row>
        <row r="121">
          <cell r="C121">
            <v>1</v>
          </cell>
        </row>
        <row r="122">
          <cell r="C122">
            <v>0</v>
          </cell>
        </row>
        <row r="123">
          <cell r="C123">
            <v>2</v>
          </cell>
        </row>
        <row r="124">
          <cell r="C124">
            <v>1</v>
          </cell>
        </row>
        <row r="125">
          <cell r="C125">
            <v>1</v>
          </cell>
        </row>
        <row r="126">
          <cell r="C126">
            <v>0</v>
          </cell>
        </row>
        <row r="127">
          <cell r="C127">
            <v>2</v>
          </cell>
        </row>
        <row r="128">
          <cell r="C128">
            <v>1</v>
          </cell>
        </row>
        <row r="129">
          <cell r="C129">
            <v>0</v>
          </cell>
        </row>
        <row r="130">
          <cell r="C130">
            <v>1</v>
          </cell>
        </row>
        <row r="131">
          <cell r="C131">
            <v>1</v>
          </cell>
        </row>
        <row r="132">
          <cell r="C132">
            <v>1</v>
          </cell>
        </row>
        <row r="133">
          <cell r="C133">
            <v>1</v>
          </cell>
        </row>
        <row r="134">
          <cell r="C134">
            <v>0</v>
          </cell>
        </row>
        <row r="135">
          <cell r="C135">
            <v>2</v>
          </cell>
        </row>
        <row r="136">
          <cell r="C136">
            <v>1</v>
          </cell>
        </row>
        <row r="137">
          <cell r="C137">
            <v>1</v>
          </cell>
        </row>
        <row r="138">
          <cell r="C138">
            <v>2</v>
          </cell>
        </row>
        <row r="139">
          <cell r="C139">
            <v>0</v>
          </cell>
        </row>
        <row r="140">
          <cell r="C140">
            <v>1</v>
          </cell>
        </row>
        <row r="141">
          <cell r="C141">
            <v>0</v>
          </cell>
        </row>
        <row r="142">
          <cell r="C142">
            <v>1</v>
          </cell>
        </row>
        <row r="143">
          <cell r="C143">
            <v>1</v>
          </cell>
        </row>
        <row r="144">
          <cell r="C144">
            <v>1</v>
          </cell>
        </row>
        <row r="145">
          <cell r="C145">
            <v>1</v>
          </cell>
        </row>
        <row r="146">
          <cell r="C146">
            <v>0</v>
          </cell>
        </row>
        <row r="147">
          <cell r="C147">
            <v>2</v>
          </cell>
        </row>
      </sheetData>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2014"/>
      <sheetName val="Sheet1"/>
      <sheetName val="Sheet2"/>
      <sheetName val="Sheet3"/>
    </sheetNames>
    <sheetDataSet>
      <sheetData sheetId="0">
        <row r="8">
          <cell r="I8">
            <v>46438361</v>
          </cell>
          <cell r="K8">
            <v>4931</v>
          </cell>
          <cell r="L8">
            <v>23490754</v>
          </cell>
          <cell r="N8">
            <v>770</v>
          </cell>
          <cell r="O8">
            <v>54683320</v>
          </cell>
          <cell r="P8">
            <v>139429</v>
          </cell>
          <cell r="Q8">
            <v>67</v>
          </cell>
          <cell r="R8">
            <v>94884</v>
          </cell>
          <cell r="S8">
            <v>261</v>
          </cell>
          <cell r="T8">
            <v>56</v>
          </cell>
          <cell r="U8">
            <v>1359556</v>
          </cell>
          <cell r="V8">
            <v>3764</v>
          </cell>
          <cell r="W8">
            <v>1633</v>
          </cell>
          <cell r="X8">
            <v>269392</v>
          </cell>
          <cell r="Z8">
            <v>49</v>
          </cell>
        </row>
        <row r="9">
          <cell r="I9">
            <v>44440685</v>
          </cell>
          <cell r="K9">
            <v>4962</v>
          </cell>
          <cell r="L9">
            <v>22220025</v>
          </cell>
          <cell r="N9">
            <v>771</v>
          </cell>
          <cell r="O9">
            <v>48405425</v>
          </cell>
          <cell r="P9">
            <v>133580</v>
          </cell>
          <cell r="Q9">
            <v>65</v>
          </cell>
          <cell r="R9">
            <v>102394</v>
          </cell>
          <cell r="S9">
            <v>284</v>
          </cell>
          <cell r="T9">
            <v>67</v>
          </cell>
          <cell r="U9">
            <v>1341413</v>
          </cell>
          <cell r="V9">
            <v>3772</v>
          </cell>
          <cell r="W9">
            <v>1641</v>
          </cell>
          <cell r="X9">
            <v>304493</v>
          </cell>
          <cell r="Z9">
            <v>50</v>
          </cell>
        </row>
        <row r="10">
          <cell r="I10">
            <v>45086486</v>
          </cell>
          <cell r="K10">
            <v>4967</v>
          </cell>
          <cell r="L10">
            <v>22360087</v>
          </cell>
          <cell r="N10">
            <v>784</v>
          </cell>
          <cell r="O10">
            <v>44734117</v>
          </cell>
          <cell r="P10">
            <v>118636</v>
          </cell>
          <cell r="Q10">
            <v>65</v>
          </cell>
          <cell r="R10">
            <v>102933</v>
          </cell>
          <cell r="S10">
            <v>286</v>
          </cell>
          <cell r="T10">
            <v>67</v>
          </cell>
          <cell r="U10">
            <v>1392325</v>
          </cell>
          <cell r="V10">
            <v>3777</v>
          </cell>
          <cell r="W10">
            <v>1644</v>
          </cell>
          <cell r="X10">
            <v>322716</v>
          </cell>
          <cell r="Z10">
            <v>48</v>
          </cell>
        </row>
        <row r="11">
          <cell r="I11">
            <v>44465236</v>
          </cell>
          <cell r="K11">
            <v>4966</v>
          </cell>
          <cell r="L11">
            <v>21119955</v>
          </cell>
          <cell r="N11">
            <v>778</v>
          </cell>
          <cell r="O11">
            <v>44381852</v>
          </cell>
          <cell r="P11">
            <v>124007</v>
          </cell>
          <cell r="Q11">
            <v>66</v>
          </cell>
          <cell r="R11">
            <v>100161</v>
          </cell>
          <cell r="S11">
            <v>278</v>
          </cell>
          <cell r="T11">
            <v>67</v>
          </cell>
          <cell r="U11">
            <v>1394217</v>
          </cell>
          <cell r="V11">
            <v>3782</v>
          </cell>
          <cell r="W11">
            <v>1637</v>
          </cell>
          <cell r="X11">
            <v>323685</v>
          </cell>
          <cell r="Z11">
            <v>49</v>
          </cell>
        </row>
        <row r="12">
          <cell r="I12">
            <v>44337599</v>
          </cell>
          <cell r="K12">
            <v>4974</v>
          </cell>
          <cell r="L12">
            <v>20399815</v>
          </cell>
          <cell r="N12">
            <v>774</v>
          </cell>
          <cell r="O12">
            <v>43092665</v>
          </cell>
          <cell r="P12">
            <v>130261</v>
          </cell>
          <cell r="Q12">
            <v>66</v>
          </cell>
          <cell r="R12">
            <v>108556</v>
          </cell>
          <cell r="S12">
            <v>301</v>
          </cell>
          <cell r="T12">
            <v>75</v>
          </cell>
          <cell r="U12">
            <v>1393923</v>
          </cell>
          <cell r="V12">
            <v>3774</v>
          </cell>
          <cell r="W12">
            <v>1640</v>
          </cell>
          <cell r="X12">
            <v>348019</v>
          </cell>
          <cell r="Z12">
            <v>49</v>
          </cell>
        </row>
        <row r="13">
          <cell r="I13">
            <v>44191614</v>
          </cell>
          <cell r="K13">
            <v>4982</v>
          </cell>
          <cell r="L13">
            <v>20418777</v>
          </cell>
          <cell r="N13">
            <v>770</v>
          </cell>
          <cell r="O13">
            <v>41354016</v>
          </cell>
          <cell r="P13">
            <v>132433</v>
          </cell>
          <cell r="Q13">
            <v>66</v>
          </cell>
          <cell r="R13">
            <v>108277</v>
          </cell>
          <cell r="S13">
            <v>301</v>
          </cell>
          <cell r="T13">
            <v>75</v>
          </cell>
          <cell r="U13">
            <v>1429699</v>
          </cell>
          <cell r="V13">
            <v>3857</v>
          </cell>
          <cell r="W13">
            <v>1701</v>
          </cell>
          <cell r="X13">
            <v>337164</v>
          </cell>
          <cell r="Z13">
            <v>48</v>
          </cell>
        </row>
        <row r="14">
          <cell r="I14">
            <v>43287278</v>
          </cell>
          <cell r="K14">
            <v>5004</v>
          </cell>
          <cell r="L14">
            <v>20434679</v>
          </cell>
          <cell r="N14">
            <v>769</v>
          </cell>
          <cell r="O14">
            <v>43031208</v>
          </cell>
          <cell r="P14">
            <v>130762</v>
          </cell>
          <cell r="Q14">
            <v>66</v>
          </cell>
          <cell r="R14">
            <v>108262</v>
          </cell>
          <cell r="S14">
            <v>300</v>
          </cell>
          <cell r="T14">
            <v>75</v>
          </cell>
          <cell r="U14">
            <v>1453874</v>
          </cell>
          <cell r="V14">
            <v>3941</v>
          </cell>
          <cell r="W14">
            <v>1703</v>
          </cell>
          <cell r="X14">
            <v>495379</v>
          </cell>
          <cell r="Z14">
            <v>59</v>
          </cell>
        </row>
        <row r="15">
          <cell r="I15">
            <v>42116982</v>
          </cell>
          <cell r="K15">
            <v>5025</v>
          </cell>
          <cell r="L15">
            <v>19669183</v>
          </cell>
          <cell r="N15">
            <v>770</v>
          </cell>
          <cell r="O15">
            <v>42549997</v>
          </cell>
          <cell r="P15">
            <v>125469</v>
          </cell>
          <cell r="Q15">
            <v>67</v>
          </cell>
          <cell r="R15">
            <v>108266</v>
          </cell>
          <cell r="S15">
            <v>300</v>
          </cell>
          <cell r="T15">
            <v>75</v>
          </cell>
          <cell r="U15">
            <v>1453808</v>
          </cell>
          <cell r="V15">
            <v>3919</v>
          </cell>
          <cell r="W15">
            <v>1703</v>
          </cell>
          <cell r="X15">
            <v>499265</v>
          </cell>
          <cell r="Z15">
            <v>60</v>
          </cell>
        </row>
        <row r="16">
          <cell r="I16">
            <v>42764838</v>
          </cell>
          <cell r="K16">
            <v>5035</v>
          </cell>
          <cell r="L16">
            <v>20094189</v>
          </cell>
          <cell r="N16">
            <v>759</v>
          </cell>
          <cell r="O16">
            <v>42246503</v>
          </cell>
          <cell r="P16">
            <v>133148</v>
          </cell>
          <cell r="Q16">
            <v>65</v>
          </cell>
          <cell r="R16">
            <v>108281</v>
          </cell>
          <cell r="S16">
            <v>300</v>
          </cell>
          <cell r="T16">
            <v>75</v>
          </cell>
          <cell r="U16">
            <v>1447303</v>
          </cell>
          <cell r="V16">
            <v>3920</v>
          </cell>
          <cell r="W16">
            <v>1707</v>
          </cell>
          <cell r="X16">
            <v>531898</v>
          </cell>
          <cell r="Z16">
            <v>61</v>
          </cell>
        </row>
        <row r="17">
          <cell r="I17">
            <v>42272228</v>
          </cell>
          <cell r="K17">
            <v>5040</v>
          </cell>
          <cell r="L17">
            <v>20739791</v>
          </cell>
          <cell r="N17">
            <v>754</v>
          </cell>
          <cell r="O17">
            <v>42584416</v>
          </cell>
          <cell r="P17">
            <v>131947</v>
          </cell>
          <cell r="Q17">
            <v>64</v>
          </cell>
          <cell r="R17">
            <v>109302</v>
          </cell>
          <cell r="S17">
            <v>302</v>
          </cell>
          <cell r="T17">
            <v>75</v>
          </cell>
          <cell r="U17">
            <v>1321505</v>
          </cell>
          <cell r="V17">
            <v>3620</v>
          </cell>
          <cell r="W17">
            <v>1707</v>
          </cell>
          <cell r="X17">
            <v>565759</v>
          </cell>
          <cell r="Z17">
            <v>61</v>
          </cell>
        </row>
        <row r="109">
          <cell r="D109">
            <v>40938310.960000001</v>
          </cell>
        </row>
        <row r="110">
          <cell r="D110">
            <v>20653133.002</v>
          </cell>
        </row>
        <row r="111">
          <cell r="D111">
            <v>40918077</v>
          </cell>
          <cell r="E111">
            <v>125734.44</v>
          </cell>
        </row>
        <row r="112">
          <cell r="D112">
            <v>1052678</v>
          </cell>
          <cell r="E112">
            <v>2861.6</v>
          </cell>
        </row>
        <row r="113">
          <cell r="D113">
            <v>109502</v>
          </cell>
          <cell r="E113">
            <v>302</v>
          </cell>
        </row>
        <row r="114">
          <cell r="D114">
            <v>543571</v>
          </cell>
        </row>
      </sheetData>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M Allocation"/>
      <sheetName val="Streetlighting CDM"/>
      <sheetName val="Streetlighting CDM (2)"/>
      <sheetName val="Sheet2"/>
    </sheetNames>
    <sheetDataSet>
      <sheetData sheetId="0">
        <row r="18">
          <cell r="G18">
            <v>0.20390670380056908</v>
          </cell>
          <cell r="H18">
            <v>0.15189886707560737</v>
          </cell>
          <cell r="I18">
            <v>0.64419442912382352</v>
          </cell>
        </row>
      </sheetData>
      <sheetData sheetId="1">
        <row r="56">
          <cell r="G56">
            <v>282131.85314475012</v>
          </cell>
          <cell r="K56">
            <v>290461.13189379766</v>
          </cell>
        </row>
      </sheetData>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C9">
            <v>1.014</v>
          </cell>
          <cell r="D9">
            <v>1.014</v>
          </cell>
          <cell r="E9">
            <v>1.014</v>
          </cell>
          <cell r="F9">
            <v>0.92800000000000005</v>
          </cell>
        </row>
        <row r="10">
          <cell r="C10">
            <v>-0.14699999999999999</v>
          </cell>
          <cell r="D10">
            <v>0.47499999999999998</v>
          </cell>
          <cell r="E10">
            <v>0.47499999999999998</v>
          </cell>
          <cell r="F10">
            <v>0.47499999999999998</v>
          </cell>
        </row>
        <row r="11">
          <cell r="C11">
            <v>0</v>
          </cell>
          <cell r="D11">
            <v>7.0000000000000001E-3</v>
          </cell>
          <cell r="E11">
            <v>0.28000000000000003</v>
          </cell>
          <cell r="F11">
            <v>0.28000000000000003</v>
          </cell>
        </row>
        <row r="12">
          <cell r="D12">
            <v>9.9000000000000005E-2</v>
          </cell>
          <cell r="E12">
            <v>0.126</v>
          </cell>
          <cell r="F12">
            <v>1.2110000000000001</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sheetData sheetId="2">
        <row r="19">
          <cell r="E19">
            <v>415.55269487282038</v>
          </cell>
          <cell r="F19">
            <v>415.55269487282038</v>
          </cell>
          <cell r="G19">
            <v>415.55269487282038</v>
          </cell>
          <cell r="H19">
            <v>415.55269487282038</v>
          </cell>
          <cell r="I19">
            <v>72.172301702875501</v>
          </cell>
          <cell r="J19">
            <v>72.172301702875501</v>
          </cell>
          <cell r="K19">
            <v>66.018006726847346</v>
          </cell>
          <cell r="L19">
            <v>66.018006726847346</v>
          </cell>
          <cell r="M19">
            <v>62.034088982352685</v>
          </cell>
          <cell r="N19">
            <v>62.034088982352685</v>
          </cell>
          <cell r="O19">
            <v>58.608530728798215</v>
          </cell>
        </row>
        <row r="20">
          <cell r="F20">
            <v>333.55357076283673</v>
          </cell>
          <cell r="G20">
            <v>237.97483517482442</v>
          </cell>
          <cell r="H20">
            <v>226.1541924168321</v>
          </cell>
          <cell r="I20">
            <v>226.1541924168321</v>
          </cell>
          <cell r="J20">
            <v>225.99892110914436</v>
          </cell>
          <cell r="K20">
            <v>219.86694770573743</v>
          </cell>
          <cell r="L20">
            <v>219.86694770573743</v>
          </cell>
          <cell r="M20">
            <v>219.86694770573743</v>
          </cell>
          <cell r="N20">
            <v>85.173205446111922</v>
          </cell>
          <cell r="O20">
            <v>51.547191357416935</v>
          </cell>
        </row>
        <row r="21">
          <cell r="G21">
            <v>386.16137392585819</v>
          </cell>
          <cell r="H21">
            <v>336.57625334211514</v>
          </cell>
          <cell r="I21">
            <v>336.57625334211514</v>
          </cell>
          <cell r="J21">
            <v>336.57625334211514</v>
          </cell>
          <cell r="K21">
            <v>316.58993506054526</v>
          </cell>
          <cell r="L21">
            <v>316.16441506054531</v>
          </cell>
          <cell r="M21">
            <v>295.79524860914103</v>
          </cell>
          <cell r="N21">
            <v>280.57775641037466</v>
          </cell>
          <cell r="O21">
            <v>217.80913852963698</v>
          </cell>
        </row>
        <row r="22">
          <cell r="H22">
            <v>823.88674545574236</v>
          </cell>
          <cell r="I22">
            <v>753.9467189411165</v>
          </cell>
          <cell r="J22">
            <v>753.9467189411165</v>
          </cell>
          <cell r="K22">
            <v>753.11627831212445</v>
          </cell>
          <cell r="L22">
            <v>725.05040238512959</v>
          </cell>
          <cell r="M22">
            <v>654.15012527158876</v>
          </cell>
          <cell r="N22">
            <v>643.46090401315996</v>
          </cell>
          <cell r="O22">
            <v>643.2276728764499</v>
          </cell>
        </row>
        <row r="23">
          <cell r="I23">
            <v>490.6592263035426</v>
          </cell>
          <cell r="J23">
            <v>372.93592627486282</v>
          </cell>
          <cell r="K23">
            <v>372.35519439150494</v>
          </cell>
          <cell r="L23">
            <v>372.08638908714732</v>
          </cell>
          <cell r="M23">
            <v>350.30973119312461</v>
          </cell>
          <cell r="N23">
            <v>286.64710263024449</v>
          </cell>
          <cell r="O23">
            <v>284.49686309639668</v>
          </cell>
        </row>
      </sheetData>
      <sheetData sheetId="3"/>
      <sheetData sheetId="4" refreshError="1"/>
      <sheetData sheetId="5" refreshError="1"/>
      <sheetData sheetId="6" refreshError="1"/>
      <sheetData sheetId="7" refreshError="1"/>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heetName val="GDP"/>
      <sheetName val="Customer Count"/>
    </sheetNames>
    <sheetDataSet>
      <sheetData sheetId="0"/>
      <sheetData sheetId="1">
        <row r="29">
          <cell r="D29">
            <v>100.23851279739272</v>
          </cell>
        </row>
        <row r="30">
          <cell r="D30">
            <v>100.47759447833063</v>
          </cell>
        </row>
        <row r="31">
          <cell r="D31">
            <v>100.7172463996738</v>
          </cell>
        </row>
        <row r="32">
          <cell r="D32">
            <v>100.95746992151857</v>
          </cell>
        </row>
        <row r="33">
          <cell r="D33">
            <v>101.19826640720528</v>
          </cell>
        </row>
        <row r="34">
          <cell r="D34">
            <v>101.43963722332603</v>
          </cell>
        </row>
        <row r="35">
          <cell r="D35">
            <v>101.6815837397324</v>
          </cell>
        </row>
        <row r="36">
          <cell r="D36">
            <v>101.92410732954325</v>
          </cell>
        </row>
        <row r="37">
          <cell r="D37">
            <v>102.16720936915249</v>
          </cell>
        </row>
        <row r="38">
          <cell r="D38">
            <v>102.41089123823691</v>
          </cell>
        </row>
        <row r="39">
          <cell r="D39">
            <v>102.65515431976404</v>
          </cell>
        </row>
        <row r="40">
          <cell r="D40">
            <v>102.89999999999991</v>
          </cell>
        </row>
        <row r="41">
          <cell r="D41">
            <v>103.10357031534689</v>
          </cell>
        </row>
        <row r="42">
          <cell r="D42">
            <v>103.30754336026908</v>
          </cell>
        </row>
        <row r="43">
          <cell r="D43">
            <v>103.51191993149912</v>
          </cell>
        </row>
        <row r="44">
          <cell r="D44">
            <v>103.71670082734583</v>
          </cell>
        </row>
        <row r="45">
          <cell r="D45">
            <v>103.92188684769735</v>
          </cell>
        </row>
        <row r="46">
          <cell r="D46">
            <v>104.12747879402426</v>
          </cell>
        </row>
        <row r="47">
          <cell r="D47">
            <v>104.33347746938271</v>
          </cell>
        </row>
        <row r="48">
          <cell r="D48">
            <v>104.5398836784176</v>
          </cell>
        </row>
        <row r="49">
          <cell r="D49">
            <v>104.74669822736561</v>
          </cell>
        </row>
        <row r="50">
          <cell r="D50">
            <v>104.95392192405851</v>
          </cell>
        </row>
        <row r="51">
          <cell r="D51">
            <v>105.16155557792617</v>
          </cell>
        </row>
        <row r="52">
          <cell r="D52">
            <v>105.36959999999981</v>
          </cell>
        </row>
        <row r="53">
          <cell r="D53">
            <v>105.55224543423039</v>
          </cell>
        </row>
        <row r="54">
          <cell r="D54">
            <v>105.73520746219052</v>
          </cell>
        </row>
        <row r="55">
          <cell r="D55">
            <v>105.91848663265708</v>
          </cell>
        </row>
        <row r="56">
          <cell r="D56">
            <v>106.10208349535816</v>
          </cell>
        </row>
        <row r="57">
          <cell r="D57">
            <v>106.28599860097476</v>
          </cell>
        </row>
        <row r="58">
          <cell r="D58">
            <v>106.47023250114242</v>
          </cell>
        </row>
        <row r="59">
          <cell r="D59">
            <v>106.65478574845287</v>
          </cell>
        </row>
        <row r="60">
          <cell r="D60">
            <v>106.83965889645567</v>
          </cell>
        </row>
        <row r="61">
          <cell r="D61">
            <v>107.02485249965993</v>
          </cell>
        </row>
        <row r="62">
          <cell r="D62">
            <v>107.2103671135359</v>
          </cell>
        </row>
        <row r="63">
          <cell r="D63">
            <v>107.39620329451667</v>
          </cell>
        </row>
        <row r="64">
          <cell r="D64">
            <v>107.58236159999987</v>
          </cell>
        </row>
        <row r="65">
          <cell r="D65">
            <v>107.52842192391142</v>
          </cell>
        </row>
        <row r="66">
          <cell r="D66">
            <v>107.47450929211362</v>
          </cell>
        </row>
        <row r="67">
          <cell r="D67">
            <v>107.42062369104701</v>
          </cell>
        </row>
        <row r="68">
          <cell r="D68">
            <v>107.3667651071589</v>
          </cell>
        </row>
        <row r="69">
          <cell r="D69">
            <v>107.31293352690341</v>
          </cell>
        </row>
        <row r="70">
          <cell r="D70">
            <v>107.25912893674146</v>
          </cell>
        </row>
        <row r="71">
          <cell r="D71">
            <v>107.20535132314075</v>
          </cell>
        </row>
        <row r="72">
          <cell r="D72">
            <v>107.15160067257574</v>
          </cell>
        </row>
        <row r="73">
          <cell r="D73">
            <v>107.09787697152773</v>
          </cell>
        </row>
        <row r="74">
          <cell r="D74">
            <v>107.04418020648474</v>
          </cell>
        </row>
        <row r="75">
          <cell r="D75">
            <v>106.9905103639416</v>
          </cell>
        </row>
        <row r="76">
          <cell r="D76">
            <v>106.93686743039989</v>
          </cell>
        </row>
        <row r="77">
          <cell r="D77">
            <v>106.64743247710501</v>
          </cell>
        </row>
        <row r="78">
          <cell r="D78">
            <v>106.35878090744762</v>
          </cell>
        </row>
        <row r="79">
          <cell r="D79">
            <v>106.0709106011243</v>
          </cell>
        </row>
        <row r="80">
          <cell r="D80">
            <v>105.78381944357039</v>
          </cell>
        </row>
        <row r="81">
          <cell r="D81">
            <v>105.49750532594459</v>
          </cell>
        </row>
        <row r="82">
          <cell r="D82">
            <v>105.21196614511329</v>
          </cell>
        </row>
        <row r="83">
          <cell r="D83">
            <v>104.92719980363529</v>
          </cell>
        </row>
        <row r="84">
          <cell r="D84">
            <v>104.64320420974627</v>
          </cell>
        </row>
        <row r="85">
          <cell r="D85">
            <v>104.3599772773435</v>
          </cell>
        </row>
        <row r="86">
          <cell r="D86">
            <v>104.07751692597047</v>
          </cell>
        </row>
        <row r="87">
          <cell r="D87">
            <v>103.79582108080163</v>
          </cell>
        </row>
        <row r="88">
          <cell r="D88">
            <v>103.51488767262715</v>
          </cell>
        </row>
        <row r="89">
          <cell r="D89">
            <v>103.77018331107756</v>
          </cell>
        </row>
        <row r="90">
          <cell r="D90">
            <v>104.02610857744408</v>
          </cell>
        </row>
        <row r="91">
          <cell r="D91">
            <v>104.28266502455901</v>
          </cell>
        </row>
        <row r="92">
          <cell r="D92">
            <v>104.53985420908435</v>
          </cell>
        </row>
        <row r="93">
          <cell r="D93">
            <v>104.79767769152126</v>
          </cell>
        </row>
        <row r="94">
          <cell r="D94">
            <v>105.05613703621948</v>
          </cell>
        </row>
        <row r="95">
          <cell r="D95">
            <v>105.3152338113869</v>
          </cell>
        </row>
        <row r="96">
          <cell r="D96">
            <v>105.57496958909903</v>
          </cell>
        </row>
        <row r="97">
          <cell r="D97">
            <v>105.8353459453085</v>
          </cell>
        </row>
        <row r="98">
          <cell r="D98">
            <v>106.09636445985473</v>
          </cell>
        </row>
        <row r="99">
          <cell r="D99">
            <v>106.35802671647338</v>
          </cell>
        </row>
        <row r="100">
          <cell r="D100">
            <v>106.62033430280609</v>
          </cell>
        </row>
        <row r="101">
          <cell r="D101">
            <v>106.84863702804462</v>
          </cell>
        </row>
        <row r="102">
          <cell r="D102">
            <v>107.07742861063566</v>
          </cell>
        </row>
        <row r="103">
          <cell r="D103">
            <v>107.3067100973539</v>
          </cell>
        </row>
        <row r="104">
          <cell r="D104">
            <v>107.53648253721542</v>
          </cell>
        </row>
        <row r="105">
          <cell r="D105">
            <v>107.76674698148256</v>
          </cell>
        </row>
        <row r="106">
          <cell r="D106">
            <v>107.99750448366868</v>
          </cell>
        </row>
        <row r="107">
          <cell r="D107">
            <v>108.22875609954298</v>
          </cell>
        </row>
        <row r="108">
          <cell r="D108">
            <v>108.46050288713538</v>
          </cell>
        </row>
        <row r="109">
          <cell r="D109">
            <v>108.69274590674128</v>
          </cell>
        </row>
        <row r="110">
          <cell r="D110">
            <v>108.9254862209265</v>
          </cell>
        </row>
        <row r="111">
          <cell r="D111">
            <v>109.15872489453209</v>
          </cell>
        </row>
        <row r="112">
          <cell r="D112">
            <v>109.39246299467918</v>
          </cell>
        </row>
        <row r="113">
          <cell r="D113">
            <v>109.54624110961838</v>
          </cell>
        </row>
        <row r="114">
          <cell r="D114">
            <v>109.70023539766483</v>
          </cell>
        </row>
        <row r="115">
          <cell r="D115">
            <v>109.85444616270318</v>
          </cell>
        </row>
        <row r="116">
          <cell r="D116">
            <v>110.00887370904532</v>
          </cell>
        </row>
        <row r="117">
          <cell r="D117">
            <v>110.16351834143087</v>
          </cell>
        </row>
        <row r="118">
          <cell r="D118">
            <v>110.31838036502788</v>
          </cell>
        </row>
        <row r="119">
          <cell r="D119">
            <v>110.47346008543335</v>
          </cell>
        </row>
        <row r="120">
          <cell r="D120">
            <v>110.6287578086739</v>
          </cell>
        </row>
        <row r="121">
          <cell r="D121">
            <v>110.78427384120633</v>
          </cell>
        </row>
        <row r="122">
          <cell r="D122">
            <v>110.94000848991826</v>
          </cell>
        </row>
        <row r="123">
          <cell r="D123">
            <v>111.09596206212871</v>
          </cell>
        </row>
        <row r="124">
          <cell r="D124">
            <v>111.25213486558869</v>
          </cell>
        </row>
        <row r="125">
          <cell r="D125">
            <v>111.37194580300799</v>
          </cell>
        </row>
        <row r="126">
          <cell r="D126">
            <v>111.49188576860946</v>
          </cell>
        </row>
        <row r="127">
          <cell r="D127">
            <v>111.61195490134764</v>
          </cell>
        </row>
        <row r="128">
          <cell r="D128">
            <v>111.7321533403267</v>
          </cell>
        </row>
        <row r="129">
          <cell r="D129">
            <v>111.85248122480061</v>
          </cell>
        </row>
        <row r="130">
          <cell r="D130">
            <v>111.97293869417331</v>
          </cell>
        </row>
        <row r="131">
          <cell r="D131">
            <v>112.09352588799885</v>
          </cell>
        </row>
        <row r="132">
          <cell r="D132">
            <v>112.21424294598162</v>
          </cell>
        </row>
        <row r="133">
          <cell r="D133">
            <v>112.33509000797642</v>
          </cell>
        </row>
        <row r="134">
          <cell r="D134">
            <v>112.45606721398867</v>
          </cell>
        </row>
        <row r="135">
          <cell r="D135">
            <v>112.57717470417458</v>
          </cell>
        </row>
        <row r="136">
          <cell r="D136">
            <v>112.69841261884129</v>
          </cell>
        </row>
        <row r="137">
          <cell r="D137">
            <v>112.87531646974237</v>
          </cell>
        </row>
        <row r="138">
          <cell r="D138">
            <v>113.05249800842749</v>
          </cell>
        </row>
        <row r="139">
          <cell r="D139">
            <v>113.22995767078599</v>
          </cell>
        </row>
        <row r="140">
          <cell r="D140">
            <v>113.40769589339145</v>
          </cell>
        </row>
        <row r="141">
          <cell r="D141">
            <v>113.58571311350273</v>
          </cell>
        </row>
        <row r="142">
          <cell r="D142">
            <v>113.76400976906508</v>
          </cell>
        </row>
        <row r="143">
          <cell r="D143">
            <v>113.94258629871118</v>
          </cell>
        </row>
        <row r="144">
          <cell r="D144">
            <v>114.12144314176223</v>
          </cell>
        </row>
        <row r="145">
          <cell r="D145">
            <v>114.30058073822906</v>
          </cell>
        </row>
        <row r="146">
          <cell r="D146">
            <v>114.47999952881318</v>
          </cell>
        </row>
        <row r="147">
          <cell r="D147">
            <v>114.65969995490788</v>
          </cell>
        </row>
        <row r="148">
          <cell r="D148">
            <v>114.83968245859928</v>
          </cell>
        </row>
      </sheetData>
      <sheetData sheetId="2">
        <row r="25">
          <cell r="L25">
            <v>5705.666666666667</v>
          </cell>
        </row>
        <row r="26">
          <cell r="L26">
            <v>5711.3333333333339</v>
          </cell>
        </row>
        <row r="27">
          <cell r="L27">
            <v>5717.0000000000009</v>
          </cell>
        </row>
        <row r="28">
          <cell r="L28">
            <v>5722.6666666666679</v>
          </cell>
        </row>
        <row r="29">
          <cell r="L29">
            <v>5728.3333333333348</v>
          </cell>
        </row>
        <row r="30">
          <cell r="L30">
            <v>5734.0000000000018</v>
          </cell>
        </row>
        <row r="31">
          <cell r="L31">
            <v>5739.6666666666688</v>
          </cell>
        </row>
        <row r="32">
          <cell r="L32">
            <v>5745.3333333333358</v>
          </cell>
        </row>
        <row r="33">
          <cell r="L33">
            <v>5751.0000000000027</v>
          </cell>
        </row>
        <row r="34">
          <cell r="L34">
            <v>5756.6666666666697</v>
          </cell>
        </row>
        <row r="35">
          <cell r="L35">
            <v>5762.3333333333367</v>
          </cell>
        </row>
        <row r="36">
          <cell r="L36">
            <v>5768</v>
          </cell>
        </row>
        <row r="37">
          <cell r="L37">
            <v>5770.5</v>
          </cell>
        </row>
        <row r="38">
          <cell r="L38">
            <v>5773</v>
          </cell>
        </row>
        <row r="39">
          <cell r="L39">
            <v>5775.5</v>
          </cell>
        </row>
        <row r="40">
          <cell r="L40">
            <v>5778</v>
          </cell>
        </row>
        <row r="41">
          <cell r="L41">
            <v>5780.5</v>
          </cell>
        </row>
        <row r="42">
          <cell r="L42">
            <v>5783</v>
          </cell>
        </row>
        <row r="43">
          <cell r="L43">
            <v>5785.5</v>
          </cell>
        </row>
        <row r="44">
          <cell r="L44">
            <v>5788</v>
          </cell>
        </row>
        <row r="45">
          <cell r="L45">
            <v>5790.5</v>
          </cell>
        </row>
        <row r="46">
          <cell r="L46">
            <v>5793</v>
          </cell>
        </row>
        <row r="47">
          <cell r="L47">
            <v>5795.5</v>
          </cell>
        </row>
        <row r="48">
          <cell r="L48">
            <v>5798</v>
          </cell>
        </row>
        <row r="49">
          <cell r="L49">
            <v>5799.5</v>
          </cell>
        </row>
        <row r="50">
          <cell r="L50">
            <v>5801</v>
          </cell>
        </row>
        <row r="51">
          <cell r="L51">
            <v>5802.5</v>
          </cell>
        </row>
        <row r="52">
          <cell r="L52">
            <v>5804</v>
          </cell>
        </row>
        <row r="53">
          <cell r="L53">
            <v>5805.5</v>
          </cell>
        </row>
        <row r="54">
          <cell r="L54">
            <v>5807</v>
          </cell>
        </row>
        <row r="55">
          <cell r="L55">
            <v>5808.5</v>
          </cell>
        </row>
        <row r="56">
          <cell r="L56">
            <v>5810</v>
          </cell>
        </row>
        <row r="57">
          <cell r="L57">
            <v>5811.5</v>
          </cell>
        </row>
        <row r="58">
          <cell r="L58">
            <v>5813</v>
          </cell>
        </row>
        <row r="59">
          <cell r="L59">
            <v>5814.5</v>
          </cell>
        </row>
        <row r="60">
          <cell r="L60">
            <v>5816</v>
          </cell>
        </row>
        <row r="61">
          <cell r="L61">
            <v>5815.5</v>
          </cell>
        </row>
        <row r="62">
          <cell r="L62">
            <v>5815</v>
          </cell>
        </row>
        <row r="63">
          <cell r="L63">
            <v>5814.5</v>
          </cell>
        </row>
        <row r="64">
          <cell r="L64">
            <v>5814</v>
          </cell>
        </row>
        <row r="65">
          <cell r="L65">
            <v>5813.5</v>
          </cell>
        </row>
        <row r="66">
          <cell r="L66">
            <v>5813</v>
          </cell>
        </row>
        <row r="67">
          <cell r="L67">
            <v>5812.5</v>
          </cell>
        </row>
        <row r="68">
          <cell r="L68">
            <v>5812</v>
          </cell>
        </row>
        <row r="69">
          <cell r="L69">
            <v>5811.5</v>
          </cell>
        </row>
        <row r="70">
          <cell r="L70">
            <v>5811</v>
          </cell>
        </row>
        <row r="71">
          <cell r="L71">
            <v>5810.5</v>
          </cell>
        </row>
        <row r="72">
          <cell r="L72">
            <v>5810</v>
          </cell>
        </row>
        <row r="73">
          <cell r="L73">
            <v>5810.333333333333</v>
          </cell>
        </row>
        <row r="74">
          <cell r="L74">
            <v>5810.6666666666661</v>
          </cell>
        </row>
        <row r="75">
          <cell r="L75">
            <v>5810.9999999999991</v>
          </cell>
        </row>
        <row r="76">
          <cell r="L76">
            <v>5811.3333333333321</v>
          </cell>
        </row>
        <row r="77">
          <cell r="L77">
            <v>5811.6666666666652</v>
          </cell>
        </row>
        <row r="78">
          <cell r="L78">
            <v>5811.9999999999982</v>
          </cell>
        </row>
        <row r="79">
          <cell r="L79">
            <v>5812.3333333333312</v>
          </cell>
        </row>
        <row r="80">
          <cell r="L80">
            <v>5812.6666666666642</v>
          </cell>
        </row>
        <row r="81">
          <cell r="L81">
            <v>5812.9999999999973</v>
          </cell>
        </row>
        <row r="82">
          <cell r="L82">
            <v>5813.3333333333303</v>
          </cell>
        </row>
        <row r="83">
          <cell r="L83">
            <v>5813.6666666666633</v>
          </cell>
        </row>
        <row r="84">
          <cell r="L84">
            <v>5814</v>
          </cell>
        </row>
        <row r="85">
          <cell r="L85">
            <v>5814.333333333333</v>
          </cell>
        </row>
        <row r="86">
          <cell r="L86">
            <v>5814.6666666666661</v>
          </cell>
        </row>
        <row r="87">
          <cell r="L87">
            <v>5814.9999999999991</v>
          </cell>
        </row>
        <row r="88">
          <cell r="L88">
            <v>5815.3333333333321</v>
          </cell>
        </row>
        <row r="89">
          <cell r="L89">
            <v>5815.6666666666652</v>
          </cell>
        </row>
        <row r="90">
          <cell r="L90">
            <v>5815.9999999999982</v>
          </cell>
        </row>
        <row r="91">
          <cell r="L91">
            <v>5816.3333333333312</v>
          </cell>
        </row>
        <row r="92">
          <cell r="L92">
            <v>5816.6666666666642</v>
          </cell>
        </row>
        <row r="93">
          <cell r="L93">
            <v>5816.9999999999973</v>
          </cell>
        </row>
        <row r="94">
          <cell r="L94">
            <v>5817.3333333333303</v>
          </cell>
        </row>
        <row r="95">
          <cell r="L95">
            <v>5817.6666666666633</v>
          </cell>
        </row>
        <row r="96">
          <cell r="L96">
            <v>5818</v>
          </cell>
        </row>
        <row r="97">
          <cell r="L97">
            <v>5819.75</v>
          </cell>
        </row>
        <row r="98">
          <cell r="L98">
            <v>5821.5</v>
          </cell>
        </row>
        <row r="99">
          <cell r="L99">
            <v>5823.25</v>
          </cell>
        </row>
        <row r="100">
          <cell r="L100">
            <v>5825</v>
          </cell>
        </row>
        <row r="101">
          <cell r="L101">
            <v>5826.75</v>
          </cell>
        </row>
        <row r="102">
          <cell r="L102">
            <v>5828.5</v>
          </cell>
        </row>
        <row r="103">
          <cell r="L103">
            <v>5830.25</v>
          </cell>
        </row>
        <row r="104">
          <cell r="L104">
            <v>5832</v>
          </cell>
        </row>
        <row r="105">
          <cell r="L105">
            <v>5833.75</v>
          </cell>
        </row>
        <row r="106">
          <cell r="L106">
            <v>5835.5</v>
          </cell>
        </row>
        <row r="107">
          <cell r="L107">
            <v>5837.25</v>
          </cell>
        </row>
        <row r="108">
          <cell r="L108">
            <v>5839</v>
          </cell>
        </row>
        <row r="109">
          <cell r="L109">
            <v>5840.916666666667</v>
          </cell>
        </row>
        <row r="110">
          <cell r="L110">
            <v>5842.8333333333339</v>
          </cell>
        </row>
        <row r="111">
          <cell r="L111">
            <v>5844.7500000000009</v>
          </cell>
        </row>
        <row r="112">
          <cell r="L112">
            <v>5846.6666666666679</v>
          </cell>
        </row>
        <row r="113">
          <cell r="L113">
            <v>5848.5833333333348</v>
          </cell>
        </row>
        <row r="114">
          <cell r="L114">
            <v>5850.5000000000018</v>
          </cell>
        </row>
        <row r="115">
          <cell r="L115">
            <v>5852.4166666666688</v>
          </cell>
        </row>
        <row r="116">
          <cell r="L116">
            <v>5854.3333333333358</v>
          </cell>
        </row>
        <row r="117">
          <cell r="L117">
            <v>5856.2500000000027</v>
          </cell>
        </row>
        <row r="118">
          <cell r="L118">
            <v>5858.1666666666697</v>
          </cell>
        </row>
        <row r="119">
          <cell r="L119">
            <v>5860.0833333333367</v>
          </cell>
        </row>
        <row r="120">
          <cell r="L120">
            <v>5862</v>
          </cell>
        </row>
        <row r="121">
          <cell r="L121">
            <v>5861.75</v>
          </cell>
        </row>
        <row r="122">
          <cell r="L122">
            <v>5861.5</v>
          </cell>
        </row>
        <row r="123">
          <cell r="L123">
            <v>5861.25</v>
          </cell>
        </row>
        <row r="124">
          <cell r="L124">
            <v>5861</v>
          </cell>
        </row>
        <row r="125">
          <cell r="L125">
            <v>5860.75</v>
          </cell>
        </row>
        <row r="126">
          <cell r="L126">
            <v>5860.5</v>
          </cell>
        </row>
        <row r="127">
          <cell r="L127">
            <v>5860.25</v>
          </cell>
        </row>
        <row r="128">
          <cell r="L128">
            <v>5860</v>
          </cell>
        </row>
        <row r="129">
          <cell r="L129">
            <v>5859.75</v>
          </cell>
        </row>
        <row r="130">
          <cell r="L130">
            <v>5859.5</v>
          </cell>
        </row>
        <row r="131">
          <cell r="L131">
            <v>5859.25</v>
          </cell>
        </row>
        <row r="132">
          <cell r="L132">
            <v>5859</v>
          </cell>
        </row>
        <row r="133">
          <cell r="L133">
            <v>5858.916666666667</v>
          </cell>
        </row>
        <row r="134">
          <cell r="L134">
            <v>5858.8333333333339</v>
          </cell>
        </row>
        <row r="135">
          <cell r="L135">
            <v>5858.7500000000009</v>
          </cell>
        </row>
        <row r="136">
          <cell r="L136">
            <v>5858.6666666666679</v>
          </cell>
        </row>
        <row r="137">
          <cell r="L137">
            <v>5858.5833333333348</v>
          </cell>
        </row>
        <row r="138">
          <cell r="L138">
            <v>5858.5000000000018</v>
          </cell>
        </row>
        <row r="139">
          <cell r="L139">
            <v>5858.4166666666688</v>
          </cell>
        </row>
        <row r="140">
          <cell r="L140">
            <v>5858.3333333333358</v>
          </cell>
        </row>
        <row r="141">
          <cell r="L141">
            <v>5858.2500000000027</v>
          </cell>
        </row>
        <row r="142">
          <cell r="L142">
            <v>5858.1666666666697</v>
          </cell>
        </row>
        <row r="143">
          <cell r="L143">
            <v>5858.0833333333367</v>
          </cell>
        </row>
        <row r="144">
          <cell r="L144">
            <v>5858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92"/>
  <sheetViews>
    <sheetView zoomScaleNormal="100" workbookViewId="0">
      <pane xSplit="1" ySplit="3" topLeftCell="B25" activePane="bottomRight" state="frozen"/>
      <selection pane="topRight" activeCell="B1" sqref="B1"/>
      <selection pane="bottomLeft" activeCell="A4" sqref="A4"/>
      <selection pane="bottomRight" activeCell="A33" sqref="A33"/>
    </sheetView>
  </sheetViews>
  <sheetFormatPr defaultRowHeight="12.75"/>
  <cols>
    <col min="1" max="1" width="34.42578125" bestFit="1" customWidth="1"/>
    <col min="2" max="7" width="11.28515625" style="1" bestFit="1" customWidth="1"/>
    <col min="8" max="8" width="11.28515625" style="22" bestFit="1" customWidth="1"/>
    <col min="9" max="9" width="11.28515625" style="23" bestFit="1" customWidth="1"/>
    <col min="10" max="10" width="11.28515625" bestFit="1" customWidth="1"/>
    <col min="11" max="11" width="11.28515625" style="15" bestFit="1" customWidth="1"/>
    <col min="12" max="13" width="11.140625" style="15" bestFit="1" customWidth="1"/>
    <col min="14" max="14" width="15" bestFit="1" customWidth="1"/>
  </cols>
  <sheetData>
    <row r="1" spans="1:15" ht="15.75">
      <c r="A1" s="487"/>
      <c r="B1" s="532" t="s">
        <v>252</v>
      </c>
      <c r="C1" s="514" t="s">
        <v>256</v>
      </c>
      <c r="D1" s="513"/>
      <c r="E1" s="513"/>
      <c r="F1" s="513"/>
      <c r="G1" s="513"/>
      <c r="H1" s="515"/>
      <c r="I1" s="516"/>
      <c r="J1" s="411"/>
      <c r="K1" s="516"/>
      <c r="L1" s="516"/>
      <c r="M1" s="517"/>
    </row>
    <row r="2" spans="1:15" ht="13.5" thickBot="1">
      <c r="A2" s="403"/>
      <c r="B2" s="505"/>
      <c r="C2" s="505"/>
      <c r="D2" s="505"/>
      <c r="E2" s="505"/>
      <c r="F2" s="505"/>
      <c r="G2" s="505"/>
      <c r="H2" s="506"/>
      <c r="I2" s="504"/>
      <c r="J2" s="403"/>
      <c r="K2" s="504"/>
      <c r="L2" s="504"/>
      <c r="M2" s="504"/>
    </row>
    <row r="3" spans="1:15" ht="39" thickTop="1">
      <c r="A3" s="523"/>
      <c r="B3" s="524" t="s">
        <v>40</v>
      </c>
      <c r="C3" s="524" t="s">
        <v>41</v>
      </c>
      <c r="D3" s="524" t="s">
        <v>42</v>
      </c>
      <c r="E3" s="524" t="s">
        <v>66</v>
      </c>
      <c r="F3" s="524" t="s">
        <v>73</v>
      </c>
      <c r="G3" s="524" t="s">
        <v>67</v>
      </c>
      <c r="H3" s="524" t="s">
        <v>68</v>
      </c>
      <c r="I3" s="524" t="s">
        <v>74</v>
      </c>
      <c r="J3" s="524" t="s">
        <v>97</v>
      </c>
      <c r="K3" s="524" t="s">
        <v>98</v>
      </c>
      <c r="L3" s="524" t="s">
        <v>251</v>
      </c>
      <c r="M3" s="525" t="s">
        <v>96</v>
      </c>
    </row>
    <row r="4" spans="1:15">
      <c r="A4" s="526"/>
      <c r="B4" s="454"/>
      <c r="C4" s="454"/>
      <c r="D4" s="454"/>
      <c r="E4" s="454"/>
      <c r="F4" s="454"/>
      <c r="G4" s="454"/>
      <c r="H4" s="454"/>
      <c r="I4" s="454"/>
      <c r="J4" s="454"/>
      <c r="K4" s="454"/>
      <c r="L4" s="488"/>
      <c r="M4" s="489"/>
    </row>
    <row r="5" spans="1:15">
      <c r="A5" s="527" t="s">
        <v>46</v>
      </c>
      <c r="B5" s="490">
        <f t="array" ref="B5:K5">TRANSPOSE('Purchased Power Model'!AC34:AC43)</f>
        <v>129569190</v>
      </c>
      <c r="C5" s="490">
        <v>125693570</v>
      </c>
      <c r="D5" s="490">
        <v>125561560</v>
      </c>
      <c r="E5" s="490">
        <v>121334640</v>
      </c>
      <c r="F5" s="490">
        <v>118414830</v>
      </c>
      <c r="G5" s="490">
        <v>116592701</v>
      </c>
      <c r="H5" s="491">
        <v>118002442</v>
      </c>
      <c r="I5" s="492">
        <v>115281047</v>
      </c>
      <c r="J5" s="493">
        <v>116595466</v>
      </c>
      <c r="K5" s="492">
        <v>115948548</v>
      </c>
      <c r="L5" s="492">
        <f>'Purchased Power Model'!AC44</f>
        <v>112684777.95</v>
      </c>
      <c r="M5" s="494"/>
    </row>
    <row r="6" spans="1:15">
      <c r="A6" s="527" t="s">
        <v>47</v>
      </c>
      <c r="B6" s="490">
        <f t="array" ref="B6:K6">TRANSPOSE('Purchased Power Model'!AB34:AB43)</f>
        <v>127895969.18627138</v>
      </c>
      <c r="C6" s="490">
        <v>123655943.02691363</v>
      </c>
      <c r="D6" s="490">
        <v>124256671.94011325</v>
      </c>
      <c r="E6" s="490">
        <v>122993570.23534104</v>
      </c>
      <c r="F6" s="490">
        <v>120843116.16652277</v>
      </c>
      <c r="G6" s="490">
        <v>119197602.83152692</v>
      </c>
      <c r="H6" s="491">
        <v>118496807.49565221</v>
      </c>
      <c r="I6" s="491">
        <v>116698166.7116608</v>
      </c>
      <c r="J6" s="493">
        <v>115471991.30319136</v>
      </c>
      <c r="K6" s="492">
        <v>113484155.1028066</v>
      </c>
      <c r="L6" s="492"/>
      <c r="M6" s="494">
        <f>'Purchased Power Model'!AC60</f>
        <v>113261984.91090359</v>
      </c>
    </row>
    <row r="7" spans="1:15">
      <c r="A7" s="527" t="s">
        <v>4</v>
      </c>
      <c r="B7" s="495">
        <f t="shared" ref="B7:K7" si="0">(B6-B5)/B5</f>
        <v>-1.2913724425757509E-2</v>
      </c>
      <c r="C7" s="495">
        <f t="shared" si="0"/>
        <v>-1.6211067702877498E-2</v>
      </c>
      <c r="D7" s="495">
        <f t="shared" si="0"/>
        <v>-1.0392416754672E-2</v>
      </c>
      <c r="E7" s="495">
        <f t="shared" si="0"/>
        <v>1.3672354698881064E-2</v>
      </c>
      <c r="F7" s="495">
        <f t="shared" si="0"/>
        <v>2.0506605182161484E-2</v>
      </c>
      <c r="G7" s="495">
        <f t="shared" si="0"/>
        <v>2.2341894554161842E-2</v>
      </c>
      <c r="H7" s="496">
        <f t="shared" si="0"/>
        <v>4.1894513984059223E-3</v>
      </c>
      <c r="I7" s="496">
        <f t="shared" si="0"/>
        <v>1.2292738039244234E-2</v>
      </c>
      <c r="J7" s="495">
        <f t="shared" si="0"/>
        <v>-9.6356636784541531E-3</v>
      </c>
      <c r="K7" s="496">
        <f t="shared" si="0"/>
        <v>-2.1254193689371616E-2</v>
      </c>
      <c r="L7" s="496"/>
      <c r="M7" s="497"/>
    </row>
    <row r="8" spans="1:15">
      <c r="A8" s="527" t="s">
        <v>75</v>
      </c>
      <c r="B8" s="495"/>
      <c r="C8" s="495"/>
      <c r="D8" s="495"/>
      <c r="E8" s="495"/>
      <c r="F8" s="495"/>
      <c r="G8" s="495"/>
      <c r="H8" s="496"/>
      <c r="I8" s="496"/>
      <c r="J8" s="495"/>
      <c r="K8" s="496"/>
      <c r="L8" s="498"/>
      <c r="M8" s="499">
        <f>-'Purchased Power Model'!AH60</f>
        <v>-1353750</v>
      </c>
    </row>
    <row r="9" spans="1:15">
      <c r="A9" s="527" t="s">
        <v>76</v>
      </c>
      <c r="B9" s="495"/>
      <c r="C9" s="495"/>
      <c r="D9" s="495"/>
      <c r="E9" s="495"/>
      <c r="F9" s="495"/>
      <c r="G9" s="495"/>
      <c r="H9" s="496"/>
      <c r="I9" s="496"/>
      <c r="J9" s="495"/>
      <c r="K9" s="496"/>
      <c r="L9" s="500"/>
      <c r="M9" s="501">
        <f>M6+M8</f>
        <v>111908234.91090359</v>
      </c>
    </row>
    <row r="10" spans="1:15">
      <c r="A10" s="527"/>
      <c r="B10" s="502"/>
      <c r="C10" s="502"/>
      <c r="D10" s="502"/>
      <c r="E10" s="502"/>
      <c r="F10" s="502"/>
      <c r="G10" s="502"/>
      <c r="H10" s="503"/>
      <c r="I10" s="504"/>
      <c r="J10" s="505"/>
      <c r="K10" s="506"/>
      <c r="L10" s="506"/>
      <c r="M10" s="497"/>
    </row>
    <row r="11" spans="1:15">
      <c r="A11" s="527" t="s">
        <v>77</v>
      </c>
      <c r="B11" s="490">
        <f t="array" ref="B11:K11">TRANSPOSE('Rate Class Energy Model '!D3:D12)</f>
        <v>126336267</v>
      </c>
      <c r="C11" s="490">
        <v>116814435</v>
      </c>
      <c r="D11" s="490">
        <v>113998664</v>
      </c>
      <c r="E11" s="490">
        <v>111785106</v>
      </c>
      <c r="F11" s="490">
        <v>109680577</v>
      </c>
      <c r="G11" s="490">
        <v>107839547</v>
      </c>
      <c r="H11" s="491">
        <v>108810680</v>
      </c>
      <c r="I11" s="500">
        <v>106397501</v>
      </c>
      <c r="J11" s="493">
        <v>107193012</v>
      </c>
      <c r="K11" s="492">
        <v>107593001</v>
      </c>
      <c r="L11" s="492">
        <f>'Rate Class Energy Model '!D13</f>
        <v>104215271.962</v>
      </c>
      <c r="M11" s="507">
        <f>'Rate Class Energy Model '!D61</f>
        <v>103331703.51883988</v>
      </c>
      <c r="N11" s="492">
        <v>103331704.01883988</v>
      </c>
      <c r="O11" s="21">
        <f>M11-N11</f>
        <v>-0.5</v>
      </c>
    </row>
    <row r="12" spans="1:15">
      <c r="A12" s="527"/>
      <c r="B12" s="502"/>
      <c r="C12" s="502"/>
      <c r="D12" s="502"/>
      <c r="E12" s="502"/>
      <c r="F12" s="502"/>
      <c r="G12" s="502"/>
      <c r="H12" s="506"/>
      <c r="I12" s="504"/>
      <c r="J12" s="505"/>
      <c r="K12" s="508"/>
      <c r="L12" s="506"/>
      <c r="M12" s="497"/>
    </row>
    <row r="13" spans="1:15" ht="15.75">
      <c r="A13" s="528" t="s">
        <v>48</v>
      </c>
      <c r="B13" s="505"/>
      <c r="C13" s="505"/>
      <c r="D13" s="505"/>
      <c r="E13" s="505"/>
      <c r="F13" s="505"/>
      <c r="G13" s="505"/>
      <c r="H13" s="506"/>
      <c r="I13" s="504"/>
      <c r="J13" s="505"/>
      <c r="K13" s="506"/>
      <c r="L13" s="506"/>
      <c r="M13" s="497"/>
    </row>
    <row r="14" spans="1:15">
      <c r="A14" s="529" t="str">
        <f>'Rate Class Energy Model '!E2</f>
        <v xml:space="preserve">Residential </v>
      </c>
      <c r="B14" s="505"/>
      <c r="C14" s="505"/>
      <c r="D14" s="505"/>
      <c r="E14" s="505"/>
      <c r="F14" s="505"/>
      <c r="G14" s="505"/>
      <c r="H14" s="506"/>
      <c r="I14" s="504"/>
      <c r="J14" s="505"/>
      <c r="K14" s="506"/>
      <c r="L14" s="506"/>
      <c r="M14" s="497"/>
    </row>
    <row r="15" spans="1:15">
      <c r="A15" s="526" t="s">
        <v>37</v>
      </c>
      <c r="B15" s="493">
        <f t="array" ref="B15:M15">TRANSPOSE('Rate Class Customer Model'!B4:B15)</f>
        <v>4931</v>
      </c>
      <c r="C15" s="493">
        <v>4962</v>
      </c>
      <c r="D15" s="493">
        <v>4967</v>
      </c>
      <c r="E15" s="493">
        <v>4966</v>
      </c>
      <c r="F15" s="493">
        <v>4974</v>
      </c>
      <c r="G15" s="493">
        <v>4982</v>
      </c>
      <c r="H15" s="492">
        <v>5004</v>
      </c>
      <c r="I15" s="492">
        <v>5025</v>
      </c>
      <c r="J15" s="493">
        <v>5035</v>
      </c>
      <c r="K15" s="492">
        <v>5040</v>
      </c>
      <c r="L15" s="492">
        <v>5054</v>
      </c>
      <c r="M15" s="494">
        <v>5066</v>
      </c>
      <c r="N15" s="21"/>
    </row>
    <row r="16" spans="1:15">
      <c r="A16" s="526" t="s">
        <v>38</v>
      </c>
      <c r="B16" s="493">
        <f t="array" ref="B16:K16">TRANSPOSE('Rate Class Energy Model '!E3:E12)</f>
        <v>46438361</v>
      </c>
      <c r="C16" s="493">
        <v>44440685</v>
      </c>
      <c r="D16" s="493">
        <v>45086486</v>
      </c>
      <c r="E16" s="493">
        <v>44465236</v>
      </c>
      <c r="F16" s="493">
        <v>44337599</v>
      </c>
      <c r="G16" s="493">
        <v>44191614</v>
      </c>
      <c r="H16" s="492">
        <v>43287278</v>
      </c>
      <c r="I16" s="492">
        <v>42116982</v>
      </c>
      <c r="J16" s="509">
        <v>42764838</v>
      </c>
      <c r="K16" s="492">
        <v>42272228</v>
      </c>
      <c r="L16" s="492">
        <f>'Rate Class Energy Model '!E13</f>
        <v>40938310.960000001</v>
      </c>
      <c r="M16" s="494">
        <f>'Rate Class Energy Model '!E61</f>
        <v>41307918.062203318</v>
      </c>
      <c r="N16" s="21"/>
    </row>
    <row r="17" spans="1:14">
      <c r="A17" s="526"/>
      <c r="B17" s="505"/>
      <c r="C17" s="505"/>
      <c r="D17" s="505"/>
      <c r="E17" s="505"/>
      <c r="F17" s="505"/>
      <c r="G17" s="505"/>
      <c r="H17" s="506"/>
      <c r="I17" s="504"/>
      <c r="J17" s="509"/>
      <c r="K17" s="506"/>
      <c r="L17" s="506"/>
      <c r="M17" s="497"/>
    </row>
    <row r="18" spans="1:14">
      <c r="A18" s="529" t="str">
        <f>'Rate Class Energy Model '!F2</f>
        <v>General Service &lt; 50 kW</v>
      </c>
      <c r="B18" s="505"/>
      <c r="C18" s="505"/>
      <c r="D18" s="505"/>
      <c r="E18" s="505"/>
      <c r="F18" s="505"/>
      <c r="G18" s="505"/>
      <c r="H18" s="506"/>
      <c r="I18" s="504"/>
      <c r="J18" s="510"/>
      <c r="K18" s="506"/>
      <c r="L18" s="506"/>
      <c r="M18" s="497"/>
    </row>
    <row r="19" spans="1:14">
      <c r="A19" s="526" t="s">
        <v>37</v>
      </c>
      <c r="B19" s="493">
        <f t="array" ref="B19:M19">TRANSPOSE('Rate Class Customer Model'!C4:C15)</f>
        <v>770</v>
      </c>
      <c r="C19" s="493">
        <v>771</v>
      </c>
      <c r="D19" s="493">
        <v>784</v>
      </c>
      <c r="E19" s="493">
        <v>778</v>
      </c>
      <c r="F19" s="493">
        <v>774</v>
      </c>
      <c r="G19" s="493">
        <v>770</v>
      </c>
      <c r="H19" s="492">
        <v>769</v>
      </c>
      <c r="I19" s="492">
        <v>770</v>
      </c>
      <c r="J19" s="493">
        <v>759</v>
      </c>
      <c r="K19" s="492">
        <v>754</v>
      </c>
      <c r="L19" s="492">
        <v>742</v>
      </c>
      <c r="M19" s="494">
        <v>739</v>
      </c>
      <c r="N19" s="21"/>
    </row>
    <row r="20" spans="1:14">
      <c r="A20" s="526" t="s">
        <v>38</v>
      </c>
      <c r="B20" s="493">
        <f t="array" ref="B20:K20">TRANSPOSE('Rate Class Energy Model '!F3:F12)</f>
        <v>23490754</v>
      </c>
      <c r="C20" s="493">
        <v>22220025</v>
      </c>
      <c r="D20" s="493">
        <v>22360087</v>
      </c>
      <c r="E20" s="493">
        <v>21119955</v>
      </c>
      <c r="F20" s="493">
        <v>20399815</v>
      </c>
      <c r="G20" s="493">
        <v>20418777</v>
      </c>
      <c r="H20" s="492">
        <v>20434679</v>
      </c>
      <c r="I20" s="492">
        <v>19669183</v>
      </c>
      <c r="J20" s="493">
        <v>20094189</v>
      </c>
      <c r="K20" s="492">
        <v>20739791</v>
      </c>
      <c r="L20" s="492">
        <f>'Rate Class Energy Model '!F13</f>
        <v>20653133.002</v>
      </c>
      <c r="M20" s="494">
        <f>'Rate Class Energy Model '!F61</f>
        <v>20781605.361604974</v>
      </c>
      <c r="N20" s="21"/>
    </row>
    <row r="21" spans="1:14">
      <c r="A21" s="526"/>
      <c r="B21" s="505"/>
      <c r="C21" s="505"/>
      <c r="D21" s="505"/>
      <c r="E21" s="505"/>
      <c r="F21" s="505"/>
      <c r="G21" s="505"/>
      <c r="H21" s="506"/>
      <c r="I21" s="492"/>
      <c r="J21" s="505"/>
      <c r="K21" s="506"/>
      <c r="L21" s="506"/>
      <c r="M21" s="497"/>
    </row>
    <row r="22" spans="1:14">
      <c r="A22" s="529" t="str">
        <f>'Rate Class Energy Model '!G2</f>
        <v>General Service 50 to 4,999 kW</v>
      </c>
      <c r="B22" s="505"/>
      <c r="C22" s="505"/>
      <c r="D22" s="505"/>
      <c r="E22" s="505"/>
      <c r="F22" s="505"/>
      <c r="G22" s="505"/>
      <c r="H22" s="506"/>
      <c r="I22" s="492"/>
      <c r="J22" s="505"/>
      <c r="K22" s="506"/>
      <c r="L22" s="506"/>
      <c r="M22" s="497"/>
    </row>
    <row r="23" spans="1:14">
      <c r="A23" s="526" t="s">
        <v>37</v>
      </c>
      <c r="B23" s="493">
        <f t="array" ref="B23:M23">TRANSPOSE('Rate Class Customer Model'!D4:D15)</f>
        <v>67</v>
      </c>
      <c r="C23" s="493">
        <v>65</v>
      </c>
      <c r="D23" s="493">
        <v>65</v>
      </c>
      <c r="E23" s="493">
        <v>66</v>
      </c>
      <c r="F23" s="493">
        <v>66</v>
      </c>
      <c r="G23" s="493">
        <v>66</v>
      </c>
      <c r="H23" s="492">
        <v>66</v>
      </c>
      <c r="I23" s="492">
        <v>67</v>
      </c>
      <c r="J23" s="493">
        <v>65</v>
      </c>
      <c r="K23" s="492">
        <v>64</v>
      </c>
      <c r="L23" s="492">
        <v>64</v>
      </c>
      <c r="M23" s="494">
        <v>64</v>
      </c>
      <c r="N23" s="21"/>
    </row>
    <row r="24" spans="1:14">
      <c r="A24" s="526" t="s">
        <v>38</v>
      </c>
      <c r="B24" s="493">
        <f t="array" ref="B24:K24">TRANSPOSE('Rate Class Energy Model '!G3:G12)</f>
        <v>54683320</v>
      </c>
      <c r="C24" s="493">
        <v>48405425</v>
      </c>
      <c r="D24" s="493">
        <v>44734117</v>
      </c>
      <c r="E24" s="493">
        <v>44381852</v>
      </c>
      <c r="F24" s="493">
        <v>43092665</v>
      </c>
      <c r="G24" s="493">
        <v>41354016</v>
      </c>
      <c r="H24" s="492">
        <v>43031208</v>
      </c>
      <c r="I24" s="492">
        <v>42549997</v>
      </c>
      <c r="J24" s="493">
        <v>42246503</v>
      </c>
      <c r="K24" s="492">
        <v>42584416</v>
      </c>
      <c r="L24" s="492">
        <f>'Rate Class Energy Model '!G13</f>
        <v>40918077</v>
      </c>
      <c r="M24" s="494">
        <f>'Rate Class Energy Model '!G61</f>
        <v>39831072.436199859</v>
      </c>
      <c r="N24" s="21"/>
    </row>
    <row r="25" spans="1:14">
      <c r="A25" s="526" t="s">
        <v>39</v>
      </c>
      <c r="B25" s="493">
        <f t="array" ref="B25:M25">TRANSPOSE('Rate Class Load Model'!B3:B14)</f>
        <v>139429</v>
      </c>
      <c r="C25" s="493">
        <v>133580</v>
      </c>
      <c r="D25" s="493">
        <v>118636</v>
      </c>
      <c r="E25" s="493">
        <v>124007</v>
      </c>
      <c r="F25" s="493">
        <v>130261</v>
      </c>
      <c r="G25" s="493">
        <v>132433</v>
      </c>
      <c r="H25" s="492">
        <v>130762</v>
      </c>
      <c r="I25" s="492">
        <v>125469</v>
      </c>
      <c r="J25" s="493">
        <v>133148</v>
      </c>
      <c r="K25" s="492">
        <v>131947</v>
      </c>
      <c r="L25" s="492">
        <v>125734.44</v>
      </c>
      <c r="M25" s="494">
        <v>116926.77087196945</v>
      </c>
      <c r="N25" s="21"/>
    </row>
    <row r="26" spans="1:14">
      <c r="A26" s="526"/>
      <c r="B26" s="505"/>
      <c r="C26" s="505"/>
      <c r="D26" s="505"/>
      <c r="E26" s="505"/>
      <c r="F26" s="505"/>
      <c r="G26" s="505"/>
      <c r="H26" s="506"/>
      <c r="I26" s="504"/>
      <c r="J26" s="505"/>
      <c r="K26" s="506"/>
      <c r="L26" s="506"/>
      <c r="M26" s="497"/>
    </row>
    <row r="27" spans="1:14">
      <c r="A27" s="529" t="str">
        <f>'Rate Class Energy Model '!H2</f>
        <v xml:space="preserve">Street Lights </v>
      </c>
      <c r="B27" s="505"/>
      <c r="C27" s="505"/>
      <c r="D27" s="505"/>
      <c r="E27" s="505"/>
      <c r="F27" s="505"/>
      <c r="G27" s="505"/>
      <c r="H27" s="506"/>
      <c r="I27" s="492"/>
      <c r="J27" s="505"/>
      <c r="K27" s="506"/>
      <c r="L27" s="506"/>
      <c r="M27" s="497"/>
    </row>
    <row r="28" spans="1:14">
      <c r="A28" s="526" t="s">
        <v>43</v>
      </c>
      <c r="B28" s="493">
        <f t="array" ref="B28:M28">TRANSPOSE('Rate Class Customer Model'!E4:E15)</f>
        <v>1633</v>
      </c>
      <c r="C28" s="493">
        <v>1641</v>
      </c>
      <c r="D28" s="493">
        <v>1644</v>
      </c>
      <c r="E28" s="493">
        <v>1637</v>
      </c>
      <c r="F28" s="493">
        <v>1640</v>
      </c>
      <c r="G28" s="493">
        <v>1701</v>
      </c>
      <c r="H28" s="492">
        <v>1703</v>
      </c>
      <c r="I28" s="492">
        <v>1703</v>
      </c>
      <c r="J28" s="493">
        <v>1707</v>
      </c>
      <c r="K28" s="492">
        <v>1707</v>
      </c>
      <c r="L28" s="492">
        <v>1711</v>
      </c>
      <c r="M28" s="494">
        <v>1711</v>
      </c>
      <c r="N28" s="21"/>
    </row>
    <row r="29" spans="1:14">
      <c r="A29" s="526" t="s">
        <v>38</v>
      </c>
      <c r="B29" s="493">
        <f t="array" ref="B29:K29">TRANSPOSE('Rate Class Energy Model '!H3:H12)</f>
        <v>1359556</v>
      </c>
      <c r="C29" s="493">
        <v>1341413</v>
      </c>
      <c r="D29" s="493">
        <v>1392325</v>
      </c>
      <c r="E29" s="493">
        <v>1394217</v>
      </c>
      <c r="F29" s="493">
        <v>1393923</v>
      </c>
      <c r="G29" s="493">
        <v>1429699</v>
      </c>
      <c r="H29" s="492">
        <v>1453874</v>
      </c>
      <c r="I29" s="492">
        <v>1453808</v>
      </c>
      <c r="J29" s="493">
        <v>1447303</v>
      </c>
      <c r="K29" s="492">
        <v>1321505</v>
      </c>
      <c r="L29" s="492">
        <f>'Rate Class Energy Model '!H13</f>
        <v>1052678</v>
      </c>
      <c r="M29" s="494">
        <f>'Rate Class Energy Model '!H61</f>
        <v>730852.21809285553</v>
      </c>
      <c r="N29" s="21"/>
    </row>
    <row r="30" spans="1:14">
      <c r="A30" s="526" t="s">
        <v>39</v>
      </c>
      <c r="B30" s="493">
        <f>'Rate Class Load Model'!C3</f>
        <v>3764</v>
      </c>
      <c r="C30" s="493">
        <f>'Rate Class Load Model'!C4</f>
        <v>3772</v>
      </c>
      <c r="D30" s="493">
        <f>'Rate Class Load Model'!C5</f>
        <v>3777</v>
      </c>
      <c r="E30" s="493">
        <f>'Rate Class Load Model'!C6</f>
        <v>3782</v>
      </c>
      <c r="F30" s="493">
        <f>'Rate Class Load Model'!C7</f>
        <v>3774</v>
      </c>
      <c r="G30" s="493">
        <f>'Rate Class Load Model'!C8</f>
        <v>3857</v>
      </c>
      <c r="H30" s="492">
        <f>'Rate Class Load Model'!C9</f>
        <v>3941</v>
      </c>
      <c r="I30" s="492">
        <f>'Rate Class Load Model'!C10</f>
        <v>3919</v>
      </c>
      <c r="J30" s="493">
        <f>'Rate Class Load Model'!C11</f>
        <v>3920</v>
      </c>
      <c r="K30" s="492">
        <f>'Rate Class Load Model'!C12</f>
        <v>3620</v>
      </c>
      <c r="L30" s="492">
        <f>'Rate Class Load Model'!C13</f>
        <v>2861.6</v>
      </c>
      <c r="M30" s="494">
        <f>'Rate Class Load Model'!C14</f>
        <v>1992.1480754139532</v>
      </c>
      <c r="N30" s="21"/>
    </row>
    <row r="31" spans="1:14">
      <c r="A31" s="526"/>
      <c r="B31" s="505"/>
      <c r="C31" s="505"/>
      <c r="D31" s="505"/>
      <c r="E31" s="505"/>
      <c r="F31" s="505"/>
      <c r="G31" s="505"/>
      <c r="H31" s="506"/>
      <c r="I31" s="492"/>
      <c r="J31" s="505"/>
      <c r="K31" s="506"/>
      <c r="L31" s="506"/>
      <c r="M31" s="497"/>
    </row>
    <row r="32" spans="1:14">
      <c r="A32" s="530" t="str">
        <f>'Rate Class Energy Model '!I2</f>
        <v>Sentinel Lights</v>
      </c>
      <c r="B32" s="505"/>
      <c r="C32" s="505"/>
      <c r="D32" s="505"/>
      <c r="E32" s="505"/>
      <c r="F32" s="505"/>
      <c r="G32" s="505"/>
      <c r="H32" s="506"/>
      <c r="I32" s="504"/>
      <c r="J32" s="505"/>
      <c r="K32" s="506"/>
      <c r="L32" s="506"/>
      <c r="M32" s="497"/>
    </row>
    <row r="33" spans="1:15">
      <c r="A33" s="526" t="s">
        <v>43</v>
      </c>
      <c r="B33" s="493">
        <f t="array" ref="B33:M33">TRANSPOSE('Rate Class Customer Model'!F4:F15)</f>
        <v>56</v>
      </c>
      <c r="C33" s="493">
        <v>67</v>
      </c>
      <c r="D33" s="493">
        <v>67</v>
      </c>
      <c r="E33" s="493">
        <v>67</v>
      </c>
      <c r="F33" s="493">
        <v>75</v>
      </c>
      <c r="G33" s="493">
        <v>75</v>
      </c>
      <c r="H33" s="492">
        <v>75</v>
      </c>
      <c r="I33" s="492">
        <v>75</v>
      </c>
      <c r="J33" s="493">
        <v>75</v>
      </c>
      <c r="K33" s="492">
        <v>75</v>
      </c>
      <c r="L33" s="492">
        <v>75</v>
      </c>
      <c r="M33" s="494">
        <v>75</v>
      </c>
      <c r="N33" s="21"/>
    </row>
    <row r="34" spans="1:15">
      <c r="A34" s="526" t="s">
        <v>38</v>
      </c>
      <c r="B34" s="493">
        <f t="array" ref="B34:K34">TRANSPOSE('Rate Class Energy Model '!I3:I12)</f>
        <v>94884</v>
      </c>
      <c r="C34" s="493">
        <v>102394</v>
      </c>
      <c r="D34" s="493">
        <v>102933</v>
      </c>
      <c r="E34" s="493">
        <v>100161</v>
      </c>
      <c r="F34" s="493">
        <v>108556</v>
      </c>
      <c r="G34" s="493">
        <v>108277</v>
      </c>
      <c r="H34" s="492">
        <v>108262</v>
      </c>
      <c r="I34" s="492">
        <v>108266</v>
      </c>
      <c r="J34" s="493">
        <v>108281</v>
      </c>
      <c r="K34" s="492">
        <v>109302</v>
      </c>
      <c r="L34" s="492">
        <f>'Rate Class Energy Model '!I13</f>
        <v>109502</v>
      </c>
      <c r="M34" s="494">
        <f>'Rate Class Energy Model '!I61</f>
        <v>107884.14757849889</v>
      </c>
      <c r="N34" s="21"/>
    </row>
    <row r="35" spans="1:15">
      <c r="A35" s="526" t="s">
        <v>39</v>
      </c>
      <c r="B35" s="493">
        <f t="array" ref="B35:M35">TRANSPOSE('Rate Class Load Model'!D3:D14)</f>
        <v>261</v>
      </c>
      <c r="C35" s="493">
        <v>284</v>
      </c>
      <c r="D35" s="493">
        <v>286</v>
      </c>
      <c r="E35" s="493">
        <v>278</v>
      </c>
      <c r="F35" s="493">
        <v>301</v>
      </c>
      <c r="G35" s="493">
        <v>301</v>
      </c>
      <c r="H35" s="492">
        <v>300</v>
      </c>
      <c r="I35" s="492">
        <v>300</v>
      </c>
      <c r="J35" s="493">
        <v>300</v>
      </c>
      <c r="K35" s="492">
        <v>302</v>
      </c>
      <c r="L35" s="492">
        <v>302</v>
      </c>
      <c r="M35" s="494">
        <v>298.78553507276672</v>
      </c>
      <c r="N35" s="21"/>
    </row>
    <row r="36" spans="1:15">
      <c r="A36" s="526"/>
      <c r="B36" s="505"/>
      <c r="C36" s="505"/>
      <c r="D36" s="505"/>
      <c r="E36" s="505"/>
      <c r="F36" s="505"/>
      <c r="G36" s="505"/>
      <c r="H36" s="506"/>
      <c r="I36" s="504"/>
      <c r="J36" s="505"/>
      <c r="K36" s="506"/>
      <c r="L36" s="506"/>
      <c r="M36" s="497"/>
    </row>
    <row r="37" spans="1:15">
      <c r="A37" s="529" t="str">
        <f>'Rate Class Energy Model '!J2</f>
        <v xml:space="preserve">Unmetered Loads </v>
      </c>
      <c r="B37" s="505"/>
      <c r="C37" s="505"/>
      <c r="D37" s="505"/>
      <c r="E37" s="505"/>
      <c r="F37" s="505"/>
      <c r="G37" s="505"/>
      <c r="H37" s="506"/>
      <c r="I37" s="504"/>
      <c r="J37" s="505"/>
      <c r="K37" s="506"/>
      <c r="L37" s="506"/>
      <c r="M37" s="497"/>
    </row>
    <row r="38" spans="1:15">
      <c r="A38" s="526" t="s">
        <v>43</v>
      </c>
      <c r="B38" s="493">
        <f t="array" ref="B38:M38">TRANSPOSE('Rate Class Customer Model'!G4:G15)</f>
        <v>49</v>
      </c>
      <c r="C38" s="493">
        <v>50</v>
      </c>
      <c r="D38" s="493">
        <v>48</v>
      </c>
      <c r="E38" s="493">
        <v>49</v>
      </c>
      <c r="F38" s="493">
        <v>49</v>
      </c>
      <c r="G38" s="493">
        <v>48</v>
      </c>
      <c r="H38" s="492">
        <v>59</v>
      </c>
      <c r="I38" s="492">
        <v>60</v>
      </c>
      <c r="J38" s="493">
        <v>61</v>
      </c>
      <c r="K38" s="492">
        <v>61</v>
      </c>
      <c r="L38" s="492">
        <v>59</v>
      </c>
      <c r="M38" s="494">
        <v>59</v>
      </c>
      <c r="N38" s="21"/>
    </row>
    <row r="39" spans="1:15">
      <c r="A39" s="526" t="s">
        <v>38</v>
      </c>
      <c r="B39" s="493">
        <f t="array" ref="B39:K39">TRANSPOSE('Rate Class Energy Model '!J3:J12)</f>
        <v>269392</v>
      </c>
      <c r="C39" s="493">
        <v>304493</v>
      </c>
      <c r="D39" s="493">
        <v>322716</v>
      </c>
      <c r="E39" s="493">
        <v>323685</v>
      </c>
      <c r="F39" s="493">
        <v>348019</v>
      </c>
      <c r="G39" s="493">
        <v>337164</v>
      </c>
      <c r="H39" s="492">
        <v>495379</v>
      </c>
      <c r="I39" s="492">
        <v>499265</v>
      </c>
      <c r="J39" s="493">
        <v>531898</v>
      </c>
      <c r="K39" s="492">
        <v>565759</v>
      </c>
      <c r="L39" s="492">
        <f>'Rate Class Energy Model '!J13</f>
        <v>543571</v>
      </c>
      <c r="M39" s="494">
        <f>'Rate Class Energy Model '!J61</f>
        <v>572371.29316037928</v>
      </c>
      <c r="N39" s="21"/>
    </row>
    <row r="40" spans="1:15">
      <c r="A40" s="526"/>
      <c r="B40" s="505"/>
      <c r="C40" s="505"/>
      <c r="D40" s="505"/>
      <c r="E40" s="505"/>
      <c r="F40" s="505"/>
      <c r="G40" s="505"/>
      <c r="H40" s="506"/>
      <c r="I40" s="504"/>
      <c r="J40" s="506"/>
      <c r="K40" s="506"/>
      <c r="L40" s="506"/>
      <c r="M40" s="497"/>
    </row>
    <row r="41" spans="1:15">
      <c r="A41" s="529" t="s">
        <v>5</v>
      </c>
      <c r="B41" s="505"/>
      <c r="C41" s="505"/>
      <c r="D41" s="505"/>
      <c r="E41" s="505"/>
      <c r="F41" s="505"/>
      <c r="G41" s="505"/>
      <c r="H41" s="506"/>
      <c r="I41" s="504"/>
      <c r="J41" s="506"/>
      <c r="K41" s="506"/>
      <c r="L41" s="506"/>
      <c r="M41" s="497"/>
    </row>
    <row r="42" spans="1:15">
      <c r="A42" s="526" t="s">
        <v>45</v>
      </c>
      <c r="B42" s="492">
        <f t="shared" ref="B42:M42" si="1">B15+B19+B23+B28+B33+B38</f>
        <v>7506</v>
      </c>
      <c r="C42" s="492">
        <f t="shared" si="1"/>
        <v>7556</v>
      </c>
      <c r="D42" s="492">
        <f t="shared" si="1"/>
        <v>7575</v>
      </c>
      <c r="E42" s="492">
        <f t="shared" si="1"/>
        <v>7563</v>
      </c>
      <c r="F42" s="492">
        <f t="shared" si="1"/>
        <v>7578</v>
      </c>
      <c r="G42" s="492">
        <f t="shared" si="1"/>
        <v>7642</v>
      </c>
      <c r="H42" s="492">
        <f t="shared" si="1"/>
        <v>7676</v>
      </c>
      <c r="I42" s="492">
        <f t="shared" si="1"/>
        <v>7700</v>
      </c>
      <c r="J42" s="492">
        <f t="shared" si="1"/>
        <v>7702</v>
      </c>
      <c r="K42" s="492">
        <f t="shared" si="1"/>
        <v>7701</v>
      </c>
      <c r="L42" s="492">
        <f t="shared" si="1"/>
        <v>7705</v>
      </c>
      <c r="M42" s="494">
        <f t="shared" si="1"/>
        <v>7714</v>
      </c>
      <c r="N42" s="409">
        <v>7714</v>
      </c>
      <c r="O42" s="21">
        <f>M42-N42</f>
        <v>0</v>
      </c>
    </row>
    <row r="43" spans="1:15">
      <c r="A43" s="526" t="s">
        <v>38</v>
      </c>
      <c r="B43" s="492">
        <f t="shared" ref="B43:M43" si="2">B16+B20+B24+B29+B34+B39</f>
        <v>126336267</v>
      </c>
      <c r="C43" s="492">
        <f t="shared" si="2"/>
        <v>116814435</v>
      </c>
      <c r="D43" s="492">
        <f t="shared" si="2"/>
        <v>113998664</v>
      </c>
      <c r="E43" s="492">
        <f t="shared" si="2"/>
        <v>111785106</v>
      </c>
      <c r="F43" s="492">
        <f t="shared" si="2"/>
        <v>109680577</v>
      </c>
      <c r="G43" s="492">
        <f t="shared" si="2"/>
        <v>107839547</v>
      </c>
      <c r="H43" s="492">
        <f t="shared" si="2"/>
        <v>108810680</v>
      </c>
      <c r="I43" s="492">
        <f t="shared" si="2"/>
        <v>106397501</v>
      </c>
      <c r="J43" s="492">
        <f t="shared" si="2"/>
        <v>107193012</v>
      </c>
      <c r="K43" s="492">
        <f t="shared" si="2"/>
        <v>107593001</v>
      </c>
      <c r="L43" s="492">
        <f t="shared" si="2"/>
        <v>104215271.962</v>
      </c>
      <c r="M43" s="494">
        <f t="shared" si="2"/>
        <v>103331703.51883988</v>
      </c>
      <c r="N43" s="409">
        <v>103331704.01883988</v>
      </c>
      <c r="O43" s="21">
        <f>M43-N43</f>
        <v>-0.5</v>
      </c>
    </row>
    <row r="44" spans="1:15">
      <c r="A44" s="531" t="s">
        <v>44</v>
      </c>
      <c r="B44" s="511">
        <f t="shared" ref="B44:M44" si="3">B25+B30+B35</f>
        <v>143454</v>
      </c>
      <c r="C44" s="511">
        <f t="shared" si="3"/>
        <v>137636</v>
      </c>
      <c r="D44" s="511">
        <f t="shared" si="3"/>
        <v>122699</v>
      </c>
      <c r="E44" s="511">
        <f t="shared" si="3"/>
        <v>128067</v>
      </c>
      <c r="F44" s="511">
        <f t="shared" si="3"/>
        <v>134336</v>
      </c>
      <c r="G44" s="511">
        <f t="shared" si="3"/>
        <v>136591</v>
      </c>
      <c r="H44" s="511">
        <f t="shared" si="3"/>
        <v>135003</v>
      </c>
      <c r="I44" s="511">
        <f t="shared" si="3"/>
        <v>129688</v>
      </c>
      <c r="J44" s="511">
        <f t="shared" si="3"/>
        <v>137368</v>
      </c>
      <c r="K44" s="511">
        <f t="shared" si="3"/>
        <v>135869</v>
      </c>
      <c r="L44" s="511">
        <f t="shared" si="3"/>
        <v>128898.04000000001</v>
      </c>
      <c r="M44" s="512">
        <f t="shared" si="3"/>
        <v>119217.70448245616</v>
      </c>
      <c r="N44" s="409">
        <v>119217.70542799401</v>
      </c>
      <c r="O44" s="21">
        <f>M44-N44</f>
        <v>-9.4553784583695233E-4</v>
      </c>
    </row>
    <row r="45" spans="1:15">
      <c r="B45" s="4"/>
      <c r="C45" s="4"/>
      <c r="D45" s="4"/>
      <c r="E45" s="4"/>
      <c r="G45" s="4"/>
      <c r="H45" s="11"/>
      <c r="I45" s="15"/>
      <c r="J45" s="26"/>
      <c r="K45" s="8"/>
      <c r="L45" s="8"/>
      <c r="M45" s="8"/>
    </row>
    <row r="46" spans="1:15">
      <c r="B46" s="4">
        <f t="array" ref="B46:M46">TRANSPOSE('Rate Class Customer Model'!H4:H15)</f>
        <v>7506</v>
      </c>
      <c r="C46" s="4">
        <v>7556</v>
      </c>
      <c r="D46" s="4">
        <v>7575</v>
      </c>
      <c r="E46" s="4">
        <v>7563</v>
      </c>
      <c r="F46" s="4">
        <v>7578</v>
      </c>
      <c r="G46" s="4">
        <v>7642</v>
      </c>
      <c r="H46" s="11">
        <v>7676</v>
      </c>
      <c r="I46" s="11">
        <v>7700</v>
      </c>
      <c r="J46" s="11">
        <v>7702</v>
      </c>
      <c r="K46" s="11">
        <v>7701</v>
      </c>
      <c r="L46" s="11">
        <v>7705</v>
      </c>
      <c r="M46" s="11">
        <v>7714</v>
      </c>
    </row>
    <row r="47" spans="1:15">
      <c r="B47" s="4">
        <f t="array" ref="B47:K47">TRANSPOSE('Rate Class Energy Model '!D3:D12)</f>
        <v>126336267</v>
      </c>
      <c r="C47" s="4">
        <v>116814435</v>
      </c>
      <c r="D47" s="4">
        <v>113998664</v>
      </c>
      <c r="E47" s="4">
        <v>111785106</v>
      </c>
      <c r="F47" s="4">
        <v>109680577</v>
      </c>
      <c r="G47" s="4">
        <v>107839547</v>
      </c>
      <c r="H47" s="11">
        <v>108810680</v>
      </c>
      <c r="I47" s="11">
        <v>106397501</v>
      </c>
      <c r="J47" s="11">
        <v>107193012</v>
      </c>
      <c r="K47" s="11">
        <v>107593001</v>
      </c>
      <c r="L47" s="11">
        <f>'Rate Class Energy Model '!D13</f>
        <v>104215271.962</v>
      </c>
      <c r="M47" s="11">
        <f>'Rate Class Energy Model '!D61</f>
        <v>103331703.51883988</v>
      </c>
    </row>
    <row r="48" spans="1:15">
      <c r="B48" s="4">
        <f t="array" ref="B48:M48">TRANSPOSE('Rate Class Load Model'!E3:E14)</f>
        <v>143454</v>
      </c>
      <c r="C48" s="4">
        <v>137636</v>
      </c>
      <c r="D48" s="4">
        <v>122699</v>
      </c>
      <c r="E48" s="4">
        <v>128067</v>
      </c>
      <c r="F48" s="4">
        <v>134336</v>
      </c>
      <c r="G48" s="4">
        <v>136591</v>
      </c>
      <c r="H48" s="11">
        <v>135003</v>
      </c>
      <c r="I48" s="11">
        <v>129688</v>
      </c>
      <c r="J48" s="11">
        <v>137368</v>
      </c>
      <c r="K48" s="11">
        <v>135869</v>
      </c>
      <c r="L48" s="11">
        <v>128898.04000000001</v>
      </c>
      <c r="M48" s="11">
        <v>119217.70448245616</v>
      </c>
    </row>
    <row r="49" spans="1:13">
      <c r="H49" s="8"/>
      <c r="I49" s="15"/>
      <c r="J49" s="15"/>
    </row>
    <row r="50" spans="1:13">
      <c r="A50" s="25" t="s">
        <v>11</v>
      </c>
      <c r="H50"/>
      <c r="I50"/>
    </row>
    <row r="51" spans="1:13">
      <c r="A51" t="s">
        <v>45</v>
      </c>
      <c r="B51" s="4">
        <f t="shared" ref="B51:M51" si="4">B42-B46</f>
        <v>0</v>
      </c>
      <c r="C51" s="4">
        <f t="shared" si="4"/>
        <v>0</v>
      </c>
      <c r="D51" s="4">
        <f t="shared" si="4"/>
        <v>0</v>
      </c>
      <c r="E51" s="4">
        <f t="shared" si="4"/>
        <v>0</v>
      </c>
      <c r="F51" s="4">
        <f t="shared" si="4"/>
        <v>0</v>
      </c>
      <c r="G51" s="4">
        <f t="shared" si="4"/>
        <v>0</v>
      </c>
      <c r="H51" s="4">
        <f t="shared" si="4"/>
        <v>0</v>
      </c>
      <c r="I51" s="4">
        <f t="shared" si="4"/>
        <v>0</v>
      </c>
      <c r="J51" s="4">
        <f t="shared" si="4"/>
        <v>0</v>
      </c>
      <c r="K51" s="11">
        <f t="shared" si="4"/>
        <v>0</v>
      </c>
      <c r="L51" s="11">
        <f t="shared" si="4"/>
        <v>0</v>
      </c>
      <c r="M51" s="11">
        <f t="shared" si="4"/>
        <v>0</v>
      </c>
    </row>
    <row r="52" spans="1:13">
      <c r="A52" t="s">
        <v>38</v>
      </c>
      <c r="B52" s="4">
        <f t="shared" ref="B52:M52" si="5">B43-B47</f>
        <v>0</v>
      </c>
      <c r="C52" s="4">
        <f t="shared" si="5"/>
        <v>0</v>
      </c>
      <c r="D52" s="4">
        <f t="shared" si="5"/>
        <v>0</v>
      </c>
      <c r="E52" s="4">
        <f t="shared" si="5"/>
        <v>0</v>
      </c>
      <c r="F52" s="4">
        <f t="shared" si="5"/>
        <v>0</v>
      </c>
      <c r="G52" s="4">
        <f t="shared" si="5"/>
        <v>0</v>
      </c>
      <c r="H52" s="4">
        <f t="shared" si="5"/>
        <v>0</v>
      </c>
      <c r="I52" s="4">
        <f t="shared" si="5"/>
        <v>0</v>
      </c>
      <c r="J52" s="4">
        <f t="shared" si="5"/>
        <v>0</v>
      </c>
      <c r="K52" s="11">
        <f t="shared" si="5"/>
        <v>0</v>
      </c>
      <c r="L52" s="11">
        <f t="shared" si="5"/>
        <v>0</v>
      </c>
      <c r="M52" s="11">
        <f t="shared" si="5"/>
        <v>0</v>
      </c>
    </row>
    <row r="53" spans="1:13">
      <c r="A53" t="s">
        <v>44</v>
      </c>
      <c r="B53" s="4">
        <f t="shared" ref="B53:M53" si="6">B44-B48</f>
        <v>0</v>
      </c>
      <c r="C53" s="4">
        <f t="shared" si="6"/>
        <v>0</v>
      </c>
      <c r="D53" s="4">
        <f t="shared" si="6"/>
        <v>0</v>
      </c>
      <c r="E53" s="4">
        <f t="shared" si="6"/>
        <v>0</v>
      </c>
      <c r="F53" s="4">
        <f t="shared" si="6"/>
        <v>0</v>
      </c>
      <c r="G53" s="4">
        <f t="shared" si="6"/>
        <v>0</v>
      </c>
      <c r="H53" s="4">
        <f t="shared" si="6"/>
        <v>0</v>
      </c>
      <c r="I53" s="4">
        <f t="shared" si="6"/>
        <v>0</v>
      </c>
      <c r="J53" s="4">
        <f t="shared" si="6"/>
        <v>0</v>
      </c>
      <c r="K53" s="11">
        <f t="shared" si="6"/>
        <v>0</v>
      </c>
      <c r="L53" s="11">
        <f t="shared" si="6"/>
        <v>0</v>
      </c>
      <c r="M53" s="11">
        <f t="shared" si="6"/>
        <v>0</v>
      </c>
    </row>
    <row r="54" spans="1:13">
      <c r="H54"/>
      <c r="I54"/>
    </row>
    <row r="55" spans="1:13">
      <c r="H55"/>
      <c r="I55"/>
    </row>
    <row r="56" spans="1:13">
      <c r="H56"/>
      <c r="I56"/>
    </row>
    <row r="57" spans="1:13">
      <c r="H57"/>
      <c r="I57"/>
    </row>
    <row r="58" spans="1:13">
      <c r="H58"/>
      <c r="I58"/>
    </row>
    <row r="59" spans="1:13">
      <c r="H59"/>
      <c r="I59"/>
    </row>
    <row r="60" spans="1:13">
      <c r="H60"/>
      <c r="I60"/>
    </row>
    <row r="61" spans="1:13">
      <c r="H61"/>
      <c r="I61"/>
    </row>
    <row r="62" spans="1:13">
      <c r="H62"/>
      <c r="I62"/>
    </row>
    <row r="63" spans="1:13">
      <c r="H63"/>
      <c r="I63"/>
    </row>
    <row r="64" spans="1:13">
      <c r="H64"/>
      <c r="I64"/>
    </row>
    <row r="65" spans="8:9">
      <c r="H65"/>
      <c r="I65"/>
    </row>
    <row r="66" spans="8:9">
      <c r="H66"/>
      <c r="I66"/>
    </row>
    <row r="67" spans="8:9">
      <c r="H67"/>
      <c r="I67"/>
    </row>
    <row r="68" spans="8:9">
      <c r="H68"/>
      <c r="I68"/>
    </row>
    <row r="69" spans="8:9">
      <c r="H69"/>
      <c r="I69"/>
    </row>
    <row r="70" spans="8:9">
      <c r="H70"/>
      <c r="I70"/>
    </row>
    <row r="71" spans="8:9">
      <c r="H71"/>
      <c r="I71"/>
    </row>
    <row r="72" spans="8:9">
      <c r="H72"/>
      <c r="I72"/>
    </row>
    <row r="73" spans="8:9">
      <c r="H73"/>
      <c r="I73"/>
    </row>
    <row r="74" spans="8:9">
      <c r="H74"/>
      <c r="I74"/>
    </row>
    <row r="75" spans="8:9">
      <c r="H75"/>
      <c r="I75"/>
    </row>
    <row r="76" spans="8:9">
      <c r="H76"/>
      <c r="I76"/>
    </row>
    <row r="77" spans="8:9">
      <c r="H77"/>
      <c r="I77"/>
    </row>
    <row r="78" spans="8:9">
      <c r="H78"/>
      <c r="I78"/>
    </row>
    <row r="79" spans="8:9">
      <c r="H79"/>
      <c r="I79"/>
    </row>
    <row r="80" spans="8:9">
      <c r="H80"/>
      <c r="I80"/>
    </row>
    <row r="81" spans="8:9">
      <c r="H81"/>
      <c r="I81"/>
    </row>
    <row r="82" spans="8:9">
      <c r="H82"/>
      <c r="I82"/>
    </row>
    <row r="83" spans="8:9">
      <c r="H83"/>
      <c r="I83"/>
    </row>
    <row r="84" spans="8:9">
      <c r="H84"/>
      <c r="I84"/>
    </row>
    <row r="85" spans="8:9">
      <c r="H85"/>
      <c r="I85"/>
    </row>
    <row r="86" spans="8:9">
      <c r="H86"/>
      <c r="I86"/>
    </row>
    <row r="87" spans="8:9">
      <c r="H87"/>
      <c r="I87"/>
    </row>
    <row r="88" spans="8:9">
      <c r="H88"/>
      <c r="I88"/>
    </row>
    <row r="89" spans="8:9">
      <c r="H89"/>
      <c r="I89"/>
    </row>
    <row r="90" spans="8:9">
      <c r="H90"/>
      <c r="I90"/>
    </row>
    <row r="91" spans="8:9">
      <c r="H91"/>
      <c r="I91"/>
    </row>
    <row r="92" spans="8:9">
      <c r="H92"/>
      <c r="I92"/>
    </row>
  </sheetData>
  <phoneticPr fontId="0" type="noConversion"/>
  <pageMargins left="0.38" right="0.75" top="0.73" bottom="0.74" header="0.5" footer="0.5"/>
  <pageSetup scale="66" orientation="landscape" verticalDpi="300"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BK171"/>
  <sheetViews>
    <sheetView topLeftCell="A124" zoomScaleNormal="100" workbookViewId="0">
      <pane xSplit="2" topLeftCell="C1" activePane="topRight" state="frozen"/>
      <selection activeCell="A4" sqref="A4"/>
      <selection pane="topRight" activeCell="X150" sqref="X150"/>
    </sheetView>
  </sheetViews>
  <sheetFormatPr defaultRowHeight="12.75"/>
  <cols>
    <col min="1" max="1" width="2.7109375" style="39" customWidth="1"/>
    <col min="2" max="2" width="15.7109375" style="36" customWidth="1"/>
    <col min="3" max="3" width="14.42578125" style="37" customWidth="1"/>
    <col min="4" max="5" width="14.42578125" style="36" customWidth="1"/>
    <col min="6" max="7" width="14.42578125" style="36" hidden="1" customWidth="1"/>
    <col min="8" max="8" width="15" style="36" customWidth="1"/>
    <col min="9" max="9" width="3.28515625" style="102" customWidth="1"/>
    <col min="10" max="10" width="13.28515625" style="38" customWidth="1"/>
    <col min="11" max="11" width="11.85546875" style="38" customWidth="1"/>
    <col min="12" max="12" width="14.42578125" style="38" customWidth="1"/>
    <col min="13" max="13" width="13" style="38" customWidth="1"/>
    <col min="14" max="14" width="12.7109375" style="38" customWidth="1"/>
    <col min="15" max="15" width="12.42578125" style="38" customWidth="1"/>
    <col min="16" max="19" width="14.42578125" style="38" hidden="1" customWidth="1"/>
    <col min="20" max="20" width="5.42578125" style="39" customWidth="1"/>
    <col min="21" max="21" width="17.42578125" style="36" bestFit="1" customWidth="1"/>
    <col min="22" max="22" width="12.5703125" style="39" customWidth="1"/>
    <col min="23" max="23" width="10.28515625" style="39" customWidth="1"/>
    <col min="24" max="24" width="12.28515625" style="39" customWidth="1"/>
    <col min="25" max="25" width="6.7109375" style="179" customWidth="1"/>
    <col min="26" max="26" width="8.28515625" style="39" customWidth="1"/>
    <col min="27" max="27" width="25" style="39" customWidth="1"/>
    <col min="28" max="28" width="25.5703125" style="39" customWidth="1"/>
    <col min="29" max="29" width="18" style="39" bestFit="1" customWidth="1"/>
    <col min="30" max="30" width="14.5703125" style="39" customWidth="1"/>
    <col min="31" max="31" width="13.42578125" style="39" customWidth="1"/>
    <col min="32" max="33" width="14.85546875" style="39" customWidth="1"/>
    <col min="34" max="34" width="12.7109375" style="39" customWidth="1"/>
    <col min="35" max="35" width="12.28515625" style="39" bestFit="1" customWidth="1"/>
    <col min="36" max="36" width="11.85546875" style="39" bestFit="1" customWidth="1"/>
    <col min="37" max="16384" width="9.140625" style="39"/>
  </cols>
  <sheetData>
    <row r="1" spans="2:47">
      <c r="AL1" s="40"/>
      <c r="AM1" s="40"/>
      <c r="AN1" s="40"/>
      <c r="AO1" s="40"/>
      <c r="AP1" s="40"/>
      <c r="AQ1" s="40"/>
      <c r="AR1" s="40"/>
      <c r="AS1" s="40"/>
      <c r="AT1" s="40"/>
    </row>
    <row r="2" spans="2:47" ht="23.25">
      <c r="B2" s="41" t="s">
        <v>103</v>
      </c>
      <c r="C2" s="42"/>
      <c r="D2" s="43"/>
      <c r="F2" s="43"/>
      <c r="G2" s="43"/>
      <c r="H2" s="43"/>
      <c r="I2" s="302"/>
      <c r="J2" s="44"/>
      <c r="K2" s="44"/>
      <c r="L2" s="44"/>
      <c r="M2" s="44"/>
      <c r="N2" s="44"/>
      <c r="O2" s="44"/>
      <c r="P2" s="44"/>
      <c r="Q2" s="44"/>
      <c r="R2" s="44"/>
      <c r="S2" s="44"/>
      <c r="T2" s="45"/>
      <c r="U2" s="43"/>
      <c r="W2" s="45"/>
      <c r="AA2" s="46"/>
      <c r="AB2" s="45"/>
      <c r="AC2" s="45"/>
      <c r="AD2" s="45"/>
      <c r="AE2" s="45"/>
      <c r="AF2" s="45"/>
      <c r="AG2" s="45"/>
      <c r="AH2" s="45"/>
      <c r="AI2" s="45"/>
      <c r="AJ2" s="45"/>
      <c r="AK2" s="45"/>
      <c r="AL2" s="40"/>
      <c r="AM2" s="40"/>
      <c r="AN2" s="40"/>
      <c r="AO2" s="40"/>
      <c r="AP2" s="40"/>
      <c r="AQ2" s="40"/>
      <c r="AR2" s="40"/>
      <c r="AS2" s="40"/>
      <c r="AT2" s="40"/>
    </row>
    <row r="3" spans="2:47">
      <c r="C3" s="42"/>
      <c r="D3" s="43"/>
      <c r="E3" s="43"/>
      <c r="F3" s="43"/>
      <c r="G3" s="43"/>
      <c r="H3" s="43"/>
      <c r="I3" s="302"/>
      <c r="J3" s="44"/>
      <c r="K3" s="44"/>
      <c r="L3" s="44"/>
      <c r="M3" s="44"/>
      <c r="N3" s="44"/>
      <c r="O3" s="44"/>
      <c r="P3" s="44"/>
      <c r="Q3" s="44"/>
      <c r="R3" s="44"/>
      <c r="S3" s="44"/>
      <c r="T3" s="45"/>
      <c r="U3" s="45"/>
      <c r="V3" s="45"/>
      <c r="W3" s="45"/>
      <c r="Y3" s="64"/>
      <c r="Z3" s="45"/>
      <c r="AA3" s="45"/>
      <c r="AB3" s="45"/>
      <c r="AC3" s="45"/>
      <c r="AD3" s="45"/>
      <c r="AE3" s="45"/>
      <c r="AF3" s="45"/>
      <c r="AG3" s="45"/>
      <c r="AH3" s="45"/>
      <c r="AI3" s="45"/>
      <c r="AJ3" s="45"/>
      <c r="AK3" s="45"/>
      <c r="AL3" s="40"/>
      <c r="AM3" s="40"/>
      <c r="AN3" s="40"/>
      <c r="AO3" s="40"/>
      <c r="AP3" s="40"/>
      <c r="AQ3" s="40"/>
      <c r="AR3" s="40"/>
      <c r="AS3" s="40"/>
      <c r="AT3" s="40"/>
    </row>
    <row r="4" spans="2:47" ht="13.5" customHeight="1" thickBot="1">
      <c r="C4" s="47"/>
      <c r="D4" s="41"/>
      <c r="E4" s="41"/>
      <c r="F4" s="41"/>
      <c r="G4" s="41"/>
      <c r="H4" s="43"/>
      <c r="I4" s="302"/>
      <c r="J4" s="44"/>
      <c r="K4" s="44"/>
      <c r="L4" s="44"/>
      <c r="M4" s="44"/>
      <c r="N4" s="44"/>
      <c r="O4" s="44"/>
      <c r="P4" s="44"/>
      <c r="Q4" s="44"/>
      <c r="R4" s="44"/>
      <c r="S4" s="44"/>
      <c r="T4" s="45"/>
      <c r="U4" s="43"/>
      <c r="V4" s="45"/>
      <c r="W4" s="45"/>
      <c r="X4" s="45"/>
      <c r="Y4" s="64"/>
      <c r="Z4" s="45"/>
      <c r="AA4" s="45"/>
      <c r="AB4" s="45"/>
      <c r="AC4" s="45"/>
      <c r="AD4" s="45"/>
      <c r="AE4" s="45"/>
      <c r="AF4" s="45"/>
      <c r="AG4" s="45"/>
      <c r="AH4" s="45"/>
      <c r="AI4" s="45"/>
      <c r="AJ4" s="45"/>
      <c r="AK4" s="45"/>
      <c r="AL4" s="40"/>
      <c r="AM4" s="40"/>
      <c r="AN4" s="40"/>
      <c r="AO4" s="40"/>
      <c r="AP4" s="40"/>
      <c r="AQ4" s="40"/>
      <c r="AR4" s="40"/>
      <c r="AS4" s="40"/>
      <c r="AT4" s="40"/>
    </row>
    <row r="5" spans="2:47" s="49" customFormat="1" ht="75" customHeight="1" thickTop="1">
      <c r="B5" s="50"/>
      <c r="C5" s="394" t="s">
        <v>219</v>
      </c>
      <c r="D5" s="394" t="s">
        <v>114</v>
      </c>
      <c r="E5" s="394" t="s">
        <v>104</v>
      </c>
      <c r="F5" s="51" t="s">
        <v>105</v>
      </c>
      <c r="G5" s="52" t="s">
        <v>105</v>
      </c>
      <c r="H5" s="53" t="s">
        <v>210</v>
      </c>
      <c r="I5" s="303"/>
      <c r="J5" s="394" t="s">
        <v>106</v>
      </c>
      <c r="K5" s="394" t="s">
        <v>107</v>
      </c>
      <c r="L5" s="394" t="s">
        <v>3</v>
      </c>
      <c r="M5" s="394" t="s">
        <v>108</v>
      </c>
      <c r="N5" s="394" t="s">
        <v>109</v>
      </c>
      <c r="O5" s="394" t="s">
        <v>78</v>
      </c>
      <c r="P5" s="53"/>
      <c r="Q5" s="121"/>
      <c r="R5" s="121"/>
      <c r="S5" s="53"/>
      <c r="T5" s="54"/>
      <c r="U5" s="55" t="s">
        <v>144</v>
      </c>
      <c r="V5" s="55" t="s">
        <v>6</v>
      </c>
      <c r="W5" s="55" t="s">
        <v>7</v>
      </c>
      <c r="X5" s="55" t="s">
        <v>64</v>
      </c>
      <c r="Y5" s="174"/>
      <c r="Z5" s="48"/>
      <c r="AA5" s="523" t="s">
        <v>14</v>
      </c>
      <c r="AB5" s="597"/>
      <c r="AC5" s="597"/>
      <c r="AD5" s="597"/>
      <c r="AE5" s="597"/>
      <c r="AF5" s="597"/>
      <c r="AG5" s="597"/>
      <c r="AH5" s="597"/>
      <c r="AI5" s="598"/>
      <c r="AJ5" s="56"/>
      <c r="AK5" s="48"/>
      <c r="AL5" s="40"/>
      <c r="AM5" s="40"/>
      <c r="AN5" s="40"/>
      <c r="AO5" s="40"/>
      <c r="AP5" s="40"/>
      <c r="AQ5" s="40"/>
      <c r="AR5" s="40"/>
      <c r="AS5" s="40"/>
      <c r="AT5" s="40"/>
      <c r="AU5" s="39"/>
    </row>
    <row r="6" spans="2:47" ht="13.5" thickBot="1">
      <c r="B6" s="308">
        <v>38353</v>
      </c>
      <c r="C6" s="58">
        <f>[16]Sheet1!G5</f>
        <v>14043460</v>
      </c>
      <c r="D6" s="65">
        <f>[16]Sheet1!F5</f>
        <v>-444000</v>
      </c>
      <c r="E6" s="59"/>
      <c r="F6" s="59"/>
      <c r="G6" s="60"/>
      <c r="H6" s="61">
        <f t="shared" ref="H6:H37" si="0">SUM(C6:G6)</f>
        <v>13599460</v>
      </c>
      <c r="I6" s="304"/>
      <c r="J6" s="169">
        <f>'HDD &amp; CDD'!L6</f>
        <v>920.6999999999997</v>
      </c>
      <c r="K6" s="169">
        <f>'HDD &amp; CDD'!L24</f>
        <v>0</v>
      </c>
      <c r="L6" s="397">
        <f>DAY(EOMONTH(B6,0))</f>
        <v>31</v>
      </c>
      <c r="M6" s="169">
        <v>0</v>
      </c>
      <c r="N6" s="397">
        <f>[17]Sheet1!C4</f>
        <v>1</v>
      </c>
      <c r="O6" s="169">
        <v>0</v>
      </c>
      <c r="P6" s="62"/>
      <c r="Q6" s="62"/>
      <c r="R6" s="62"/>
      <c r="S6" s="63"/>
      <c r="T6" s="173"/>
      <c r="U6" s="61">
        <f t="shared" ref="U6:U37" si="1">$AB$21+J6*$AB$22+K6*$AB$23+L6*$AB$24+M6*$AB$25+N6*$AB$26+O6*$AB$27</f>
        <v>13088761.105455842</v>
      </c>
      <c r="V6" s="217">
        <f t="shared" ref="V6:V37" si="2">U6-H6</f>
        <v>-510698.89454415813</v>
      </c>
      <c r="W6" s="218">
        <f t="shared" ref="W6:W37" si="3">V6/H6</f>
        <v>-3.7552880374967693E-2</v>
      </c>
      <c r="X6" s="218">
        <f>ABS(W6)</f>
        <v>3.7552880374967693E-2</v>
      </c>
      <c r="Y6" s="175"/>
      <c r="Z6" s="310"/>
      <c r="AA6" s="526"/>
      <c r="AB6" s="403"/>
      <c r="AC6" s="403"/>
      <c r="AD6" s="403"/>
      <c r="AE6" s="403"/>
      <c r="AF6" s="403"/>
      <c r="AG6" s="403"/>
      <c r="AH6" s="403"/>
      <c r="AI6" s="452"/>
      <c r="AJ6" s="64"/>
      <c r="AK6" s="45"/>
      <c r="AL6" s="40"/>
      <c r="AM6" s="40"/>
      <c r="AN6" s="40"/>
      <c r="AO6" s="40"/>
      <c r="AP6" s="40"/>
      <c r="AQ6" s="40"/>
      <c r="AR6" s="40"/>
      <c r="AS6" s="40"/>
      <c r="AT6" s="40"/>
    </row>
    <row r="7" spans="2:47">
      <c r="B7" s="57">
        <f>EOMONTH(B6,1)</f>
        <v>38411</v>
      </c>
      <c r="C7" s="65">
        <f>[16]Sheet1!G6</f>
        <v>12095730</v>
      </c>
      <c r="D7" s="65">
        <f>[16]Sheet1!F6</f>
        <v>-498000</v>
      </c>
      <c r="E7" s="59"/>
      <c r="F7" s="66"/>
      <c r="G7" s="66"/>
      <c r="H7" s="67">
        <f t="shared" si="0"/>
        <v>11597730</v>
      </c>
      <c r="I7" s="304"/>
      <c r="J7" s="169">
        <f>'HDD &amp; CDD'!L7</f>
        <v>700.60000000000014</v>
      </c>
      <c r="K7" s="169">
        <f>'HDD &amp; CDD'!L25</f>
        <v>0</v>
      </c>
      <c r="L7" s="397">
        <f t="shared" ref="L7:L70" si="4">DAY(EOMONTH(B7,0))</f>
        <v>28</v>
      </c>
      <c r="M7" s="169">
        <v>0</v>
      </c>
      <c r="N7" s="397">
        <f>[17]Sheet1!C5</f>
        <v>0</v>
      </c>
      <c r="O7" s="169">
        <v>0</v>
      </c>
      <c r="P7" s="62"/>
      <c r="Q7" s="62"/>
      <c r="R7" s="62"/>
      <c r="S7" s="63"/>
      <c r="T7" s="45"/>
      <c r="U7" s="61">
        <f t="shared" si="1"/>
        <v>11425253.78296116</v>
      </c>
      <c r="V7" s="217">
        <f t="shared" si="2"/>
        <v>-172476.21703884006</v>
      </c>
      <c r="W7" s="218">
        <f t="shared" si="3"/>
        <v>-1.4871549608314735E-2</v>
      </c>
      <c r="X7" s="218">
        <f t="shared" ref="X7:X70" si="5">ABS(W7)</f>
        <v>1.4871549608314735E-2</v>
      </c>
      <c r="Y7" s="175"/>
      <c r="Z7" s="310"/>
      <c r="AA7" s="599" t="s">
        <v>15</v>
      </c>
      <c r="AB7" s="19"/>
      <c r="AC7" s="403"/>
      <c r="AD7" s="403"/>
      <c r="AE7" s="403"/>
      <c r="AF7" s="403"/>
      <c r="AG7" s="403"/>
      <c r="AH7" s="403"/>
      <c r="AI7" s="452"/>
      <c r="AJ7" s="64"/>
      <c r="AK7" s="45"/>
      <c r="AL7" s="40"/>
      <c r="AM7" s="40"/>
      <c r="AN7" s="40"/>
      <c r="AO7" s="40"/>
      <c r="AP7" s="40"/>
      <c r="AQ7" s="40"/>
      <c r="AR7" s="40"/>
      <c r="AS7" s="40"/>
      <c r="AT7" s="40"/>
    </row>
    <row r="8" spans="2:47">
      <c r="B8" s="57">
        <f t="shared" ref="B8:B71" si="6">EOMONTH(B7,1)</f>
        <v>38442</v>
      </c>
      <c r="C8" s="65">
        <f>[16]Sheet1!G7</f>
        <v>12289830</v>
      </c>
      <c r="D8" s="65">
        <f>[16]Sheet1!F7</f>
        <v>-484000</v>
      </c>
      <c r="E8" s="59"/>
      <c r="F8" s="68"/>
      <c r="G8" s="69"/>
      <c r="H8" s="67">
        <f t="shared" si="0"/>
        <v>11805830</v>
      </c>
      <c r="I8" s="304"/>
      <c r="J8" s="169">
        <f>'HDD &amp; CDD'!L8</f>
        <v>668.8</v>
      </c>
      <c r="K8" s="169">
        <f>'HDD &amp; CDD'!L26</f>
        <v>0</v>
      </c>
      <c r="L8" s="397">
        <f t="shared" si="4"/>
        <v>31</v>
      </c>
      <c r="M8" s="169">
        <v>1</v>
      </c>
      <c r="N8" s="397">
        <f>[17]Sheet1!C6</f>
        <v>2</v>
      </c>
      <c r="O8" s="169">
        <v>0</v>
      </c>
      <c r="P8" s="62"/>
      <c r="Q8" s="62"/>
      <c r="R8" s="62"/>
      <c r="S8" s="63"/>
      <c r="T8" s="45"/>
      <c r="U8" s="61">
        <f t="shared" si="1"/>
        <v>11429035.098497361</v>
      </c>
      <c r="V8" s="217">
        <f t="shared" si="2"/>
        <v>-376794.90150263906</v>
      </c>
      <c r="W8" s="218">
        <f t="shared" si="3"/>
        <v>-3.1916002644679711E-2</v>
      </c>
      <c r="X8" s="218">
        <f t="shared" si="5"/>
        <v>3.1916002644679711E-2</v>
      </c>
      <c r="Y8" s="176"/>
      <c r="Z8" s="310"/>
      <c r="AA8" s="600" t="s">
        <v>16</v>
      </c>
      <c r="AB8" s="16">
        <v>0.97854344960504558</v>
      </c>
      <c r="AC8" s="403"/>
      <c r="AD8" s="403"/>
      <c r="AE8" s="403"/>
      <c r="AF8" s="403"/>
      <c r="AG8" s="403"/>
      <c r="AH8" s="403"/>
      <c r="AI8" s="452"/>
      <c r="AJ8" s="64"/>
      <c r="AK8" s="45"/>
      <c r="AL8" s="40"/>
      <c r="AM8" s="40"/>
      <c r="AN8" s="40"/>
      <c r="AO8" s="40"/>
      <c r="AP8" s="40"/>
      <c r="AQ8" s="40"/>
      <c r="AR8" s="40"/>
      <c r="AS8" s="40"/>
      <c r="AT8" s="40"/>
    </row>
    <row r="9" spans="2:47">
      <c r="B9" s="57">
        <f t="shared" si="6"/>
        <v>38472</v>
      </c>
      <c r="C9" s="65">
        <f>[16]Sheet1!G8</f>
        <v>10028980</v>
      </c>
      <c r="D9" s="65">
        <f>[16]Sheet1!F8</f>
        <v>-330000</v>
      </c>
      <c r="E9" s="59"/>
      <c r="F9" s="68"/>
      <c r="G9" s="69"/>
      <c r="H9" s="67">
        <f t="shared" si="0"/>
        <v>9698980</v>
      </c>
      <c r="I9" s="304"/>
      <c r="J9" s="169">
        <f>'HDD &amp; CDD'!L9</f>
        <v>324.8</v>
      </c>
      <c r="K9" s="169">
        <f>'HDD &amp; CDD'!L27</f>
        <v>0</v>
      </c>
      <c r="L9" s="397">
        <f t="shared" si="4"/>
        <v>30</v>
      </c>
      <c r="M9" s="169">
        <v>1</v>
      </c>
      <c r="N9" s="397">
        <f>[17]Sheet1!C7</f>
        <v>0</v>
      </c>
      <c r="O9" s="169">
        <v>0</v>
      </c>
      <c r="P9" s="62"/>
      <c r="Q9" s="62"/>
      <c r="R9" s="62"/>
      <c r="S9" s="63"/>
      <c r="T9" s="45"/>
      <c r="U9" s="61">
        <f t="shared" si="1"/>
        <v>9799707.3946828395</v>
      </c>
      <c r="V9" s="217">
        <f t="shared" si="2"/>
        <v>100727.39468283951</v>
      </c>
      <c r="W9" s="218">
        <f t="shared" si="3"/>
        <v>1.0385359561813667E-2</v>
      </c>
      <c r="X9" s="218">
        <f t="shared" si="5"/>
        <v>1.0385359561813667E-2</v>
      </c>
      <c r="Y9" s="176"/>
      <c r="Z9" s="310"/>
      <c r="AA9" s="600" t="s">
        <v>17</v>
      </c>
      <c r="AB9" s="16">
        <v>0.95754728276494228</v>
      </c>
      <c r="AC9" s="403"/>
      <c r="AD9" s="403"/>
      <c r="AE9" s="403"/>
      <c r="AF9" s="403"/>
      <c r="AG9" s="403"/>
      <c r="AH9" s="403"/>
      <c r="AI9" s="452"/>
      <c r="AJ9" s="64"/>
      <c r="AK9" s="45"/>
      <c r="AL9" s="40"/>
      <c r="AM9" s="40"/>
      <c r="AN9" s="40"/>
      <c r="AO9" s="40"/>
      <c r="AP9" s="40"/>
      <c r="AQ9" s="40"/>
      <c r="AR9" s="40"/>
      <c r="AS9" s="40"/>
      <c r="AT9" s="40"/>
    </row>
    <row r="10" spans="2:47">
      <c r="B10" s="57">
        <f t="shared" si="6"/>
        <v>38503</v>
      </c>
      <c r="C10" s="65">
        <f>[16]Sheet1!G9</f>
        <v>9635640</v>
      </c>
      <c r="D10" s="65">
        <f>[16]Sheet1!F9</f>
        <v>-432000</v>
      </c>
      <c r="E10" s="59"/>
      <c r="F10" s="68"/>
      <c r="G10" s="69"/>
      <c r="H10" s="67">
        <f t="shared" si="0"/>
        <v>9203640</v>
      </c>
      <c r="I10" s="304"/>
      <c r="J10" s="169">
        <f>'HDD &amp; CDD'!L10</f>
        <v>205</v>
      </c>
      <c r="K10" s="169">
        <f>'HDD &amp; CDD'!L28</f>
        <v>1.9</v>
      </c>
      <c r="L10" s="397">
        <f t="shared" si="4"/>
        <v>31</v>
      </c>
      <c r="M10" s="169">
        <v>1</v>
      </c>
      <c r="N10" s="397">
        <f>[17]Sheet1!C8</f>
        <v>1</v>
      </c>
      <c r="O10" s="169">
        <v>0</v>
      </c>
      <c r="P10" s="62"/>
      <c r="Q10" s="62"/>
      <c r="R10" s="62"/>
      <c r="S10" s="63"/>
      <c r="T10" s="45"/>
      <c r="U10" s="61">
        <f t="shared" si="1"/>
        <v>9402526.8493306804</v>
      </c>
      <c r="V10" s="217">
        <f t="shared" si="2"/>
        <v>198886.84933068044</v>
      </c>
      <c r="W10" s="218">
        <f t="shared" si="3"/>
        <v>2.1609585917167603E-2</v>
      </c>
      <c r="X10" s="218">
        <f t="shared" si="5"/>
        <v>2.1609585917167603E-2</v>
      </c>
      <c r="Y10" s="176"/>
      <c r="Z10" s="310"/>
      <c r="AA10" s="600" t="s">
        <v>18</v>
      </c>
      <c r="AB10" s="16">
        <v>0.95529315618608956</v>
      </c>
      <c r="AC10" s="403"/>
      <c r="AD10" s="403"/>
      <c r="AE10" s="403"/>
      <c r="AF10" s="403"/>
      <c r="AG10" s="403"/>
      <c r="AH10" s="403"/>
      <c r="AI10" s="452"/>
      <c r="AJ10" s="64"/>
      <c r="AK10" s="45"/>
      <c r="AL10" s="40"/>
      <c r="AM10" s="40"/>
      <c r="AN10" s="40"/>
      <c r="AO10" s="40"/>
      <c r="AP10" s="40"/>
      <c r="AQ10" s="40"/>
      <c r="AR10" s="40"/>
      <c r="AS10" s="40"/>
      <c r="AT10" s="40"/>
    </row>
    <row r="11" spans="2:47">
      <c r="B11" s="57">
        <f t="shared" si="6"/>
        <v>38533</v>
      </c>
      <c r="C11" s="65">
        <f>[16]Sheet1!G10</f>
        <v>10690860</v>
      </c>
      <c r="D11" s="65">
        <f>[16]Sheet1!F10</f>
        <v>-500000</v>
      </c>
      <c r="E11" s="59"/>
      <c r="F11" s="68"/>
      <c r="G11" s="69"/>
      <c r="H11" s="67">
        <f t="shared" si="0"/>
        <v>10190860</v>
      </c>
      <c r="I11" s="304"/>
      <c r="J11" s="169">
        <f>'HDD &amp; CDD'!L11</f>
        <v>16.099999999999998</v>
      </c>
      <c r="K11" s="169">
        <f>'HDD &amp; CDD'!L29</f>
        <v>111.6</v>
      </c>
      <c r="L11" s="397">
        <f t="shared" si="4"/>
        <v>30</v>
      </c>
      <c r="M11" s="169">
        <v>0</v>
      </c>
      <c r="N11" s="397">
        <f>[17]Sheet1!C9</f>
        <v>0</v>
      </c>
      <c r="O11" s="169">
        <v>0</v>
      </c>
      <c r="P11" s="62"/>
      <c r="Q11" s="62"/>
      <c r="R11" s="62"/>
      <c r="S11" s="63"/>
      <c r="T11" s="45"/>
      <c r="U11" s="61">
        <f t="shared" si="1"/>
        <v>10278686.964497738</v>
      </c>
      <c r="V11" s="217">
        <f t="shared" si="2"/>
        <v>87826.964497737586</v>
      </c>
      <c r="W11" s="218">
        <f t="shared" si="3"/>
        <v>8.6182093069414739E-3</v>
      </c>
      <c r="X11" s="218">
        <f t="shared" si="5"/>
        <v>8.6182093069414739E-3</v>
      </c>
      <c r="Y11" s="176"/>
      <c r="Z11" s="310"/>
      <c r="AA11" s="600" t="s">
        <v>19</v>
      </c>
      <c r="AB11" s="16">
        <v>269099.6807503883</v>
      </c>
      <c r="AC11" s="403"/>
      <c r="AD11" s="403"/>
      <c r="AE11" s="403"/>
      <c r="AF11" s="403"/>
      <c r="AG11" s="403"/>
      <c r="AH11" s="403"/>
      <c r="AI11" s="452"/>
      <c r="AJ11" s="64"/>
      <c r="AK11" s="45"/>
      <c r="AL11" s="40"/>
      <c r="AM11" s="40"/>
      <c r="AN11" s="40"/>
      <c r="AO11" s="40"/>
      <c r="AP11" s="40"/>
      <c r="AQ11" s="40"/>
      <c r="AR11" s="40"/>
      <c r="AS11" s="40"/>
      <c r="AT11" s="40"/>
    </row>
    <row r="12" spans="2:47" ht="13.5" thickBot="1">
      <c r="B12" s="57">
        <f t="shared" si="6"/>
        <v>38564</v>
      </c>
      <c r="C12" s="65">
        <f>[16]Sheet1!G11</f>
        <v>11192530</v>
      </c>
      <c r="D12" s="65">
        <f>[16]Sheet1!F11</f>
        <v>-676000</v>
      </c>
      <c r="E12" s="59"/>
      <c r="F12" s="68"/>
      <c r="G12" s="69"/>
      <c r="H12" s="67">
        <f t="shared" si="0"/>
        <v>10516530</v>
      </c>
      <c r="I12" s="304"/>
      <c r="J12" s="169">
        <f>'HDD &amp; CDD'!L12</f>
        <v>2.9000000000000004</v>
      </c>
      <c r="K12" s="169">
        <f>'HDD &amp; CDD'!L30</f>
        <v>128.6</v>
      </c>
      <c r="L12" s="397">
        <f t="shared" si="4"/>
        <v>31</v>
      </c>
      <c r="M12" s="169">
        <v>0</v>
      </c>
      <c r="N12" s="397">
        <f>[17]Sheet1!C10</f>
        <v>1</v>
      </c>
      <c r="O12" s="169">
        <v>0</v>
      </c>
      <c r="P12" s="62"/>
      <c r="Q12" s="62"/>
      <c r="R12" s="62"/>
      <c r="S12" s="63"/>
      <c r="T12" s="45"/>
      <c r="U12" s="61">
        <f t="shared" si="1"/>
        <v>10589412.125483904</v>
      </c>
      <c r="V12" s="217">
        <f t="shared" si="2"/>
        <v>72882.125483904034</v>
      </c>
      <c r="W12" s="218">
        <f t="shared" si="3"/>
        <v>6.9302446228845481E-3</v>
      </c>
      <c r="X12" s="218">
        <f t="shared" si="5"/>
        <v>6.9302446228845481E-3</v>
      </c>
      <c r="Y12" s="176"/>
      <c r="Z12" s="310"/>
      <c r="AA12" s="601" t="s">
        <v>20</v>
      </c>
      <c r="AB12" s="17">
        <v>120</v>
      </c>
      <c r="AC12" s="403"/>
      <c r="AD12" s="403"/>
      <c r="AE12" s="403"/>
      <c r="AF12" s="403"/>
      <c r="AG12" s="403"/>
      <c r="AH12" s="403"/>
      <c r="AI12" s="452"/>
      <c r="AJ12" s="64"/>
      <c r="AK12" s="45"/>
      <c r="AL12" s="40"/>
      <c r="AM12" s="40"/>
      <c r="AN12" s="40"/>
      <c r="AO12" s="40"/>
      <c r="AP12" s="40"/>
      <c r="AQ12" s="40"/>
      <c r="AR12" s="40"/>
      <c r="AS12" s="40"/>
      <c r="AT12" s="40"/>
    </row>
    <row r="13" spans="2:47">
      <c r="B13" s="57">
        <f t="shared" si="6"/>
        <v>38595</v>
      </c>
      <c r="C13" s="65">
        <f>[16]Sheet1!G12</f>
        <v>11098410</v>
      </c>
      <c r="D13" s="65">
        <f>[16]Sheet1!F12</f>
        <v>-600000</v>
      </c>
      <c r="E13" s="59"/>
      <c r="F13" s="68"/>
      <c r="G13" s="69"/>
      <c r="H13" s="67">
        <f t="shared" si="0"/>
        <v>10498410</v>
      </c>
      <c r="I13" s="304"/>
      <c r="J13" s="169">
        <f>'HDD &amp; CDD'!L13</f>
        <v>8.3999999999999986</v>
      </c>
      <c r="K13" s="169">
        <f>'HDD &amp; CDD'!L31</f>
        <v>115.39999999999999</v>
      </c>
      <c r="L13" s="397">
        <f t="shared" si="4"/>
        <v>31</v>
      </c>
      <c r="M13" s="169">
        <v>0</v>
      </c>
      <c r="N13" s="397">
        <f>[17]Sheet1!C11</f>
        <v>1</v>
      </c>
      <c r="O13" s="169">
        <v>0</v>
      </c>
      <c r="P13" s="62"/>
      <c r="Q13" s="62"/>
      <c r="R13" s="62"/>
      <c r="S13" s="63"/>
      <c r="T13" s="45"/>
      <c r="U13" s="61">
        <f t="shared" si="1"/>
        <v>10431578.21137758</v>
      </c>
      <c r="V13" s="217">
        <f t="shared" si="2"/>
        <v>-66831.788622420281</v>
      </c>
      <c r="W13" s="218">
        <f t="shared" si="3"/>
        <v>-6.3658962283260302E-3</v>
      </c>
      <c r="X13" s="218">
        <f t="shared" si="5"/>
        <v>6.3658962283260302E-3</v>
      </c>
      <c r="Y13" s="176"/>
      <c r="Z13" s="310"/>
      <c r="AA13" s="526"/>
      <c r="AB13" s="403"/>
      <c r="AC13" s="403"/>
      <c r="AD13" s="403"/>
      <c r="AE13" s="403"/>
      <c r="AF13" s="403"/>
      <c r="AG13" s="403"/>
      <c r="AH13" s="403"/>
      <c r="AI13" s="452"/>
      <c r="AJ13" s="64"/>
      <c r="AK13" s="45"/>
      <c r="AL13" s="40"/>
      <c r="AM13" s="40"/>
      <c r="AN13" s="40"/>
      <c r="AO13" s="40"/>
      <c r="AP13" s="40"/>
      <c r="AQ13" s="40"/>
      <c r="AR13" s="40"/>
      <c r="AS13" s="40"/>
      <c r="AT13" s="40"/>
    </row>
    <row r="14" spans="2:47" ht="13.5" thickBot="1">
      <c r="B14" s="57">
        <f t="shared" si="6"/>
        <v>38625</v>
      </c>
      <c r="C14" s="65">
        <f>[16]Sheet1!G13</f>
        <v>9976880</v>
      </c>
      <c r="D14" s="65">
        <f>[16]Sheet1!F13</f>
        <v>-472000</v>
      </c>
      <c r="E14" s="59"/>
      <c r="F14" s="68"/>
      <c r="G14" s="69"/>
      <c r="H14" s="67">
        <f t="shared" si="0"/>
        <v>9504880</v>
      </c>
      <c r="I14" s="304"/>
      <c r="J14" s="169">
        <f>'HDD &amp; CDD'!L14</f>
        <v>59.2</v>
      </c>
      <c r="K14" s="169">
        <f>'HDD &amp; CDD'!L32</f>
        <v>33.099999999999994</v>
      </c>
      <c r="L14" s="397">
        <f t="shared" si="4"/>
        <v>30</v>
      </c>
      <c r="M14" s="169">
        <v>1</v>
      </c>
      <c r="N14" s="397">
        <f>[17]Sheet1!C12</f>
        <v>1</v>
      </c>
      <c r="O14" s="169">
        <v>0</v>
      </c>
      <c r="P14" s="62"/>
      <c r="Q14" s="62"/>
      <c r="R14" s="62"/>
      <c r="S14" s="63"/>
      <c r="T14" s="45"/>
      <c r="U14" s="61">
        <f t="shared" si="1"/>
        <v>8905576.1657034978</v>
      </c>
      <c r="V14" s="217">
        <f t="shared" si="2"/>
        <v>-599303.83429650217</v>
      </c>
      <c r="W14" s="218">
        <f t="shared" si="3"/>
        <v>-6.3052225203948098E-2</v>
      </c>
      <c r="X14" s="218">
        <f t="shared" si="5"/>
        <v>6.3052225203948098E-2</v>
      </c>
      <c r="Y14" s="176"/>
      <c r="Z14" s="310"/>
      <c r="AA14" s="526" t="s">
        <v>21</v>
      </c>
      <c r="AB14" s="403"/>
      <c r="AC14" s="403"/>
      <c r="AD14" s="403"/>
      <c r="AE14" s="403"/>
      <c r="AF14" s="403"/>
      <c r="AG14" s="403"/>
      <c r="AH14" s="403"/>
      <c r="AI14" s="452"/>
      <c r="AJ14" s="64"/>
      <c r="AK14" s="45"/>
      <c r="AL14" s="45"/>
      <c r="AM14" s="45"/>
      <c r="AN14" s="45"/>
      <c r="AO14" s="45"/>
      <c r="AP14" s="45"/>
      <c r="AQ14" s="45"/>
      <c r="AR14" s="45"/>
      <c r="AS14" s="45"/>
    </row>
    <row r="15" spans="2:47">
      <c r="B15" s="57">
        <f t="shared" si="6"/>
        <v>38656</v>
      </c>
      <c r="C15" s="65">
        <f>[16]Sheet1!G14</f>
        <v>10338960</v>
      </c>
      <c r="D15" s="65">
        <f>[16]Sheet1!F14</f>
        <v>-416000</v>
      </c>
      <c r="E15" s="59"/>
      <c r="F15" s="68"/>
      <c r="G15" s="69"/>
      <c r="H15" s="67">
        <f t="shared" si="0"/>
        <v>9922960</v>
      </c>
      <c r="I15" s="304"/>
      <c r="J15" s="169">
        <f>'HDD &amp; CDD'!L15</f>
        <v>269.70000000000005</v>
      </c>
      <c r="K15" s="169">
        <f>'HDD &amp; CDD'!L33</f>
        <v>6.4</v>
      </c>
      <c r="L15" s="397">
        <f t="shared" si="4"/>
        <v>31</v>
      </c>
      <c r="M15" s="169">
        <v>1</v>
      </c>
      <c r="N15" s="397">
        <f>[17]Sheet1!C13</f>
        <v>1</v>
      </c>
      <c r="O15" s="169">
        <v>0</v>
      </c>
      <c r="P15" s="62"/>
      <c r="Q15" s="62"/>
      <c r="R15" s="62"/>
      <c r="S15" s="63"/>
      <c r="T15" s="45"/>
      <c r="U15" s="61">
        <f t="shared" si="1"/>
        <v>9767327.0970912743</v>
      </c>
      <c r="V15" s="217">
        <f t="shared" si="2"/>
        <v>-155632.90290872566</v>
      </c>
      <c r="W15" s="218">
        <f t="shared" si="3"/>
        <v>-1.5684120757185928E-2</v>
      </c>
      <c r="X15" s="218">
        <f t="shared" si="5"/>
        <v>1.5684120757185928E-2</v>
      </c>
      <c r="Y15" s="176"/>
      <c r="Z15" s="310"/>
      <c r="AA15" s="602"/>
      <c r="AB15" s="18" t="s">
        <v>25</v>
      </c>
      <c r="AC15" s="18" t="s">
        <v>26</v>
      </c>
      <c r="AD15" s="18" t="s">
        <v>27</v>
      </c>
      <c r="AE15" s="18" t="s">
        <v>28</v>
      </c>
      <c r="AF15" s="18" t="s">
        <v>29</v>
      </c>
      <c r="AG15" s="403"/>
      <c r="AH15" s="403"/>
      <c r="AI15" s="452"/>
      <c r="AJ15" s="64"/>
      <c r="AK15" s="45"/>
      <c r="AL15" s="45"/>
      <c r="AM15" s="45"/>
      <c r="AN15" s="45"/>
      <c r="AO15" s="45"/>
      <c r="AP15" s="45"/>
      <c r="AQ15" s="45"/>
      <c r="AR15" s="45"/>
      <c r="AS15" s="45"/>
    </row>
    <row r="16" spans="2:47">
      <c r="B16" s="57">
        <f t="shared" si="6"/>
        <v>38686</v>
      </c>
      <c r="C16" s="65">
        <f>[16]Sheet1!G15</f>
        <v>11286470</v>
      </c>
      <c r="D16" s="65">
        <f>[16]Sheet1!F15</f>
        <v>-634000</v>
      </c>
      <c r="E16" s="59"/>
      <c r="F16" s="68"/>
      <c r="G16" s="69"/>
      <c r="H16" s="67">
        <f t="shared" si="0"/>
        <v>10652470</v>
      </c>
      <c r="I16" s="304"/>
      <c r="J16" s="169">
        <f>'HDD &amp; CDD'!L16</f>
        <v>484.2</v>
      </c>
      <c r="K16" s="169">
        <f>'HDD &amp; CDD'!L34</f>
        <v>0</v>
      </c>
      <c r="L16" s="397">
        <f t="shared" si="4"/>
        <v>30</v>
      </c>
      <c r="M16" s="169">
        <v>1</v>
      </c>
      <c r="N16" s="397">
        <f>[17]Sheet1!C14</f>
        <v>0</v>
      </c>
      <c r="O16" s="169">
        <v>0</v>
      </c>
      <c r="P16" s="62"/>
      <c r="Q16" s="62"/>
      <c r="R16" s="62"/>
      <c r="S16" s="63"/>
      <c r="T16" s="45"/>
      <c r="U16" s="61">
        <f t="shared" si="1"/>
        <v>10544316.048308441</v>
      </c>
      <c r="V16" s="217">
        <f t="shared" si="2"/>
        <v>-108153.95169155858</v>
      </c>
      <c r="W16" s="218">
        <f t="shared" si="3"/>
        <v>-1.0152945907527418E-2</v>
      </c>
      <c r="X16" s="218">
        <f t="shared" si="5"/>
        <v>1.0152945907527418E-2</v>
      </c>
      <c r="Y16" s="176"/>
      <c r="Z16" s="310"/>
      <c r="AA16" s="600" t="s">
        <v>22</v>
      </c>
      <c r="AB16" s="16">
        <v>6</v>
      </c>
      <c r="AC16" s="16">
        <v>184569333431816.06</v>
      </c>
      <c r="AD16" s="16">
        <v>30761555571969.344</v>
      </c>
      <c r="AE16" s="16">
        <v>424.79747665827466</v>
      </c>
      <c r="AF16" s="16">
        <v>4.6285422662222501E-75</v>
      </c>
      <c r="AG16" s="403"/>
      <c r="AH16" s="403"/>
      <c r="AI16" s="452"/>
      <c r="AJ16" s="64"/>
      <c r="AK16" s="45"/>
      <c r="AL16" s="45"/>
      <c r="AM16" s="45"/>
      <c r="AN16" s="45"/>
      <c r="AO16" s="45"/>
      <c r="AP16" s="45"/>
      <c r="AQ16" s="45"/>
      <c r="AR16" s="45"/>
      <c r="AS16" s="45"/>
    </row>
    <row r="17" spans="2:45">
      <c r="B17" s="172">
        <f t="shared" si="6"/>
        <v>38717</v>
      </c>
      <c r="C17" s="70">
        <f>[16]Sheet1!G16</f>
        <v>12985440</v>
      </c>
      <c r="D17" s="81">
        <f>[16]Sheet1!F16</f>
        <v>-608000</v>
      </c>
      <c r="E17" s="72"/>
      <c r="F17" s="71"/>
      <c r="G17" s="73"/>
      <c r="H17" s="74">
        <f t="shared" si="0"/>
        <v>12377440</v>
      </c>
      <c r="I17" s="305"/>
      <c r="J17" s="118">
        <f>'HDD &amp; CDD'!L17</f>
        <v>761.99999999999989</v>
      </c>
      <c r="K17" s="118">
        <f>'HDD &amp; CDD'!L35</f>
        <v>0</v>
      </c>
      <c r="L17" s="398">
        <f t="shared" si="4"/>
        <v>31</v>
      </c>
      <c r="M17" s="118">
        <v>0</v>
      </c>
      <c r="N17" s="398">
        <f>[17]Sheet1!C15</f>
        <v>2</v>
      </c>
      <c r="O17" s="118">
        <v>0</v>
      </c>
      <c r="P17" s="75"/>
      <c r="Q17" s="75"/>
      <c r="R17" s="75"/>
      <c r="S17" s="76"/>
      <c r="T17" s="77"/>
      <c r="U17" s="78">
        <f t="shared" si="1"/>
        <v>12233788.342881074</v>
      </c>
      <c r="V17" s="229">
        <f t="shared" si="2"/>
        <v>-143651.65711892582</v>
      </c>
      <c r="W17" s="219">
        <f t="shared" si="3"/>
        <v>-1.1605926356251845E-2</v>
      </c>
      <c r="X17" s="219">
        <f t="shared" si="5"/>
        <v>1.1605926356251845E-2</v>
      </c>
      <c r="Y17" s="177"/>
      <c r="Z17" s="310"/>
      <c r="AA17" s="600" t="s">
        <v>23</v>
      </c>
      <c r="AB17" s="16">
        <v>113</v>
      </c>
      <c r="AC17" s="16">
        <v>8182854114335.5811</v>
      </c>
      <c r="AD17" s="16">
        <v>72414638179.960892</v>
      </c>
      <c r="AE17" s="16"/>
      <c r="AF17" s="16"/>
      <c r="AG17" s="403"/>
      <c r="AH17" s="403"/>
      <c r="AI17" s="452"/>
      <c r="AJ17" s="64"/>
      <c r="AK17" s="45"/>
      <c r="AL17" s="45"/>
      <c r="AM17" s="45"/>
      <c r="AN17" s="45"/>
      <c r="AO17" s="45"/>
      <c r="AP17" s="45"/>
      <c r="AQ17" s="45"/>
      <c r="AR17" s="45"/>
      <c r="AS17" s="45"/>
    </row>
    <row r="18" spans="2:45" ht="13.5" thickBot="1">
      <c r="B18" s="57">
        <f t="shared" si="6"/>
        <v>38748</v>
      </c>
      <c r="C18" s="65">
        <f>[16]Sheet1!G17</f>
        <v>12900470</v>
      </c>
      <c r="D18" s="65">
        <f>[16]Sheet1!F17</f>
        <v>-392000</v>
      </c>
      <c r="E18" s="59"/>
      <c r="F18" s="68"/>
      <c r="G18" s="69"/>
      <c r="H18" s="67">
        <f t="shared" si="0"/>
        <v>12508470</v>
      </c>
      <c r="I18" s="304"/>
      <c r="J18" s="169">
        <f>'HDD &amp; CDD'!M6</f>
        <v>733.50000000000023</v>
      </c>
      <c r="K18" s="169">
        <f>'HDD &amp; CDD'!M24</f>
        <v>0</v>
      </c>
      <c r="L18" s="397">
        <f t="shared" si="4"/>
        <v>31</v>
      </c>
      <c r="M18" s="169">
        <v>0</v>
      </c>
      <c r="N18" s="397">
        <f>[17]Sheet1!C16</f>
        <v>1</v>
      </c>
      <c r="O18" s="117">
        <f>'CDM Activity'!C64</f>
        <v>2663.7993261078232</v>
      </c>
      <c r="P18" s="62"/>
      <c r="Q18" s="62"/>
      <c r="R18" s="62"/>
      <c r="S18" s="63"/>
      <c r="T18" s="45"/>
      <c r="U18" s="61">
        <f t="shared" si="1"/>
        <v>12205947.439700987</v>
      </c>
      <c r="V18" s="217">
        <f t="shared" si="2"/>
        <v>-302522.56029901281</v>
      </c>
      <c r="W18" s="218">
        <f t="shared" si="3"/>
        <v>-2.4185416785507164E-2</v>
      </c>
      <c r="X18" s="218">
        <f t="shared" si="5"/>
        <v>2.4185416785507164E-2</v>
      </c>
      <c r="Y18" s="177"/>
      <c r="Z18" s="310"/>
      <c r="AA18" s="601" t="s">
        <v>5</v>
      </c>
      <c r="AB18" s="17">
        <v>119</v>
      </c>
      <c r="AC18" s="17">
        <v>192752187546151.66</v>
      </c>
      <c r="AD18" s="17"/>
      <c r="AE18" s="17"/>
      <c r="AF18" s="17"/>
      <c r="AG18" s="403"/>
      <c r="AH18" s="403"/>
      <c r="AI18" s="452"/>
      <c r="AJ18" s="64"/>
      <c r="AK18" s="45"/>
      <c r="AL18" s="45"/>
      <c r="AM18" s="45"/>
      <c r="AN18" s="45"/>
      <c r="AO18" s="45"/>
      <c r="AP18" s="45"/>
      <c r="AQ18" s="45"/>
      <c r="AR18" s="45"/>
      <c r="AS18" s="45"/>
    </row>
    <row r="19" spans="2:45" ht="13.5" thickBot="1">
      <c r="B19" s="57">
        <f t="shared" si="6"/>
        <v>38776</v>
      </c>
      <c r="C19" s="65">
        <v>11727560</v>
      </c>
      <c r="D19" s="68"/>
      <c r="E19" s="68"/>
      <c r="F19" s="68"/>
      <c r="G19" s="69"/>
      <c r="H19" s="67">
        <f t="shared" si="0"/>
        <v>11727560</v>
      </c>
      <c r="I19" s="304"/>
      <c r="J19" s="169">
        <f>'HDD &amp; CDD'!M7</f>
        <v>720.9</v>
      </c>
      <c r="K19" s="169">
        <f>'HDD &amp; CDD'!M25</f>
        <v>0</v>
      </c>
      <c r="L19" s="397">
        <f t="shared" si="4"/>
        <v>28</v>
      </c>
      <c r="M19" s="169">
        <v>0</v>
      </c>
      <c r="N19" s="397">
        <f>[17]Sheet1!C17</f>
        <v>0</v>
      </c>
      <c r="O19" s="117">
        <f>'CDM Activity'!C65</f>
        <v>5327.5986522156463</v>
      </c>
      <c r="P19" s="62"/>
      <c r="Q19" s="62"/>
      <c r="R19" s="62"/>
      <c r="S19" s="63"/>
      <c r="T19" s="45"/>
      <c r="U19" s="61">
        <f t="shared" si="1"/>
        <v>11503397.063659886</v>
      </c>
      <c r="V19" s="217">
        <f t="shared" si="2"/>
        <v>-224162.9363401141</v>
      </c>
      <c r="W19" s="218">
        <f t="shared" si="3"/>
        <v>-1.9114200766409559E-2</v>
      </c>
      <c r="X19" s="218">
        <f t="shared" si="5"/>
        <v>1.9114200766409559E-2</v>
      </c>
      <c r="Y19" s="177"/>
      <c r="Z19" s="310"/>
      <c r="AA19" s="526"/>
      <c r="AB19" s="403"/>
      <c r="AC19" s="403"/>
      <c r="AD19" s="403"/>
      <c r="AE19" s="403"/>
      <c r="AF19" s="403"/>
      <c r="AG19" s="403"/>
      <c r="AH19" s="403"/>
      <c r="AI19" s="452"/>
      <c r="AJ19" s="64"/>
      <c r="AK19" s="45"/>
      <c r="AL19" s="45"/>
      <c r="AM19" s="45"/>
      <c r="AN19" s="45"/>
      <c r="AO19" s="45"/>
      <c r="AP19" s="45"/>
      <c r="AQ19" s="45"/>
      <c r="AR19" s="45"/>
      <c r="AS19" s="45"/>
    </row>
    <row r="20" spans="2:45">
      <c r="B20" s="57">
        <f t="shared" si="6"/>
        <v>38807</v>
      </c>
      <c r="C20" s="65">
        <v>11784150</v>
      </c>
      <c r="D20" s="68"/>
      <c r="E20" s="80"/>
      <c r="F20" s="68"/>
      <c r="G20" s="69"/>
      <c r="H20" s="67">
        <f t="shared" si="0"/>
        <v>11784150</v>
      </c>
      <c r="I20" s="304"/>
      <c r="J20" s="169">
        <f>'HDD &amp; CDD'!M8</f>
        <v>600.4</v>
      </c>
      <c r="K20" s="169">
        <f>'HDD &amp; CDD'!M26</f>
        <v>0</v>
      </c>
      <c r="L20" s="397">
        <f t="shared" si="4"/>
        <v>31</v>
      </c>
      <c r="M20" s="169">
        <v>1</v>
      </c>
      <c r="N20" s="397">
        <f>[17]Sheet1!C18</f>
        <v>0</v>
      </c>
      <c r="O20" s="117">
        <f>'CDM Activity'!C66</f>
        <v>7991.3979783234699</v>
      </c>
      <c r="P20" s="62"/>
      <c r="Q20" s="62"/>
      <c r="R20" s="62"/>
      <c r="S20" s="63"/>
      <c r="T20" s="45"/>
      <c r="U20" s="61">
        <f t="shared" si="1"/>
        <v>11311757.95327932</v>
      </c>
      <c r="V20" s="217">
        <f t="shared" si="2"/>
        <v>-472392.04672067985</v>
      </c>
      <c r="W20" s="218">
        <f t="shared" si="3"/>
        <v>-4.0087070066205863E-2</v>
      </c>
      <c r="X20" s="218">
        <f t="shared" si="5"/>
        <v>4.0087070066205863E-2</v>
      </c>
      <c r="Y20" s="177"/>
      <c r="Z20" s="310"/>
      <c r="AA20" s="602"/>
      <c r="AB20" s="18" t="s">
        <v>30</v>
      </c>
      <c r="AC20" s="18" t="s">
        <v>19</v>
      </c>
      <c r="AD20" s="18" t="s">
        <v>31</v>
      </c>
      <c r="AE20" s="18" t="s">
        <v>32</v>
      </c>
      <c r="AF20" s="18" t="s">
        <v>33</v>
      </c>
      <c r="AG20" s="18" t="s">
        <v>34</v>
      </c>
      <c r="AH20" s="18" t="s">
        <v>101</v>
      </c>
      <c r="AI20" s="603" t="s">
        <v>102</v>
      </c>
      <c r="AJ20" s="64"/>
      <c r="AK20" s="45"/>
      <c r="AL20" s="45"/>
      <c r="AM20" s="45"/>
      <c r="AN20" s="45"/>
      <c r="AO20" s="45"/>
      <c r="AP20" s="45"/>
      <c r="AQ20" s="45"/>
      <c r="AR20" s="45"/>
      <c r="AS20" s="45"/>
    </row>
    <row r="21" spans="2:45">
      <c r="B21" s="57">
        <f t="shared" si="6"/>
        <v>38837</v>
      </c>
      <c r="C21" s="65">
        <v>9406440</v>
      </c>
      <c r="D21" s="68"/>
      <c r="E21" s="80"/>
      <c r="F21" s="68"/>
      <c r="G21" s="69"/>
      <c r="H21" s="67">
        <f t="shared" si="0"/>
        <v>9406440</v>
      </c>
      <c r="I21" s="304"/>
      <c r="J21" s="169">
        <f>'HDD &amp; CDD'!M9</f>
        <v>321.59999999999991</v>
      </c>
      <c r="K21" s="169">
        <f>'HDD &amp; CDD'!M27</f>
        <v>0</v>
      </c>
      <c r="L21" s="397">
        <f t="shared" si="4"/>
        <v>30</v>
      </c>
      <c r="M21" s="169">
        <v>1</v>
      </c>
      <c r="N21" s="397">
        <f>[17]Sheet1!C19</f>
        <v>2</v>
      </c>
      <c r="O21" s="117">
        <f>'CDM Activity'!C67</f>
        <v>10655.197304431293</v>
      </c>
      <c r="P21" s="62"/>
      <c r="Q21" s="62"/>
      <c r="R21" s="62"/>
      <c r="S21" s="63"/>
      <c r="T21" s="45"/>
      <c r="U21" s="61">
        <f t="shared" si="1"/>
        <v>9524122.0045315363</v>
      </c>
      <c r="V21" s="217">
        <f t="shared" si="2"/>
        <v>117682.00453153625</v>
      </c>
      <c r="W21" s="218">
        <f t="shared" si="3"/>
        <v>1.2510790961462175E-2</v>
      </c>
      <c r="X21" s="218">
        <f t="shared" si="5"/>
        <v>1.2510790961462175E-2</v>
      </c>
      <c r="Y21" s="177"/>
      <c r="Z21" s="310"/>
      <c r="AA21" s="600" t="s">
        <v>24</v>
      </c>
      <c r="AB21" s="16">
        <v>1162013.3813349148</v>
      </c>
      <c r="AC21" s="16">
        <v>979598.31476778141</v>
      </c>
      <c r="AD21" s="16">
        <v>1.1862141490212503</v>
      </c>
      <c r="AE21" s="16">
        <v>0.23802588151013568</v>
      </c>
      <c r="AF21" s="16">
        <v>-778747.55999871576</v>
      </c>
      <c r="AG21" s="16">
        <v>3102774.3226685454</v>
      </c>
      <c r="AH21" s="16">
        <v>-778747.55999871576</v>
      </c>
      <c r="AI21" s="604">
        <v>3102774.3226685454</v>
      </c>
      <c r="AJ21" s="64"/>
      <c r="AK21" s="45"/>
      <c r="AL21" s="45"/>
      <c r="AM21" s="45"/>
      <c r="AN21" s="45"/>
      <c r="AO21" s="45"/>
      <c r="AP21" s="45"/>
      <c r="AQ21" s="45"/>
      <c r="AR21" s="45"/>
      <c r="AS21" s="45"/>
    </row>
    <row r="22" spans="2:45">
      <c r="B22" s="57">
        <f t="shared" si="6"/>
        <v>38868</v>
      </c>
      <c r="C22" s="65">
        <v>9293920</v>
      </c>
      <c r="D22" s="68"/>
      <c r="E22" s="80"/>
      <c r="F22" s="68"/>
      <c r="G22" s="69"/>
      <c r="H22" s="67">
        <f t="shared" si="0"/>
        <v>9293920</v>
      </c>
      <c r="I22" s="304"/>
      <c r="J22" s="169">
        <f>'HDD &amp; CDD'!M10</f>
        <v>128.19999999999999</v>
      </c>
      <c r="K22" s="169">
        <f>'HDD &amp; CDD'!M28</f>
        <v>16.899999999999999</v>
      </c>
      <c r="L22" s="397">
        <f t="shared" si="4"/>
        <v>31</v>
      </c>
      <c r="M22" s="169">
        <v>1</v>
      </c>
      <c r="N22" s="397">
        <f>[17]Sheet1!C20</f>
        <v>1</v>
      </c>
      <c r="O22" s="117">
        <f>'CDM Activity'!C68</f>
        <v>13318.996630539115</v>
      </c>
      <c r="P22" s="62"/>
      <c r="Q22" s="62"/>
      <c r="R22" s="62"/>
      <c r="S22" s="63"/>
      <c r="T22" s="45"/>
      <c r="U22" s="61">
        <f t="shared" si="1"/>
        <v>9210610.4687370174</v>
      </c>
      <c r="V22" s="217">
        <f t="shared" si="2"/>
        <v>-83309.531262982637</v>
      </c>
      <c r="W22" s="218">
        <f t="shared" si="3"/>
        <v>-8.9638743676492411E-3</v>
      </c>
      <c r="X22" s="218">
        <f t="shared" si="5"/>
        <v>8.9638743676492411E-3</v>
      </c>
      <c r="Y22" s="177"/>
      <c r="Z22" s="310"/>
      <c r="AA22" s="600" t="s">
        <v>106</v>
      </c>
      <c r="AB22" s="16">
        <v>4671.3215409385366</v>
      </c>
      <c r="AC22" s="16">
        <v>143.80204166680025</v>
      </c>
      <c r="AD22" s="16">
        <v>32.48438955938002</v>
      </c>
      <c r="AE22" s="16">
        <v>3.7983079163637794E-59</v>
      </c>
      <c r="AF22" s="16">
        <v>4386.4237603445426</v>
      </c>
      <c r="AG22" s="16">
        <v>4956.2193215325306</v>
      </c>
      <c r="AH22" s="16">
        <v>4386.4237603445426</v>
      </c>
      <c r="AI22" s="604">
        <v>4956.2193215325306</v>
      </c>
      <c r="AJ22" s="64"/>
      <c r="AK22" s="45"/>
      <c r="AL22" s="45"/>
      <c r="AM22" s="45"/>
      <c r="AN22" s="45"/>
      <c r="AO22" s="45"/>
      <c r="AP22" s="45"/>
      <c r="AQ22" s="45"/>
      <c r="AR22" s="45"/>
      <c r="AS22" s="45"/>
    </row>
    <row r="23" spans="2:45">
      <c r="B23" s="57">
        <f t="shared" si="6"/>
        <v>38898</v>
      </c>
      <c r="C23" s="65">
        <v>9564320</v>
      </c>
      <c r="D23" s="68"/>
      <c r="E23" s="80"/>
      <c r="F23" s="68"/>
      <c r="G23" s="69"/>
      <c r="H23" s="67">
        <f t="shared" si="0"/>
        <v>9564320</v>
      </c>
      <c r="I23" s="304"/>
      <c r="J23" s="169">
        <f>'HDD &amp; CDD'!M11</f>
        <v>27.599999999999998</v>
      </c>
      <c r="K23" s="169">
        <f>'HDD &amp; CDD'!M29</f>
        <v>48.199999999999996</v>
      </c>
      <c r="L23" s="397">
        <f t="shared" si="4"/>
        <v>30</v>
      </c>
      <c r="M23" s="169">
        <v>0</v>
      </c>
      <c r="N23" s="397">
        <f>[17]Sheet1!C21</f>
        <v>0</v>
      </c>
      <c r="O23" s="117">
        <f>'CDM Activity'!C69</f>
        <v>15982.795956646938</v>
      </c>
      <c r="P23" s="62"/>
      <c r="Q23" s="62"/>
      <c r="R23" s="62"/>
      <c r="S23" s="63"/>
      <c r="T23" s="45"/>
      <c r="U23" s="61">
        <f t="shared" si="1"/>
        <v>9400871.7061331999</v>
      </c>
      <c r="V23" s="217">
        <f t="shared" si="2"/>
        <v>-163448.29386680014</v>
      </c>
      <c r="W23" s="218">
        <f t="shared" si="3"/>
        <v>-1.7089379471494068E-2</v>
      </c>
      <c r="X23" s="218">
        <f t="shared" si="5"/>
        <v>1.7089379471494068E-2</v>
      </c>
      <c r="Y23" s="177"/>
      <c r="Z23" s="310"/>
      <c r="AA23" s="600" t="s">
        <v>107</v>
      </c>
      <c r="AB23" s="16">
        <v>13903.498680415627</v>
      </c>
      <c r="AC23" s="16">
        <v>1325.5635481355721</v>
      </c>
      <c r="AD23" s="16">
        <v>10.488745484870293</v>
      </c>
      <c r="AE23" s="16">
        <v>2.1992553270107607E-18</v>
      </c>
      <c r="AF23" s="16">
        <v>11277.318213693419</v>
      </c>
      <c r="AG23" s="16">
        <v>16529.679147137835</v>
      </c>
      <c r="AH23" s="16">
        <v>11277.318213693419</v>
      </c>
      <c r="AI23" s="604">
        <v>16529.679147137835</v>
      </c>
      <c r="AJ23" s="64"/>
      <c r="AK23" s="45"/>
      <c r="AL23" s="45"/>
      <c r="AM23" s="45"/>
      <c r="AN23" s="45"/>
      <c r="AO23" s="45"/>
      <c r="AP23" s="45"/>
      <c r="AQ23" s="45"/>
      <c r="AR23" s="45"/>
      <c r="AS23" s="45"/>
    </row>
    <row r="24" spans="2:45">
      <c r="B24" s="57">
        <f t="shared" si="6"/>
        <v>38929</v>
      </c>
      <c r="C24" s="65">
        <v>10639870</v>
      </c>
      <c r="D24" s="68"/>
      <c r="E24" s="80"/>
      <c r="F24" s="68"/>
      <c r="G24" s="69"/>
      <c r="H24" s="67">
        <f t="shared" si="0"/>
        <v>10639870</v>
      </c>
      <c r="I24" s="304"/>
      <c r="J24" s="169">
        <f>'HDD &amp; CDD'!M12</f>
        <v>0.3</v>
      </c>
      <c r="K24" s="169">
        <f>'HDD &amp; CDD'!M30</f>
        <v>130.59999999999997</v>
      </c>
      <c r="L24" s="397">
        <f t="shared" si="4"/>
        <v>31</v>
      </c>
      <c r="M24" s="169">
        <v>0</v>
      </c>
      <c r="N24" s="397">
        <f>[17]Sheet1!C22</f>
        <v>1</v>
      </c>
      <c r="O24" s="117">
        <f>'CDM Activity'!C70</f>
        <v>18646.595282754763</v>
      </c>
      <c r="P24" s="62"/>
      <c r="Q24" s="62"/>
      <c r="R24" s="62"/>
      <c r="S24" s="63"/>
      <c r="T24" s="45"/>
      <c r="U24" s="61">
        <f t="shared" si="1"/>
        <v>10546677.773800151</v>
      </c>
      <c r="V24" s="217">
        <f t="shared" si="2"/>
        <v>-93192.226199848577</v>
      </c>
      <c r="W24" s="218">
        <f t="shared" si="3"/>
        <v>-8.7587748910323698E-3</v>
      </c>
      <c r="X24" s="218">
        <f t="shared" si="5"/>
        <v>8.7587748910323698E-3</v>
      </c>
      <c r="Y24" s="177"/>
      <c r="Z24" s="310"/>
      <c r="AA24" s="600" t="s">
        <v>3</v>
      </c>
      <c r="AB24" s="16">
        <v>249661.16178731096</v>
      </c>
      <c r="AC24" s="16">
        <v>33090.417474037495</v>
      </c>
      <c r="AD24" s="16">
        <v>7.5448175286151447</v>
      </c>
      <c r="AE24" s="16">
        <v>1.2422725640694884E-11</v>
      </c>
      <c r="AF24" s="16">
        <v>184103.07660291615</v>
      </c>
      <c r="AG24" s="16">
        <v>315219.24697170581</v>
      </c>
      <c r="AH24" s="16">
        <v>184103.07660291615</v>
      </c>
      <c r="AI24" s="604">
        <v>315219.24697170581</v>
      </c>
      <c r="AJ24" s="64"/>
      <c r="AK24" s="45"/>
      <c r="AL24" s="45"/>
      <c r="AM24" s="45"/>
      <c r="AN24" s="45"/>
      <c r="AO24" s="45"/>
      <c r="AP24" s="45"/>
      <c r="AQ24" s="45"/>
      <c r="AR24" s="45"/>
      <c r="AS24" s="45"/>
    </row>
    <row r="25" spans="2:45">
      <c r="B25" s="57">
        <f t="shared" si="6"/>
        <v>38960</v>
      </c>
      <c r="C25" s="65">
        <v>10096480</v>
      </c>
      <c r="D25" s="68"/>
      <c r="E25" s="80"/>
      <c r="F25" s="68"/>
      <c r="G25" s="69"/>
      <c r="H25" s="67">
        <f t="shared" si="0"/>
        <v>10096480</v>
      </c>
      <c r="I25" s="304"/>
      <c r="J25" s="169">
        <f>'HDD &amp; CDD'!M13</f>
        <v>18.200000000000003</v>
      </c>
      <c r="K25" s="169">
        <f>'HDD &amp; CDD'!M31</f>
        <v>68.099999999999994</v>
      </c>
      <c r="L25" s="397">
        <f t="shared" si="4"/>
        <v>31</v>
      </c>
      <c r="M25" s="169">
        <v>0</v>
      </c>
      <c r="N25" s="397">
        <f>[17]Sheet1!C23</f>
        <v>1</v>
      </c>
      <c r="O25" s="117">
        <f>'CDM Activity'!C71</f>
        <v>21310.394608862585</v>
      </c>
      <c r="P25" s="62"/>
      <c r="Q25" s="62"/>
      <c r="R25" s="62"/>
      <c r="S25" s="63"/>
      <c r="T25" s="45"/>
      <c r="U25" s="61">
        <f t="shared" si="1"/>
        <v>9752983.4885658119</v>
      </c>
      <c r="V25" s="217">
        <f t="shared" si="2"/>
        <v>-343496.51143418811</v>
      </c>
      <c r="W25" s="218">
        <f t="shared" si="3"/>
        <v>-3.4021412555087331E-2</v>
      </c>
      <c r="X25" s="218">
        <f t="shared" si="5"/>
        <v>3.4021412555087331E-2</v>
      </c>
      <c r="Y25" s="177"/>
      <c r="Z25" s="310"/>
      <c r="AA25" s="600" t="s">
        <v>108</v>
      </c>
      <c r="AB25" s="16">
        <v>-369386.07676824171</v>
      </c>
      <c r="AC25" s="16">
        <v>74117.893033388638</v>
      </c>
      <c r="AD25" s="16">
        <v>-4.9837638612020534</v>
      </c>
      <c r="AE25" s="16">
        <v>2.266751000163702E-6</v>
      </c>
      <c r="AF25" s="16">
        <v>-516226.99072718807</v>
      </c>
      <c r="AG25" s="16">
        <v>-222545.16280929532</v>
      </c>
      <c r="AH25" s="16">
        <v>-516226.99072718807</v>
      </c>
      <c r="AI25" s="604">
        <v>-222545.16280929532</v>
      </c>
      <c r="AJ25" s="64"/>
      <c r="AK25" s="45"/>
      <c r="AL25" s="45"/>
      <c r="AM25" s="45"/>
      <c r="AN25" s="45"/>
      <c r="AO25" s="45"/>
      <c r="AP25" s="45"/>
      <c r="AQ25" s="45"/>
      <c r="AR25" s="45"/>
      <c r="AS25" s="45"/>
    </row>
    <row r="26" spans="2:45">
      <c r="B26" s="57">
        <f t="shared" si="6"/>
        <v>38990</v>
      </c>
      <c r="C26" s="65">
        <v>8938560</v>
      </c>
      <c r="D26" s="68"/>
      <c r="E26" s="80"/>
      <c r="F26" s="68"/>
      <c r="G26" s="69"/>
      <c r="H26" s="67">
        <f t="shared" si="0"/>
        <v>8938560</v>
      </c>
      <c r="I26" s="304"/>
      <c r="J26" s="169">
        <f>'HDD &amp; CDD'!M14</f>
        <v>120.99999999999997</v>
      </c>
      <c r="K26" s="169">
        <f>'HDD &amp; CDD'!M32</f>
        <v>5.3</v>
      </c>
      <c r="L26" s="397">
        <f t="shared" si="4"/>
        <v>30</v>
      </c>
      <c r="M26" s="169">
        <v>1</v>
      </c>
      <c r="N26" s="397">
        <f>[17]Sheet1!C24</f>
        <v>1</v>
      </c>
      <c r="O26" s="117">
        <f>'CDM Activity'!C72</f>
        <v>23974.193934970408</v>
      </c>
      <c r="P26" s="62"/>
      <c r="Q26" s="62"/>
      <c r="R26" s="62"/>
      <c r="S26" s="63"/>
      <c r="T26" s="45"/>
      <c r="U26" s="61">
        <f t="shared" si="1"/>
        <v>8732666.1139974743</v>
      </c>
      <c r="V26" s="217">
        <f t="shared" si="2"/>
        <v>-205893.88600252569</v>
      </c>
      <c r="W26" s="218">
        <f t="shared" si="3"/>
        <v>-2.3034346248447815E-2</v>
      </c>
      <c r="X26" s="218">
        <f t="shared" si="5"/>
        <v>2.3034346248447815E-2</v>
      </c>
      <c r="Y26" s="177"/>
      <c r="Z26" s="310"/>
      <c r="AA26" s="600" t="s">
        <v>109</v>
      </c>
      <c r="AB26" s="16">
        <v>-113634.03402782226</v>
      </c>
      <c r="AC26" s="16">
        <v>41185.91117774431</v>
      </c>
      <c r="AD26" s="16">
        <v>-2.7590511118575627</v>
      </c>
      <c r="AE26" s="16">
        <v>6.7640802867055243E-3</v>
      </c>
      <c r="AF26" s="16">
        <v>-195230.75233776608</v>
      </c>
      <c r="AG26" s="16">
        <v>-32037.315717878431</v>
      </c>
      <c r="AH26" s="16">
        <v>-195230.75233776608</v>
      </c>
      <c r="AI26" s="604">
        <v>-32037.315717878431</v>
      </c>
      <c r="AJ26" s="64"/>
      <c r="AK26" s="45"/>
      <c r="AL26" s="45"/>
      <c r="AM26" s="45"/>
      <c r="AN26" s="45"/>
      <c r="AO26" s="45"/>
      <c r="AP26" s="45"/>
      <c r="AQ26" s="45"/>
      <c r="AR26" s="45"/>
      <c r="AS26" s="45"/>
    </row>
    <row r="27" spans="2:45">
      <c r="B27" s="57">
        <f t="shared" si="6"/>
        <v>39021</v>
      </c>
      <c r="C27" s="65">
        <v>9952100</v>
      </c>
      <c r="D27" s="68"/>
      <c r="E27" s="80"/>
      <c r="F27" s="68"/>
      <c r="G27" s="69"/>
      <c r="H27" s="67">
        <f t="shared" si="0"/>
        <v>9952100</v>
      </c>
      <c r="I27" s="304"/>
      <c r="J27" s="169">
        <f>'HDD &amp; CDD'!M15</f>
        <v>335.70000000000005</v>
      </c>
      <c r="K27" s="169">
        <f>'HDD &amp; CDD'!M33</f>
        <v>0</v>
      </c>
      <c r="L27" s="397">
        <f t="shared" si="4"/>
        <v>31</v>
      </c>
      <c r="M27" s="169">
        <v>1</v>
      </c>
      <c r="N27" s="397">
        <f>[17]Sheet1!C25</f>
        <v>1</v>
      </c>
      <c r="O27" s="117">
        <f>'CDM Activity'!C73</f>
        <v>26637.993261078231</v>
      </c>
      <c r="P27" s="62"/>
      <c r="Q27" s="62"/>
      <c r="R27" s="62"/>
      <c r="S27" s="63"/>
      <c r="T27" s="45"/>
      <c r="U27" s="61">
        <f t="shared" si="1"/>
        <v>9903229.1943269242</v>
      </c>
      <c r="V27" s="217">
        <f t="shared" si="2"/>
        <v>-48870.80567307584</v>
      </c>
      <c r="W27" s="218">
        <f t="shared" si="3"/>
        <v>-4.9106023525764247E-3</v>
      </c>
      <c r="X27" s="218">
        <f t="shared" si="5"/>
        <v>4.9106023525764247E-3</v>
      </c>
      <c r="Y27" s="177"/>
      <c r="Z27" s="310"/>
      <c r="AA27" s="605" t="s">
        <v>78</v>
      </c>
      <c r="AB27" s="606">
        <v>-3.1317198744668731</v>
      </c>
      <c r="AC27" s="606">
        <v>0.22180012625311865</v>
      </c>
      <c r="AD27" s="606">
        <v>-14.119558574520148</v>
      </c>
      <c r="AE27" s="606">
        <v>1.048532442967543E-26</v>
      </c>
      <c r="AF27" s="606">
        <v>-3.5711459283152442</v>
      </c>
      <c r="AG27" s="606">
        <v>-2.6922938206185019</v>
      </c>
      <c r="AH27" s="606">
        <v>-3.5711459283152442</v>
      </c>
      <c r="AI27" s="607">
        <v>-2.6922938206185019</v>
      </c>
      <c r="AJ27" s="64"/>
      <c r="AK27" s="45"/>
      <c r="AL27" s="45"/>
      <c r="AM27" s="45"/>
      <c r="AN27" s="45"/>
      <c r="AO27" s="45"/>
      <c r="AP27" s="45"/>
      <c r="AQ27" s="45"/>
      <c r="AR27" s="45"/>
      <c r="AS27" s="45"/>
    </row>
    <row r="28" spans="2:45">
      <c r="B28" s="57">
        <f t="shared" si="6"/>
        <v>39051</v>
      </c>
      <c r="C28" s="65">
        <v>10436420</v>
      </c>
      <c r="D28" s="68"/>
      <c r="E28" s="80"/>
      <c r="F28" s="68"/>
      <c r="G28" s="69"/>
      <c r="H28" s="67">
        <f t="shared" si="0"/>
        <v>10436420</v>
      </c>
      <c r="I28" s="304"/>
      <c r="J28" s="169">
        <f>'HDD &amp; CDD'!M16</f>
        <v>417.3</v>
      </c>
      <c r="K28" s="169">
        <f>'HDD &amp; CDD'!M34</f>
        <v>0</v>
      </c>
      <c r="L28" s="397">
        <f t="shared" si="4"/>
        <v>30</v>
      </c>
      <c r="M28" s="169">
        <v>1</v>
      </c>
      <c r="N28" s="397">
        <f>[17]Sheet1!C26</f>
        <v>0</v>
      </c>
      <c r="O28" s="117">
        <f>'CDM Activity'!C74</f>
        <v>29301.792587186053</v>
      </c>
      <c r="P28" s="62"/>
      <c r="Q28" s="62"/>
      <c r="R28" s="62"/>
      <c r="S28" s="63"/>
      <c r="T28" s="45"/>
      <c r="U28" s="61">
        <f t="shared" si="1"/>
        <v>10140039.631016856</v>
      </c>
      <c r="V28" s="217">
        <f t="shared" si="2"/>
        <v>-296380.36898314394</v>
      </c>
      <c r="W28" s="218">
        <f t="shared" si="3"/>
        <v>-2.8398662470765258E-2</v>
      </c>
      <c r="X28" s="218">
        <f t="shared" si="5"/>
        <v>2.8398662470765258E-2</v>
      </c>
      <c r="Y28" s="177"/>
      <c r="Z28" s="310"/>
      <c r="AA28"/>
      <c r="AB28"/>
      <c r="AC28"/>
      <c r="AD28"/>
      <c r="AE28"/>
      <c r="AF28"/>
      <c r="AG28"/>
      <c r="AH28"/>
      <c r="AI28"/>
      <c r="AJ28" s="64"/>
      <c r="AK28" s="45"/>
      <c r="AL28" s="45"/>
      <c r="AM28" s="45"/>
      <c r="AN28" s="45"/>
      <c r="AO28" s="45"/>
      <c r="AP28" s="45"/>
      <c r="AQ28" s="45"/>
      <c r="AR28" s="45"/>
      <c r="AS28" s="45"/>
    </row>
    <row r="29" spans="2:45" ht="13.5" customHeight="1">
      <c r="B29" s="172">
        <f t="shared" si="6"/>
        <v>39082</v>
      </c>
      <c r="C29" s="81">
        <v>11345280</v>
      </c>
      <c r="D29" s="82"/>
      <c r="E29" s="82"/>
      <c r="F29" s="82"/>
      <c r="G29" s="83"/>
      <c r="H29" s="74">
        <f t="shared" si="0"/>
        <v>11345280</v>
      </c>
      <c r="I29" s="305"/>
      <c r="J29" s="118">
        <f>'HDD &amp; CDD'!M17</f>
        <v>609.99999999999989</v>
      </c>
      <c r="K29" s="118">
        <f>'HDD &amp; CDD'!M35</f>
        <v>0</v>
      </c>
      <c r="L29" s="398">
        <f t="shared" si="4"/>
        <v>31</v>
      </c>
      <c r="M29" s="118">
        <v>0</v>
      </c>
      <c r="N29" s="398">
        <f>[17]Sheet1!C27</f>
        <v>2</v>
      </c>
      <c r="O29" s="120">
        <f>'CDM Activity'!C75</f>
        <v>31965.591913293876</v>
      </c>
      <c r="P29" s="75"/>
      <c r="Q29" s="75"/>
      <c r="R29" s="75"/>
      <c r="S29" s="76"/>
      <c r="T29" s="77"/>
      <c r="U29" s="78">
        <f t="shared" si="1"/>
        <v>11423640.189164458</v>
      </c>
      <c r="V29" s="229">
        <f t="shared" si="2"/>
        <v>78360.189164457843</v>
      </c>
      <c r="W29" s="219">
        <f t="shared" si="3"/>
        <v>6.906853701667816E-3</v>
      </c>
      <c r="X29" s="219">
        <f t="shared" si="5"/>
        <v>6.906853701667816E-3</v>
      </c>
      <c r="Y29" s="177"/>
      <c r="Z29" s="310"/>
      <c r="AA29"/>
      <c r="AB29"/>
      <c r="AC29"/>
      <c r="AD29"/>
      <c r="AE29"/>
      <c r="AF29"/>
      <c r="AG29"/>
      <c r="AH29"/>
      <c r="AI29"/>
      <c r="AJ29" s="64"/>
      <c r="AK29" s="45"/>
      <c r="AL29" s="45"/>
      <c r="AM29" s="45"/>
      <c r="AN29" s="45"/>
      <c r="AO29" s="45"/>
      <c r="AP29" s="45"/>
      <c r="AQ29" s="45"/>
      <c r="AR29" s="45"/>
      <c r="AS29" s="45"/>
    </row>
    <row r="30" spans="2:45">
      <c r="B30" s="57">
        <f t="shared" si="6"/>
        <v>39113</v>
      </c>
      <c r="C30" s="65">
        <v>12568180</v>
      </c>
      <c r="D30" s="68"/>
      <c r="E30" s="80"/>
      <c r="F30" s="68"/>
      <c r="G30" s="69"/>
      <c r="H30" s="67">
        <f t="shared" si="0"/>
        <v>12568180</v>
      </c>
      <c r="I30" s="304"/>
      <c r="J30" s="169">
        <f>'HDD &amp; CDD'!N6</f>
        <v>797.09999999999991</v>
      </c>
      <c r="K30" s="169">
        <f>'HDD &amp; CDD'!N24</f>
        <v>0</v>
      </c>
      <c r="L30" s="397">
        <f t="shared" si="4"/>
        <v>31</v>
      </c>
      <c r="M30" s="169">
        <v>0</v>
      </c>
      <c r="N30" s="397">
        <f>[17]Sheet1!C28</f>
        <v>1</v>
      </c>
      <c r="O30" s="117">
        <f>'CDM Activity'!C76</f>
        <v>34513.571109379933</v>
      </c>
      <c r="P30" s="62"/>
      <c r="Q30" s="62"/>
      <c r="R30" s="62"/>
      <c r="S30" s="63"/>
      <c r="T30" s="45"/>
      <c r="U30" s="61">
        <f t="shared" si="1"/>
        <v>12403298.926413769</v>
      </c>
      <c r="V30" s="217">
        <f t="shared" si="2"/>
        <v>-164881.0735862311</v>
      </c>
      <c r="W30" s="218">
        <f t="shared" si="3"/>
        <v>-1.3118929995133035E-2</v>
      </c>
      <c r="X30" s="218">
        <f t="shared" si="5"/>
        <v>1.3118929995133035E-2</v>
      </c>
      <c r="Y30" s="177"/>
      <c r="Z30" s="310"/>
      <c r="AA30"/>
      <c r="AB30"/>
      <c r="AC30"/>
      <c r="AD30"/>
      <c r="AE30"/>
      <c r="AF30"/>
      <c r="AG30"/>
      <c r="AH30"/>
      <c r="AI30"/>
    </row>
    <row r="31" spans="2:45">
      <c r="B31" s="57">
        <f t="shared" si="6"/>
        <v>39141</v>
      </c>
      <c r="C31" s="65">
        <v>12210720</v>
      </c>
      <c r="D31" s="68"/>
      <c r="E31" s="80"/>
      <c r="F31" s="68"/>
      <c r="G31" s="69"/>
      <c r="H31" s="67">
        <f t="shared" si="0"/>
        <v>12210720</v>
      </c>
      <c r="I31" s="304"/>
      <c r="J31" s="169">
        <f>'HDD &amp; CDD'!N7</f>
        <v>820</v>
      </c>
      <c r="K31" s="169">
        <f>'HDD &amp; CDD'!N25</f>
        <v>0</v>
      </c>
      <c r="L31" s="397">
        <f t="shared" si="4"/>
        <v>28</v>
      </c>
      <c r="M31" s="169">
        <v>0</v>
      </c>
      <c r="N31" s="397">
        <f>[17]Sheet1!C29</f>
        <v>0</v>
      </c>
      <c r="O31" s="117">
        <f>'CDM Activity'!C77</f>
        <v>37061.550305465986</v>
      </c>
      <c r="P31" s="62"/>
      <c r="Q31" s="62"/>
      <c r="R31" s="62"/>
      <c r="S31" s="63"/>
      <c r="T31" s="45"/>
      <c r="U31" s="61">
        <f t="shared" si="1"/>
        <v>11866943.181279041</v>
      </c>
      <c r="V31" s="217">
        <f t="shared" si="2"/>
        <v>-343776.81872095913</v>
      </c>
      <c r="W31" s="218">
        <f t="shared" si="3"/>
        <v>-2.8153689440177085E-2</v>
      </c>
      <c r="X31" s="218">
        <f t="shared" si="5"/>
        <v>2.8153689440177085E-2</v>
      </c>
      <c r="Y31" s="177"/>
      <c r="Z31" s="310"/>
      <c r="AB31" s="49" t="s">
        <v>253</v>
      </c>
    </row>
    <row r="32" spans="2:45" ht="13.5" thickBot="1">
      <c r="B32" s="57">
        <f t="shared" si="6"/>
        <v>39172</v>
      </c>
      <c r="C32" s="65">
        <v>11873120</v>
      </c>
      <c r="D32" s="68"/>
      <c r="E32" s="80"/>
      <c r="F32" s="68"/>
      <c r="G32" s="69"/>
      <c r="H32" s="67">
        <f t="shared" si="0"/>
        <v>11873120</v>
      </c>
      <c r="I32" s="304"/>
      <c r="J32" s="169">
        <f>'HDD &amp; CDD'!N8</f>
        <v>643.00000000000023</v>
      </c>
      <c r="K32" s="169">
        <f>'HDD &amp; CDD'!N26</f>
        <v>0</v>
      </c>
      <c r="L32" s="397">
        <f t="shared" si="4"/>
        <v>31</v>
      </c>
      <c r="M32" s="169">
        <v>1</v>
      </c>
      <c r="N32" s="397">
        <f>[17]Sheet1!C30</f>
        <v>0</v>
      </c>
      <c r="O32" s="117">
        <f>'CDM Activity'!C78</f>
        <v>39609.529501552039</v>
      </c>
      <c r="P32" s="62"/>
      <c r="Q32" s="62"/>
      <c r="R32" s="62"/>
      <c r="S32" s="63"/>
      <c r="T32" s="45"/>
      <c r="U32" s="61">
        <f t="shared" si="1"/>
        <v>11411737.1200385</v>
      </c>
      <c r="V32" s="217">
        <f t="shared" si="2"/>
        <v>-461382.87996149994</v>
      </c>
      <c r="W32" s="218">
        <f t="shared" si="3"/>
        <v>-3.885944721871757E-2</v>
      </c>
      <c r="X32" s="218">
        <f t="shared" si="5"/>
        <v>3.885944721871757E-2</v>
      </c>
      <c r="Y32" s="177"/>
      <c r="Z32" s="310"/>
      <c r="AA32"/>
      <c r="AB32"/>
      <c r="AC32"/>
      <c r="AD32"/>
      <c r="AE32"/>
      <c r="AF32"/>
      <c r="AG32"/>
      <c r="AR32" s="45"/>
      <c r="AS32" s="45"/>
    </row>
    <row r="33" spans="2:45" ht="13.5" thickTop="1">
      <c r="B33" s="57">
        <f t="shared" si="6"/>
        <v>39202</v>
      </c>
      <c r="C33" s="65">
        <v>9854780</v>
      </c>
      <c r="D33" s="68"/>
      <c r="E33" s="80"/>
      <c r="F33" s="68"/>
      <c r="G33" s="69"/>
      <c r="H33" s="67">
        <f t="shared" si="0"/>
        <v>9854780</v>
      </c>
      <c r="I33" s="304"/>
      <c r="J33" s="169">
        <f>'HDD &amp; CDD'!N9</f>
        <v>361.1</v>
      </c>
      <c r="K33" s="169">
        <f>'HDD &amp; CDD'!N27</f>
        <v>0</v>
      </c>
      <c r="L33" s="397">
        <f t="shared" si="4"/>
        <v>30</v>
      </c>
      <c r="M33" s="169">
        <v>1</v>
      </c>
      <c r="N33" s="397">
        <f>[17]Sheet1!C31</f>
        <v>2</v>
      </c>
      <c r="O33" s="117">
        <f>'CDM Activity'!C79</f>
        <v>42157.508697638092</v>
      </c>
      <c r="P33" s="62"/>
      <c r="Q33" s="62"/>
      <c r="R33" s="62"/>
      <c r="S33" s="63"/>
      <c r="T33" s="45"/>
      <c r="U33" s="61">
        <f t="shared" si="1"/>
        <v>9609982.7907168586</v>
      </c>
      <c r="V33" s="217">
        <f t="shared" si="2"/>
        <v>-244797.20928314142</v>
      </c>
      <c r="W33" s="218">
        <f t="shared" si="3"/>
        <v>-2.484045400132133E-2</v>
      </c>
      <c r="X33" s="218">
        <f t="shared" si="5"/>
        <v>2.484045400132133E-2</v>
      </c>
      <c r="Z33" s="310"/>
      <c r="AA33" s="568" t="s">
        <v>110</v>
      </c>
      <c r="AB33" s="569" t="s">
        <v>140</v>
      </c>
      <c r="AC33" s="569" t="s">
        <v>111</v>
      </c>
      <c r="AD33" s="569" t="s">
        <v>221</v>
      </c>
      <c r="AE33" s="569" t="s">
        <v>222</v>
      </c>
      <c r="AF33" s="569" t="s">
        <v>223</v>
      </c>
      <c r="AR33" s="45"/>
      <c r="AS33" s="45"/>
    </row>
    <row r="34" spans="2:45">
      <c r="B34" s="57">
        <f t="shared" si="6"/>
        <v>39233</v>
      </c>
      <c r="C34" s="65">
        <v>9000430</v>
      </c>
      <c r="D34" s="68"/>
      <c r="E34" s="80"/>
      <c r="F34" s="68"/>
      <c r="G34" s="69"/>
      <c r="H34" s="67">
        <f t="shared" si="0"/>
        <v>9000430</v>
      </c>
      <c r="I34" s="304"/>
      <c r="J34" s="169">
        <f>'HDD &amp; CDD'!N10</f>
        <v>157.30000000000001</v>
      </c>
      <c r="K34" s="169">
        <f>'HDD &amp; CDD'!N28</f>
        <v>17.3</v>
      </c>
      <c r="L34" s="397">
        <f t="shared" si="4"/>
        <v>31</v>
      </c>
      <c r="M34" s="169">
        <v>1</v>
      </c>
      <c r="N34" s="397">
        <f>[17]Sheet1!C32</f>
        <v>1</v>
      </c>
      <c r="O34" s="117">
        <f>'CDM Activity'!C80</f>
        <v>44705.487893724145</v>
      </c>
      <c r="P34" s="62"/>
      <c r="Q34" s="62"/>
      <c r="R34" s="62"/>
      <c r="S34" s="63"/>
      <c r="T34" s="45"/>
      <c r="U34" s="61">
        <f t="shared" si="1"/>
        <v>9253813.6265717987</v>
      </c>
      <c r="V34" s="217">
        <f t="shared" si="2"/>
        <v>253383.6265717987</v>
      </c>
      <c r="W34" s="218">
        <f t="shared" si="3"/>
        <v>2.815239122706345E-2</v>
      </c>
      <c r="X34" s="218">
        <f t="shared" si="5"/>
        <v>2.815239122706345E-2</v>
      </c>
      <c r="Y34" s="177"/>
      <c r="Z34" s="310"/>
      <c r="AA34" s="570">
        <v>2005</v>
      </c>
      <c r="AB34" s="571">
        <f>SUM(U6:U17)</f>
        <v>127895969.18627138</v>
      </c>
      <c r="AC34" s="571">
        <f>SUM(H6:H17)</f>
        <v>129569190</v>
      </c>
      <c r="AD34" s="572">
        <f>AB34-AC34</f>
        <v>-1673220.8137286156</v>
      </c>
      <c r="AE34" s="573">
        <f t="shared" ref="AE34:AE43" si="7">(AB34-AC34)/AC34</f>
        <v>-1.2913724425757509E-2</v>
      </c>
      <c r="AF34" s="573">
        <f>ABS(AE34)</f>
        <v>1.2913724425757509E-2</v>
      </c>
      <c r="AR34" s="45"/>
      <c r="AS34" s="45"/>
    </row>
    <row r="35" spans="2:45">
      <c r="B35" s="57">
        <f t="shared" si="6"/>
        <v>39263</v>
      </c>
      <c r="C35" s="65">
        <v>9265780</v>
      </c>
      <c r="D35" s="68"/>
      <c r="E35" s="80"/>
      <c r="F35" s="68"/>
      <c r="G35" s="69"/>
      <c r="H35" s="67">
        <f t="shared" si="0"/>
        <v>9265780</v>
      </c>
      <c r="I35" s="304"/>
      <c r="J35" s="169">
        <f>'HDD &amp; CDD'!N11</f>
        <v>34.200000000000003</v>
      </c>
      <c r="K35" s="169">
        <f>'HDD &amp; CDD'!N29</f>
        <v>66.900000000000006</v>
      </c>
      <c r="L35" s="397">
        <f t="shared" si="4"/>
        <v>30</v>
      </c>
      <c r="M35" s="169">
        <v>0</v>
      </c>
      <c r="N35" s="397">
        <f>[17]Sheet1!C33</f>
        <v>0</v>
      </c>
      <c r="O35" s="117">
        <f>'CDM Activity'!C81</f>
        <v>47253.467089810198</v>
      </c>
      <c r="P35" s="62"/>
      <c r="Q35" s="62"/>
      <c r="R35" s="62"/>
      <c r="S35" s="63"/>
      <c r="T35" s="45"/>
      <c r="U35" s="61">
        <f t="shared" si="1"/>
        <v>9593766.8713515215</v>
      </c>
      <c r="V35" s="217">
        <f t="shared" si="2"/>
        <v>327986.87135152146</v>
      </c>
      <c r="W35" s="218">
        <f t="shared" si="3"/>
        <v>3.5397653662349142E-2</v>
      </c>
      <c r="X35" s="218">
        <f t="shared" si="5"/>
        <v>3.5397653662349142E-2</v>
      </c>
      <c r="Y35" s="177"/>
      <c r="Z35" s="310"/>
      <c r="AA35" s="570">
        <v>2006</v>
      </c>
      <c r="AB35" s="571">
        <f>SUM(U18:U29)</f>
        <v>123655943.02691363</v>
      </c>
      <c r="AC35" s="571">
        <f>SUM(H18:H29)</f>
        <v>125693570</v>
      </c>
      <c r="AD35" s="572">
        <f t="shared" ref="AD35:AD43" si="8">AB35-AC35</f>
        <v>-2037626.973086372</v>
      </c>
      <c r="AE35" s="573">
        <f t="shared" si="7"/>
        <v>-1.6211067702877498E-2</v>
      </c>
      <c r="AF35" s="573">
        <f t="shared" ref="AF35:AF43" si="9">ABS(AE35)</f>
        <v>1.6211067702877498E-2</v>
      </c>
      <c r="AR35" s="45"/>
      <c r="AS35" s="45"/>
    </row>
    <row r="36" spans="2:45">
      <c r="B36" s="57">
        <f t="shared" si="6"/>
        <v>39294</v>
      </c>
      <c r="C36" s="65">
        <v>9662330</v>
      </c>
      <c r="D36" s="68"/>
      <c r="E36" s="80"/>
      <c r="F36" s="68"/>
      <c r="G36" s="69"/>
      <c r="H36" s="67">
        <f t="shared" si="0"/>
        <v>9662330</v>
      </c>
      <c r="I36" s="304"/>
      <c r="J36" s="169">
        <f>'HDD &amp; CDD'!N12</f>
        <v>11.799999999999999</v>
      </c>
      <c r="K36" s="169">
        <f>'HDD &amp; CDD'!N30</f>
        <v>65.100000000000009</v>
      </c>
      <c r="L36" s="397">
        <f t="shared" si="4"/>
        <v>31</v>
      </c>
      <c r="M36" s="169">
        <v>0</v>
      </c>
      <c r="N36" s="397">
        <f>[17]Sheet1!C34</f>
        <v>1</v>
      </c>
      <c r="O36" s="117">
        <f>'CDM Activity'!C82</f>
        <v>49801.446285896251</v>
      </c>
      <c r="P36" s="62"/>
      <c r="Q36" s="62"/>
      <c r="R36" s="62"/>
      <c r="S36" s="63"/>
      <c r="T36" s="45"/>
      <c r="U36" s="61">
        <f t="shared" si="1"/>
        <v>9592150.5418811291</v>
      </c>
      <c r="V36" s="217">
        <f t="shared" si="2"/>
        <v>-70179.458118870854</v>
      </c>
      <c r="W36" s="218">
        <f t="shared" si="3"/>
        <v>-7.2632023661860909E-3</v>
      </c>
      <c r="X36" s="218">
        <f t="shared" si="5"/>
        <v>7.2632023661860909E-3</v>
      </c>
      <c r="Y36" s="177"/>
      <c r="Z36" s="310"/>
      <c r="AA36" s="570">
        <v>2007</v>
      </c>
      <c r="AB36" s="571">
        <f>SUM(U30:U41)</f>
        <v>124256671.94011325</v>
      </c>
      <c r="AC36" s="571">
        <f>SUM(H30:H41)</f>
        <v>125561560</v>
      </c>
      <c r="AD36" s="572">
        <f t="shared" si="8"/>
        <v>-1304888.0598867536</v>
      </c>
      <c r="AE36" s="573">
        <f t="shared" si="7"/>
        <v>-1.0392416754672E-2</v>
      </c>
      <c r="AF36" s="573">
        <f t="shared" si="9"/>
        <v>1.0392416754672E-2</v>
      </c>
      <c r="AR36" s="45"/>
      <c r="AS36" s="45"/>
    </row>
    <row r="37" spans="2:45" ht="14.25" customHeight="1">
      <c r="B37" s="57">
        <f t="shared" si="6"/>
        <v>39325</v>
      </c>
      <c r="C37" s="65">
        <v>9982760</v>
      </c>
      <c r="D37" s="68"/>
      <c r="E37" s="80"/>
      <c r="F37" s="68"/>
      <c r="G37" s="69"/>
      <c r="H37" s="67">
        <f t="shared" si="0"/>
        <v>9982760</v>
      </c>
      <c r="I37" s="304"/>
      <c r="J37" s="169">
        <f>'HDD &amp; CDD'!N13</f>
        <v>20.100000000000001</v>
      </c>
      <c r="K37" s="169">
        <f>'HDD &amp; CDD'!N31</f>
        <v>79.300000000000026</v>
      </c>
      <c r="L37" s="397">
        <f t="shared" si="4"/>
        <v>31</v>
      </c>
      <c r="M37" s="169">
        <v>0</v>
      </c>
      <c r="N37" s="397">
        <f>[17]Sheet1!C35</f>
        <v>1</v>
      </c>
      <c r="O37" s="117">
        <f>'CDM Activity'!C83</f>
        <v>52349.425481982304</v>
      </c>
      <c r="P37" s="62"/>
      <c r="Q37" s="62"/>
      <c r="R37" s="62"/>
      <c r="S37" s="63"/>
      <c r="T37" s="45"/>
      <c r="U37" s="61">
        <f t="shared" si="1"/>
        <v>9820372.6348447111</v>
      </c>
      <c r="V37" s="217">
        <f t="shared" si="2"/>
        <v>-162387.36515528895</v>
      </c>
      <c r="W37" s="218">
        <f t="shared" si="3"/>
        <v>-1.6266780445016102E-2</v>
      </c>
      <c r="X37" s="218">
        <f t="shared" si="5"/>
        <v>1.6266780445016102E-2</v>
      </c>
      <c r="Y37" s="177"/>
      <c r="Z37" s="310"/>
      <c r="AA37" s="570">
        <v>2008</v>
      </c>
      <c r="AB37" s="571">
        <f>SUM(U42:U53)</f>
        <v>122993570.23534104</v>
      </c>
      <c r="AC37" s="571">
        <f>SUM(H42:H53)</f>
        <v>121334640</v>
      </c>
      <c r="AD37" s="572">
        <f t="shared" si="8"/>
        <v>1658930.2353410423</v>
      </c>
      <c r="AE37" s="573">
        <f t="shared" si="7"/>
        <v>1.3672354698881064E-2</v>
      </c>
      <c r="AF37" s="573">
        <f t="shared" si="9"/>
        <v>1.3672354698881064E-2</v>
      </c>
      <c r="AR37" s="45"/>
      <c r="AS37" s="45"/>
    </row>
    <row r="38" spans="2:45">
      <c r="B38" s="57">
        <f t="shared" si="6"/>
        <v>39355</v>
      </c>
      <c r="C38" s="65">
        <v>9063690</v>
      </c>
      <c r="D38" s="68"/>
      <c r="E38" s="80"/>
      <c r="F38" s="68"/>
      <c r="G38" s="69"/>
      <c r="H38" s="67">
        <f t="shared" ref="H38:H69" si="10">SUM(C38:G38)</f>
        <v>9063690</v>
      </c>
      <c r="I38" s="304"/>
      <c r="J38" s="169">
        <f>'HDD &amp; CDD'!N14</f>
        <v>75.999999999999986</v>
      </c>
      <c r="K38" s="169">
        <f>'HDD &amp; CDD'!N32</f>
        <v>25.7</v>
      </c>
      <c r="L38" s="397">
        <f t="shared" si="4"/>
        <v>30</v>
      </c>
      <c r="M38" s="169">
        <v>1</v>
      </c>
      <c r="N38" s="397">
        <f>[17]Sheet1!C36</f>
        <v>1</v>
      </c>
      <c r="O38" s="117">
        <f>'CDM Activity'!C84</f>
        <v>54897.404678068357</v>
      </c>
      <c r="P38" s="62"/>
      <c r="Q38" s="62"/>
      <c r="R38" s="62"/>
      <c r="S38" s="63"/>
      <c r="T38" s="45"/>
      <c r="U38" s="61">
        <f t="shared" ref="U38:U69" si="11">$AB$21+J38*$AB$22+K38*$AB$23+L38*$AB$24+M38*$AB$25+N38*$AB$26+O38*$AB$27</f>
        <v>8709245.184069233</v>
      </c>
      <c r="V38" s="217">
        <f t="shared" ref="V38:V69" si="12">U38-H38</f>
        <v>-354444.81593076698</v>
      </c>
      <c r="W38" s="218">
        <f t="shared" ref="W38:W69" si="13">V38/H38</f>
        <v>-3.9106017078117963E-2</v>
      </c>
      <c r="X38" s="218">
        <f t="shared" si="5"/>
        <v>3.9106017078117963E-2</v>
      </c>
      <c r="Y38" s="177"/>
      <c r="Z38" s="310"/>
      <c r="AA38" s="570">
        <v>2009</v>
      </c>
      <c r="AB38" s="571">
        <f>SUM(U54:U65)</f>
        <v>120843116.16652277</v>
      </c>
      <c r="AC38" s="571">
        <f>SUM(H54:H65)</f>
        <v>118414830</v>
      </c>
      <c r="AD38" s="572">
        <f t="shared" si="8"/>
        <v>2428286.1665227711</v>
      </c>
      <c r="AE38" s="573">
        <f t="shared" si="7"/>
        <v>2.0506605182161484E-2</v>
      </c>
      <c r="AF38" s="573">
        <f t="shared" si="9"/>
        <v>2.0506605182161484E-2</v>
      </c>
      <c r="AR38" s="45"/>
      <c r="AS38" s="45"/>
    </row>
    <row r="39" spans="2:45">
      <c r="B39" s="57">
        <f t="shared" si="6"/>
        <v>39386</v>
      </c>
      <c r="C39" s="65">
        <v>9402850</v>
      </c>
      <c r="D39" s="68"/>
      <c r="E39" s="80"/>
      <c r="F39" s="68"/>
      <c r="G39" s="69"/>
      <c r="H39" s="67">
        <f t="shared" si="10"/>
        <v>9402850</v>
      </c>
      <c r="I39" s="304"/>
      <c r="J39" s="169">
        <f>'HDD &amp; CDD'!N15</f>
        <v>227.49999999999997</v>
      </c>
      <c r="K39" s="169">
        <f>'HDD &amp; CDD'!N33</f>
        <v>1.9</v>
      </c>
      <c r="L39" s="397">
        <f t="shared" si="4"/>
        <v>31</v>
      </c>
      <c r="M39" s="169">
        <v>1</v>
      </c>
      <c r="N39" s="397">
        <f>[17]Sheet1!C37</f>
        <v>1</v>
      </c>
      <c r="O39" s="117">
        <f>'CDM Activity'!C85</f>
        <v>57445.38387415441</v>
      </c>
      <c r="P39" s="62"/>
      <c r="Q39" s="62"/>
      <c r="R39" s="62"/>
      <c r="S39" s="63"/>
      <c r="T39" s="45"/>
      <c r="U39" s="61">
        <f t="shared" si="11"/>
        <v>9327728.7336267307</v>
      </c>
      <c r="V39" s="217">
        <f t="shared" si="12"/>
        <v>-75121.26637326926</v>
      </c>
      <c r="W39" s="218">
        <f t="shared" si="13"/>
        <v>-7.9892018242627774E-3</v>
      </c>
      <c r="X39" s="218">
        <f t="shared" si="5"/>
        <v>7.9892018242627774E-3</v>
      </c>
      <c r="Y39" s="177"/>
      <c r="Z39" s="310"/>
      <c r="AA39" s="570">
        <v>2010</v>
      </c>
      <c r="AB39" s="571">
        <f>SUM(U66:U77)</f>
        <v>119197602.83152692</v>
      </c>
      <c r="AC39" s="571">
        <f>SUM(H66:H77)</f>
        <v>116592701</v>
      </c>
      <c r="AD39" s="572">
        <f t="shared" si="8"/>
        <v>2604901.8315269202</v>
      </c>
      <c r="AE39" s="573">
        <f t="shared" si="7"/>
        <v>2.2341894554161842E-2</v>
      </c>
      <c r="AF39" s="573">
        <f t="shared" si="9"/>
        <v>2.2341894554161842E-2</v>
      </c>
      <c r="AR39" s="45"/>
      <c r="AS39" s="45"/>
    </row>
    <row r="40" spans="2:45" ht="13.5" customHeight="1">
      <c r="B40" s="57">
        <f t="shared" si="6"/>
        <v>39416</v>
      </c>
      <c r="C40" s="65">
        <v>10423660</v>
      </c>
      <c r="D40" s="68"/>
      <c r="E40" s="80"/>
      <c r="F40" s="68"/>
      <c r="G40" s="69"/>
      <c r="H40" s="67">
        <f t="shared" si="10"/>
        <v>10423660</v>
      </c>
      <c r="I40" s="304"/>
      <c r="J40" s="169">
        <f>'HDD &amp; CDD'!N16</f>
        <v>517</v>
      </c>
      <c r="K40" s="169">
        <f>'HDD &amp; CDD'!N34</f>
        <v>0</v>
      </c>
      <c r="L40" s="397">
        <f t="shared" si="4"/>
        <v>30</v>
      </c>
      <c r="M40" s="169">
        <v>1</v>
      </c>
      <c r="N40" s="397">
        <f>[17]Sheet1!C38</f>
        <v>0</v>
      </c>
      <c r="O40" s="117">
        <f>'CDM Activity'!C86</f>
        <v>59993.363070240463</v>
      </c>
      <c r="P40" s="62"/>
      <c r="Q40" s="62"/>
      <c r="R40" s="62"/>
      <c r="S40" s="63"/>
      <c r="T40" s="45"/>
      <c r="U40" s="61">
        <f t="shared" si="11"/>
        <v>10509652.987388045</v>
      </c>
      <c r="V40" s="217">
        <f t="shared" si="12"/>
        <v>85992.987388044596</v>
      </c>
      <c r="W40" s="218">
        <f t="shared" si="13"/>
        <v>8.2497882114386505E-3</v>
      </c>
      <c r="X40" s="218">
        <f t="shared" si="5"/>
        <v>8.2497882114386505E-3</v>
      </c>
      <c r="Y40" s="177"/>
      <c r="Z40" s="310"/>
      <c r="AA40" s="570">
        <v>2011</v>
      </c>
      <c r="AB40" s="571">
        <f>SUM(U78:U89)</f>
        <v>118496807.49565221</v>
      </c>
      <c r="AC40" s="571">
        <f>SUM(H78:H89)</f>
        <v>118002442</v>
      </c>
      <c r="AD40" s="572">
        <f t="shared" si="8"/>
        <v>494365.49565221369</v>
      </c>
      <c r="AE40" s="573">
        <f t="shared" si="7"/>
        <v>4.1894513984059223E-3</v>
      </c>
      <c r="AF40" s="573">
        <f t="shared" si="9"/>
        <v>4.1894513984059223E-3</v>
      </c>
      <c r="AR40" s="45"/>
      <c r="AS40" s="45"/>
    </row>
    <row r="41" spans="2:45">
      <c r="B41" s="172">
        <f t="shared" si="6"/>
        <v>39447</v>
      </c>
      <c r="C41" s="81">
        <v>12253260</v>
      </c>
      <c r="D41" s="82"/>
      <c r="E41" s="82"/>
      <c r="F41" s="82"/>
      <c r="G41" s="83"/>
      <c r="H41" s="74">
        <f t="shared" si="10"/>
        <v>12253260</v>
      </c>
      <c r="I41" s="305"/>
      <c r="J41" s="118">
        <f>'HDD &amp; CDD'!N17</f>
        <v>787.69999999999982</v>
      </c>
      <c r="K41" s="118">
        <f>'HDD &amp; CDD'!N35</f>
        <v>0</v>
      </c>
      <c r="L41" s="398">
        <f t="shared" si="4"/>
        <v>31</v>
      </c>
      <c r="M41" s="118">
        <v>0</v>
      </c>
      <c r="N41" s="398">
        <f>[17]Sheet1!C39</f>
        <v>2</v>
      </c>
      <c r="O41" s="120">
        <f>'CDM Activity'!C87</f>
        <v>62541.342266326516</v>
      </c>
      <c r="P41" s="75"/>
      <c r="Q41" s="75"/>
      <c r="R41" s="75"/>
      <c r="S41" s="76"/>
      <c r="T41" s="77"/>
      <c r="U41" s="78">
        <f t="shared" si="11"/>
        <v>12157979.341931904</v>
      </c>
      <c r="V41" s="229">
        <f t="shared" si="12"/>
        <v>-95280.658068096265</v>
      </c>
      <c r="W41" s="219">
        <f t="shared" si="13"/>
        <v>-7.7759435503773093E-3</v>
      </c>
      <c r="X41" s="219">
        <f t="shared" si="5"/>
        <v>7.7759435503773093E-3</v>
      </c>
      <c r="Y41" s="177"/>
      <c r="Z41" s="310"/>
      <c r="AA41" s="570">
        <v>2012</v>
      </c>
      <c r="AB41" s="571">
        <f>SUM(U90:U101)</f>
        <v>116698166.7116608</v>
      </c>
      <c r="AC41" s="571">
        <f>SUM(H90:H101)</f>
        <v>115281047</v>
      </c>
      <c r="AD41" s="572">
        <f t="shared" si="8"/>
        <v>1417119.7116608024</v>
      </c>
      <c r="AE41" s="573">
        <f t="shared" si="7"/>
        <v>1.2292738039244234E-2</v>
      </c>
      <c r="AF41" s="573">
        <f t="shared" si="9"/>
        <v>1.2292738039244234E-2</v>
      </c>
      <c r="AR41" s="45"/>
      <c r="AS41" s="45"/>
    </row>
    <row r="42" spans="2:45">
      <c r="B42" s="57">
        <f t="shared" si="6"/>
        <v>39478</v>
      </c>
      <c r="C42" s="65">
        <v>12288190</v>
      </c>
      <c r="D42" s="68"/>
      <c r="E42" s="80"/>
      <c r="F42" s="68"/>
      <c r="G42" s="69"/>
      <c r="H42" s="67">
        <f t="shared" si="10"/>
        <v>12288190</v>
      </c>
      <c r="I42" s="304"/>
      <c r="J42" s="169">
        <f>'HDD &amp; CDD'!O6</f>
        <v>754.20000000000016</v>
      </c>
      <c r="K42" s="169">
        <f>'HDD &amp; CDD'!O24</f>
        <v>0</v>
      </c>
      <c r="L42" s="397">
        <f t="shared" si="4"/>
        <v>31</v>
      </c>
      <c r="M42" s="169">
        <v>0</v>
      </c>
      <c r="N42" s="397">
        <f>[17]Sheet1!C40</f>
        <v>1</v>
      </c>
      <c r="O42" s="117">
        <f>'CDM Activity'!C88</f>
        <v>64386.233004899106</v>
      </c>
      <c r="P42" s="62"/>
      <c r="Q42" s="62"/>
      <c r="R42" s="62"/>
      <c r="S42" s="63"/>
      <c r="T42" s="45"/>
      <c r="U42" s="61">
        <f t="shared" si="11"/>
        <v>12109346.42334608</v>
      </c>
      <c r="V42" s="217">
        <f t="shared" si="12"/>
        <v>-178843.57665392011</v>
      </c>
      <c r="W42" s="218">
        <f t="shared" si="13"/>
        <v>-1.4554102488154896E-2</v>
      </c>
      <c r="X42" s="218">
        <f t="shared" si="5"/>
        <v>1.4554102488154896E-2</v>
      </c>
      <c r="Y42" s="177"/>
      <c r="Z42" s="310"/>
      <c r="AA42" s="570">
        <v>2013</v>
      </c>
      <c r="AB42" s="571">
        <f>SUM(U102:U113)</f>
        <v>115471991.30319136</v>
      </c>
      <c r="AC42" s="571">
        <f>SUM(H102:H113)</f>
        <v>116595466</v>
      </c>
      <c r="AD42" s="572">
        <f t="shared" si="8"/>
        <v>-1123474.6968086362</v>
      </c>
      <c r="AE42" s="573">
        <f t="shared" si="7"/>
        <v>-9.6356636784541531E-3</v>
      </c>
      <c r="AF42" s="573">
        <f t="shared" si="9"/>
        <v>9.6356636784541531E-3</v>
      </c>
      <c r="AR42" s="45"/>
      <c r="AS42" s="45"/>
    </row>
    <row r="43" spans="2:45">
      <c r="B43" s="57">
        <f t="shared" si="6"/>
        <v>39507</v>
      </c>
      <c r="C43" s="65">
        <v>11701800</v>
      </c>
      <c r="D43" s="68"/>
      <c r="E43" s="80"/>
      <c r="F43" s="68"/>
      <c r="G43" s="69"/>
      <c r="H43" s="67">
        <f t="shared" si="10"/>
        <v>11701800</v>
      </c>
      <c r="I43" s="304"/>
      <c r="J43" s="169">
        <f>'HDD &amp; CDD'!O7</f>
        <v>774.30000000000007</v>
      </c>
      <c r="K43" s="169">
        <f>'HDD &amp; CDD'!O25</f>
        <v>0</v>
      </c>
      <c r="L43" s="397">
        <f t="shared" si="4"/>
        <v>29</v>
      </c>
      <c r="M43" s="169">
        <v>0</v>
      </c>
      <c r="N43" s="397">
        <f>[17]Sheet1!C41</f>
        <v>1</v>
      </c>
      <c r="O43" s="117">
        <f>'CDM Activity'!C89</f>
        <v>66231.12374347169</v>
      </c>
      <c r="P43" s="62"/>
      <c r="Q43" s="62"/>
      <c r="R43" s="62"/>
      <c r="S43" s="63"/>
      <c r="T43" s="45"/>
      <c r="U43" s="61">
        <f t="shared" si="11"/>
        <v>11698139.981752114</v>
      </c>
      <c r="V43" s="217">
        <f t="shared" si="12"/>
        <v>-3660.0182478856295</v>
      </c>
      <c r="W43" s="218">
        <f t="shared" si="13"/>
        <v>-3.127739533991035E-4</v>
      </c>
      <c r="X43" s="218">
        <f t="shared" si="5"/>
        <v>3.127739533991035E-4</v>
      </c>
      <c r="Y43" s="177"/>
      <c r="Z43" s="310"/>
      <c r="AA43" s="570">
        <v>2014</v>
      </c>
      <c r="AB43" s="571">
        <f>SUM(U114:U125)</f>
        <v>113484155.1028066</v>
      </c>
      <c r="AC43" s="571">
        <f>SUM(H114:H125)</f>
        <v>115948548</v>
      </c>
      <c r="AD43" s="572">
        <f t="shared" si="8"/>
        <v>-2464392.8971934021</v>
      </c>
      <c r="AE43" s="573">
        <f t="shared" si="7"/>
        <v>-2.1254193689371616E-2</v>
      </c>
      <c r="AF43" s="573">
        <f t="shared" si="9"/>
        <v>2.1254193689371616E-2</v>
      </c>
      <c r="AR43" s="45"/>
      <c r="AS43" s="45"/>
    </row>
    <row r="44" spans="2:45">
      <c r="B44" s="57">
        <f t="shared" si="6"/>
        <v>39538</v>
      </c>
      <c r="C44" s="65">
        <v>11663590</v>
      </c>
      <c r="D44" s="68"/>
      <c r="E44" s="80"/>
      <c r="F44" s="68"/>
      <c r="G44" s="69"/>
      <c r="H44" s="67">
        <f t="shared" si="10"/>
        <v>11663590</v>
      </c>
      <c r="I44" s="304"/>
      <c r="J44" s="169">
        <f>'HDD &amp; CDD'!O8</f>
        <v>721.1</v>
      </c>
      <c r="K44" s="169">
        <f>'HDD &amp; CDD'!O26</f>
        <v>0</v>
      </c>
      <c r="L44" s="397">
        <f t="shared" si="4"/>
        <v>31</v>
      </c>
      <c r="M44" s="169">
        <v>1</v>
      </c>
      <c r="N44" s="397">
        <f>[17]Sheet1!C42</f>
        <v>2</v>
      </c>
      <c r="O44" s="117">
        <f>'CDM Activity'!C90</f>
        <v>68076.01448204428</v>
      </c>
      <c r="P44" s="62"/>
      <c r="Q44" s="62"/>
      <c r="R44" s="62"/>
      <c r="S44" s="63"/>
      <c r="T44" s="45"/>
      <c r="U44" s="61">
        <f t="shared" si="11"/>
        <v>11460150.207560536</v>
      </c>
      <c r="V44" s="217">
        <f t="shared" si="12"/>
        <v>-203439.79243946448</v>
      </c>
      <c r="W44" s="218">
        <f t="shared" si="13"/>
        <v>-1.7442296277515285E-2</v>
      </c>
      <c r="X44" s="218">
        <f t="shared" si="5"/>
        <v>1.7442296277515285E-2</v>
      </c>
      <c r="Y44" s="177"/>
      <c r="Z44" s="310"/>
      <c r="AA44" s="570" t="s">
        <v>249</v>
      </c>
      <c r="AB44" s="571">
        <f>SUM(U126:U137)</f>
        <v>112687589.67315157</v>
      </c>
      <c r="AC44" s="618">
        <f>SUM(H126:H137)</f>
        <v>112684777.95</v>
      </c>
      <c r="AD44" s="572">
        <f>AB44-AC44</f>
        <v>2811.7231515645981</v>
      </c>
      <c r="AE44" s="573">
        <f>(AB44-AC44)/AC44</f>
        <v>2.4952111569250316E-5</v>
      </c>
      <c r="AF44" s="573">
        <f>ABS(AE44)</f>
        <v>2.4952111569250316E-5</v>
      </c>
      <c r="AH44" s="404"/>
      <c r="AI44" s="244"/>
      <c r="AJ44" s="244"/>
      <c r="AK44" s="244"/>
      <c r="AL44" s="244"/>
      <c r="AM44" s="244"/>
      <c r="AN44" s="244"/>
      <c r="AO44" s="244"/>
      <c r="AP44" s="244"/>
      <c r="AQ44" s="244"/>
      <c r="AR44" s="45"/>
      <c r="AS44" s="45"/>
    </row>
    <row r="45" spans="2:45">
      <c r="B45" s="57">
        <f t="shared" si="6"/>
        <v>39568</v>
      </c>
      <c r="C45" s="65">
        <v>9464610</v>
      </c>
      <c r="D45" s="68"/>
      <c r="E45" s="80"/>
      <c r="F45" s="68"/>
      <c r="G45" s="69"/>
      <c r="H45" s="67">
        <f t="shared" si="10"/>
        <v>9464610</v>
      </c>
      <c r="I45" s="304"/>
      <c r="J45" s="169">
        <f>'HDD &amp; CDD'!O9</f>
        <v>299.60000000000008</v>
      </c>
      <c r="K45" s="169">
        <f>'HDD &amp; CDD'!O27</f>
        <v>0</v>
      </c>
      <c r="L45" s="397">
        <f t="shared" si="4"/>
        <v>30</v>
      </c>
      <c r="M45" s="169">
        <v>1</v>
      </c>
      <c r="N45" s="397">
        <f>[17]Sheet1!C43</f>
        <v>0</v>
      </c>
      <c r="O45" s="117">
        <f>'CDM Activity'!C91</f>
        <v>69920.905220616871</v>
      </c>
      <c r="P45" s="62"/>
      <c r="Q45" s="62"/>
      <c r="R45" s="62"/>
      <c r="S45" s="63"/>
      <c r="T45" s="45"/>
      <c r="U45" s="61">
        <f t="shared" si="11"/>
        <v>9463017.4033310674</v>
      </c>
      <c r="V45" s="217">
        <f t="shared" si="12"/>
        <v>-1592.5966689325869</v>
      </c>
      <c r="W45" s="218">
        <f t="shared" si="13"/>
        <v>-1.6826859943860201E-4</v>
      </c>
      <c r="X45" s="218">
        <f t="shared" si="5"/>
        <v>1.6826859943860201E-4</v>
      </c>
      <c r="Y45" s="177"/>
      <c r="Z45" s="310"/>
      <c r="AA45" s="574" t="s">
        <v>246</v>
      </c>
      <c r="AB45" s="575">
        <f>SUM(U138:U149)</f>
        <v>113261984.91090359</v>
      </c>
      <c r="AD45" s="576"/>
      <c r="AE45" s="577"/>
      <c r="AF45" s="578"/>
      <c r="AH45" s="404"/>
      <c r="AI45" s="244"/>
      <c r="AJ45" s="244"/>
      <c r="AK45" s="244"/>
      <c r="AL45" s="244"/>
      <c r="AM45" s="244"/>
      <c r="AN45" s="244"/>
      <c r="AO45" s="244"/>
      <c r="AP45" s="244"/>
      <c r="AQ45" s="244"/>
      <c r="AR45" s="45"/>
      <c r="AS45" s="45"/>
    </row>
    <row r="46" spans="2:45">
      <c r="B46" s="57">
        <f t="shared" si="6"/>
        <v>39599</v>
      </c>
      <c r="C46" s="65">
        <v>8709540</v>
      </c>
      <c r="D46" s="68"/>
      <c r="E46" s="80"/>
      <c r="F46" s="68"/>
      <c r="G46" s="69"/>
      <c r="H46" s="67">
        <f t="shared" si="10"/>
        <v>8709540</v>
      </c>
      <c r="I46" s="304"/>
      <c r="J46" s="169">
        <f>'HDD &amp; CDD'!O10</f>
        <v>185.40000000000003</v>
      </c>
      <c r="K46" s="169">
        <f>'HDD &amp; CDD'!O28</f>
        <v>0</v>
      </c>
      <c r="L46" s="397">
        <f t="shared" si="4"/>
        <v>31</v>
      </c>
      <c r="M46" s="169">
        <v>1</v>
      </c>
      <c r="N46" s="397">
        <f>[17]Sheet1!C44</f>
        <v>1</v>
      </c>
      <c r="O46" s="117">
        <f>'CDM Activity'!C92</f>
        <v>71765.795959189461</v>
      </c>
      <c r="P46" s="62"/>
      <c r="Q46" s="62"/>
      <c r="R46" s="62"/>
      <c r="S46" s="63"/>
      <c r="T46" s="45"/>
      <c r="U46" s="61">
        <f t="shared" si="11"/>
        <v>9059801.9301231671</v>
      </c>
      <c r="V46" s="217">
        <f t="shared" si="12"/>
        <v>350261.93012316711</v>
      </c>
      <c r="W46" s="218">
        <f t="shared" si="13"/>
        <v>4.0215893161196468E-2</v>
      </c>
      <c r="X46" s="218">
        <f t="shared" si="5"/>
        <v>4.0215893161196468E-2</v>
      </c>
      <c r="Y46" s="177"/>
      <c r="Z46" s="310"/>
      <c r="AA46" s="574" t="s">
        <v>247</v>
      </c>
      <c r="AB46" s="596">
        <f>AB45</f>
        <v>113261984.91090359</v>
      </c>
      <c r="AD46" s="466"/>
      <c r="AE46" s="467"/>
      <c r="AF46" s="468"/>
      <c r="AH46" s="404"/>
      <c r="AI46" s="244"/>
      <c r="AJ46" s="244"/>
      <c r="AK46" s="244"/>
      <c r="AL46" s="244"/>
      <c r="AM46" s="244"/>
      <c r="AN46" s="244"/>
      <c r="AO46" s="244"/>
      <c r="AP46" s="244"/>
      <c r="AQ46" s="244"/>
      <c r="AR46" s="45"/>
      <c r="AS46" s="45"/>
    </row>
    <row r="47" spans="2:45">
      <c r="B47" s="57">
        <f t="shared" si="6"/>
        <v>39629</v>
      </c>
      <c r="C47" s="65">
        <v>9032720</v>
      </c>
      <c r="D47" s="68"/>
      <c r="E47" s="80"/>
      <c r="F47" s="68"/>
      <c r="G47" s="69"/>
      <c r="H47" s="67">
        <f t="shared" si="10"/>
        <v>9032720</v>
      </c>
      <c r="I47" s="304"/>
      <c r="J47" s="169">
        <f>'HDD &amp; CDD'!O11</f>
        <v>22.400000000000002</v>
      </c>
      <c r="K47" s="169">
        <f>'HDD &amp; CDD'!O29</f>
        <v>60.5</v>
      </c>
      <c r="L47" s="397">
        <f t="shared" si="4"/>
        <v>30</v>
      </c>
      <c r="M47" s="169">
        <v>0</v>
      </c>
      <c r="N47" s="397">
        <f>[17]Sheet1!C45</f>
        <v>0</v>
      </c>
      <c r="O47" s="117">
        <f>'CDM Activity'!C93</f>
        <v>73610.686697762052</v>
      </c>
      <c r="P47" s="62"/>
      <c r="Q47" s="62"/>
      <c r="R47" s="62"/>
      <c r="S47" s="63"/>
      <c r="T47" s="45"/>
      <c r="U47" s="61">
        <f t="shared" si="11"/>
        <v>9367119.4571318775</v>
      </c>
      <c r="V47" s="217">
        <f t="shared" si="12"/>
        <v>334399.45713187754</v>
      </c>
      <c r="W47" s="218">
        <f t="shared" si="13"/>
        <v>3.7020903684812277E-2</v>
      </c>
      <c r="X47" s="218">
        <f t="shared" si="5"/>
        <v>3.7020903684812277E-2</v>
      </c>
      <c r="Y47" s="177"/>
      <c r="Z47" s="310"/>
      <c r="AA47" s="579" t="s">
        <v>248</v>
      </c>
      <c r="AB47" s="571">
        <f>SUM(U153:U164)</f>
        <v>113487483.69197023</v>
      </c>
      <c r="AD47" s="580"/>
      <c r="AE47" s="581"/>
      <c r="AF47" s="582"/>
      <c r="AH47" s="404"/>
      <c r="AI47" s="244"/>
      <c r="AJ47" s="244"/>
      <c r="AK47" s="244"/>
      <c r="AL47" s="244"/>
      <c r="AM47" s="244"/>
      <c r="AN47" s="244"/>
      <c r="AO47" s="244"/>
      <c r="AP47" s="244"/>
      <c r="AQ47" s="244"/>
      <c r="AR47" s="45"/>
      <c r="AS47" s="45"/>
    </row>
    <row r="48" spans="2:45">
      <c r="B48" s="57">
        <f t="shared" si="6"/>
        <v>39660</v>
      </c>
      <c r="C48" s="65">
        <v>9681910</v>
      </c>
      <c r="D48" s="68"/>
      <c r="E48" s="80"/>
      <c r="F48" s="68"/>
      <c r="G48" s="69"/>
      <c r="H48" s="67">
        <f t="shared" si="10"/>
        <v>9681910</v>
      </c>
      <c r="I48" s="304"/>
      <c r="J48" s="169">
        <f>'HDD &amp; CDD'!O12</f>
        <v>0.3</v>
      </c>
      <c r="K48" s="169">
        <f>'HDD &amp; CDD'!O30</f>
        <v>78.899999999999991</v>
      </c>
      <c r="L48" s="397">
        <f t="shared" si="4"/>
        <v>31</v>
      </c>
      <c r="M48" s="169">
        <v>0</v>
      </c>
      <c r="N48" s="397">
        <f>[17]Sheet1!C46</f>
        <v>1</v>
      </c>
      <c r="O48" s="117">
        <f>'CDM Activity'!C94</f>
        <v>75455.577436334643</v>
      </c>
      <c r="P48" s="62"/>
      <c r="Q48" s="62"/>
      <c r="R48" s="62"/>
      <c r="S48" s="63"/>
      <c r="T48" s="45"/>
      <c r="U48" s="61">
        <f t="shared" si="11"/>
        <v>9649957.0735640638</v>
      </c>
      <c r="V48" s="217">
        <f t="shared" si="12"/>
        <v>-31952.926435936242</v>
      </c>
      <c r="W48" s="218">
        <f t="shared" si="13"/>
        <v>-3.3002709626443793E-3</v>
      </c>
      <c r="X48" s="218">
        <f t="shared" si="5"/>
        <v>3.3002709626443793E-3</v>
      </c>
      <c r="Y48" s="177"/>
      <c r="Z48" s="310"/>
      <c r="AA48" s="462"/>
      <c r="AB48" s="463"/>
      <c r="AC48" s="463"/>
      <c r="AD48" s="464"/>
      <c r="AE48" s="465"/>
      <c r="AF48" s="465"/>
      <c r="AH48" s="404"/>
      <c r="AI48" s="244"/>
      <c r="AJ48" s="244"/>
      <c r="AK48" s="244"/>
      <c r="AL48" s="244"/>
      <c r="AM48" s="244"/>
      <c r="AN48" s="244"/>
      <c r="AO48" s="244"/>
      <c r="AP48" s="244"/>
      <c r="AQ48" s="244"/>
      <c r="AR48" s="45"/>
      <c r="AS48" s="45"/>
    </row>
    <row r="49" spans="2:46">
      <c r="B49" s="57">
        <f t="shared" si="6"/>
        <v>39691</v>
      </c>
      <c r="C49" s="65">
        <v>9241240</v>
      </c>
      <c r="D49" s="68"/>
      <c r="E49" s="80"/>
      <c r="F49" s="68"/>
      <c r="G49" s="69"/>
      <c r="H49" s="67">
        <f t="shared" si="10"/>
        <v>9241240</v>
      </c>
      <c r="I49" s="304"/>
      <c r="J49" s="169">
        <f>'HDD &amp; CDD'!O13</f>
        <v>14.399999999999999</v>
      </c>
      <c r="K49" s="169">
        <f>'HDD &amp; CDD'!O31</f>
        <v>49.499999999999993</v>
      </c>
      <c r="L49" s="397">
        <f t="shared" si="4"/>
        <v>31</v>
      </c>
      <c r="M49" s="169">
        <v>0</v>
      </c>
      <c r="N49" s="397">
        <f>[17]Sheet1!C47</f>
        <v>1</v>
      </c>
      <c r="O49" s="117">
        <f>'CDM Activity'!C95</f>
        <v>77300.468174907233</v>
      </c>
      <c r="P49" s="62"/>
      <c r="Q49" s="62"/>
      <c r="R49" s="62"/>
      <c r="S49" s="63"/>
      <c r="T49" s="45"/>
      <c r="U49" s="61">
        <f t="shared" si="11"/>
        <v>9301282.1650948711</v>
      </c>
      <c r="V49" s="217">
        <f t="shared" si="12"/>
        <v>60042.165094871074</v>
      </c>
      <c r="W49" s="218">
        <f t="shared" si="13"/>
        <v>6.4971978971297218E-3</v>
      </c>
      <c r="X49" s="218">
        <f t="shared" si="5"/>
        <v>6.4971978971297218E-3</v>
      </c>
      <c r="Y49" s="177"/>
      <c r="Z49" s="310"/>
      <c r="AA49" s="243"/>
      <c r="AB49" s="405" t="s">
        <v>11</v>
      </c>
      <c r="AC49" s="406">
        <f>SUM(AB34:AB43)-SUM(AC34:AC43)</f>
        <v>0</v>
      </c>
      <c r="AD49" s="406">
        <f>SUM(AD34:AD43)</f>
        <v>-2.9802322387695313E-8</v>
      </c>
      <c r="AE49" s="243"/>
      <c r="AF49" s="84"/>
      <c r="AG49" s="45"/>
      <c r="AH49" s="45"/>
      <c r="AI49" s="45"/>
      <c r="AJ49" s="45"/>
      <c r="AK49" s="45"/>
      <c r="AL49" s="45"/>
      <c r="AM49" s="45"/>
      <c r="AN49" s="45"/>
      <c r="AO49" s="45"/>
      <c r="AP49" s="45"/>
      <c r="AQ49" s="45"/>
      <c r="AR49" s="45"/>
      <c r="AS49" s="45"/>
    </row>
    <row r="50" spans="2:46">
      <c r="B50" s="57">
        <f t="shared" si="6"/>
        <v>39721</v>
      </c>
      <c r="C50" s="65">
        <v>8800520</v>
      </c>
      <c r="D50" s="68"/>
      <c r="E50" s="80"/>
      <c r="F50" s="68"/>
      <c r="G50" s="69"/>
      <c r="H50" s="67">
        <f t="shared" si="10"/>
        <v>8800520</v>
      </c>
      <c r="I50" s="304"/>
      <c r="J50" s="169">
        <f>'HDD &amp; CDD'!O14</f>
        <v>95.4</v>
      </c>
      <c r="K50" s="169">
        <f>'HDD &amp; CDD'!O32</f>
        <v>25</v>
      </c>
      <c r="L50" s="397">
        <f t="shared" si="4"/>
        <v>30</v>
      </c>
      <c r="M50" s="169">
        <v>1</v>
      </c>
      <c r="N50" s="397">
        <f>[17]Sheet1!C48</f>
        <v>1</v>
      </c>
      <c r="O50" s="117">
        <f>'CDM Activity'!C96</f>
        <v>79145.358913479824</v>
      </c>
      <c r="P50" s="62"/>
      <c r="Q50" s="62"/>
      <c r="R50" s="62"/>
      <c r="S50" s="63"/>
      <c r="T50" s="45"/>
      <c r="U50" s="61">
        <f t="shared" si="11"/>
        <v>8714198.5726929475</v>
      </c>
      <c r="V50" s="217">
        <f t="shared" si="12"/>
        <v>-86321.427307052538</v>
      </c>
      <c r="W50" s="218">
        <f t="shared" si="13"/>
        <v>-9.8086734996400832E-3</v>
      </c>
      <c r="X50" s="218">
        <f t="shared" si="5"/>
        <v>9.8086734996400832E-3</v>
      </c>
      <c r="Y50" s="177"/>
      <c r="Z50" s="310"/>
      <c r="AF50" s="45"/>
      <c r="AG50" s="45"/>
      <c r="AH50" s="45"/>
      <c r="AI50" s="45"/>
      <c r="AJ50" s="45"/>
      <c r="AK50" s="45"/>
      <c r="AL50" s="45"/>
      <c r="AM50" s="45"/>
      <c r="AN50" s="45"/>
      <c r="AO50" s="45"/>
      <c r="AP50" s="45"/>
      <c r="AQ50" s="45"/>
      <c r="AR50" s="45"/>
      <c r="AS50" s="45"/>
    </row>
    <row r="51" spans="2:46">
      <c r="B51" s="57">
        <f t="shared" si="6"/>
        <v>39752</v>
      </c>
      <c r="C51" s="65">
        <v>8997790</v>
      </c>
      <c r="D51" s="68"/>
      <c r="E51" s="80"/>
      <c r="F51" s="68"/>
      <c r="G51" s="69"/>
      <c r="H51" s="67">
        <f t="shared" si="10"/>
        <v>8997790</v>
      </c>
      <c r="I51" s="304"/>
      <c r="J51" s="169">
        <f>'HDD &amp; CDD'!O15</f>
        <v>321.80000000000007</v>
      </c>
      <c r="K51" s="169">
        <f>'HDD &amp; CDD'!O33</f>
        <v>0</v>
      </c>
      <c r="L51" s="397">
        <f t="shared" si="4"/>
        <v>31</v>
      </c>
      <c r="M51" s="169">
        <v>1</v>
      </c>
      <c r="N51" s="397">
        <f>[17]Sheet1!C49</f>
        <v>1</v>
      </c>
      <c r="O51" s="117">
        <f>'CDM Activity'!C97</f>
        <v>80990.249652052415</v>
      </c>
      <c r="P51" s="62"/>
      <c r="Q51" s="62"/>
      <c r="R51" s="62"/>
      <c r="S51" s="63"/>
      <c r="T51" s="45"/>
      <c r="U51" s="61">
        <f t="shared" si="11"/>
        <v>9668081.7833461463</v>
      </c>
      <c r="V51" s="217">
        <f t="shared" si="12"/>
        <v>670291.78334614635</v>
      </c>
      <c r="W51" s="218">
        <f t="shared" si="13"/>
        <v>7.4495157516028532E-2</v>
      </c>
      <c r="X51" s="218">
        <f t="shared" si="5"/>
        <v>7.4495157516028532E-2</v>
      </c>
      <c r="Y51" s="177"/>
      <c r="Z51" s="310"/>
      <c r="AA51" s="221" t="s">
        <v>142</v>
      </c>
      <c r="AB51" s="225"/>
      <c r="AC51" s="222"/>
      <c r="AD51" s="223"/>
      <c r="AE51" s="223"/>
      <c r="AF51" s="227">
        <f>AVERAGE(AF34:AF43)</f>
        <v>1.4341011012398732E-2</v>
      </c>
    </row>
    <row r="52" spans="2:46">
      <c r="B52" s="57">
        <f t="shared" si="6"/>
        <v>39782</v>
      </c>
      <c r="C52" s="65">
        <v>9775270</v>
      </c>
      <c r="D52" s="68"/>
      <c r="E52" s="80"/>
      <c r="F52" s="68"/>
      <c r="G52" s="69"/>
      <c r="H52" s="67">
        <f t="shared" si="10"/>
        <v>9775270</v>
      </c>
      <c r="I52" s="304"/>
      <c r="J52" s="169">
        <f>'HDD &amp; CDD'!O16</f>
        <v>502.8</v>
      </c>
      <c r="K52" s="169">
        <f>'HDD &amp; CDD'!O34</f>
        <v>0</v>
      </c>
      <c r="L52" s="397">
        <f t="shared" si="4"/>
        <v>30</v>
      </c>
      <c r="M52" s="169">
        <v>1</v>
      </c>
      <c r="N52" s="397">
        <f>[17]Sheet1!C50</f>
        <v>0</v>
      </c>
      <c r="O52" s="117">
        <f>'CDM Activity'!C98</f>
        <v>82835.140390625005</v>
      </c>
      <c r="P52" s="62"/>
      <c r="Q52" s="62"/>
      <c r="R52" s="62"/>
      <c r="S52" s="63"/>
      <c r="T52" s="45"/>
      <c r="U52" s="61">
        <f t="shared" si="11"/>
        <v>10371786.173504325</v>
      </c>
      <c r="V52" s="217">
        <f t="shared" si="12"/>
        <v>596516.17350432463</v>
      </c>
      <c r="W52" s="218">
        <f t="shared" si="13"/>
        <v>6.1022986935841635E-2</v>
      </c>
      <c r="X52" s="218">
        <f t="shared" si="5"/>
        <v>6.1022986935841635E-2</v>
      </c>
      <c r="Y52" s="177"/>
      <c r="Z52" s="310"/>
      <c r="AA52" s="221" t="s">
        <v>143</v>
      </c>
      <c r="AB52" s="226"/>
      <c r="AC52" s="224"/>
      <c r="AD52" s="224"/>
      <c r="AE52" s="224"/>
      <c r="AF52" s="228">
        <f>AVERAGE(X6:X125)</f>
        <v>2.0948361884006214E-2</v>
      </c>
      <c r="AJ52" s="469"/>
      <c r="AK52" s="470"/>
    </row>
    <row r="53" spans="2:46">
      <c r="B53" s="172">
        <f t="shared" si="6"/>
        <v>39813</v>
      </c>
      <c r="C53" s="81">
        <v>11977460</v>
      </c>
      <c r="D53" s="82"/>
      <c r="E53" s="82"/>
      <c r="F53" s="82"/>
      <c r="G53" s="83"/>
      <c r="H53" s="74">
        <f t="shared" si="10"/>
        <v>11977460</v>
      </c>
      <c r="I53" s="305"/>
      <c r="J53" s="118">
        <f>'HDD &amp; CDD'!O17</f>
        <v>796.70000000000027</v>
      </c>
      <c r="K53" s="118">
        <f>'HDD &amp; CDD'!O35</f>
        <v>0</v>
      </c>
      <c r="L53" s="398">
        <f t="shared" si="4"/>
        <v>31</v>
      </c>
      <c r="M53" s="118">
        <v>0</v>
      </c>
      <c r="N53" s="398">
        <f>[17]Sheet1!C51</f>
        <v>2</v>
      </c>
      <c r="O53" s="120">
        <f>'CDM Activity'!C99</f>
        <v>84680.031129197596</v>
      </c>
      <c r="P53" s="75"/>
      <c r="Q53" s="75"/>
      <c r="R53" s="75"/>
      <c r="S53" s="76"/>
      <c r="T53" s="77"/>
      <c r="U53" s="78">
        <f t="shared" si="11"/>
        <v>12130689.063893862</v>
      </c>
      <c r="V53" s="229">
        <f t="shared" si="12"/>
        <v>153229.06389386207</v>
      </c>
      <c r="W53" s="219">
        <f t="shared" si="13"/>
        <v>1.2793118398547109E-2</v>
      </c>
      <c r="X53" s="219">
        <f t="shared" si="5"/>
        <v>1.2793118398547109E-2</v>
      </c>
      <c r="Y53" s="177"/>
      <c r="Z53" s="310"/>
      <c r="AH53" s="45"/>
      <c r="AI53" s="45"/>
      <c r="AJ53" s="45"/>
      <c r="AK53" s="45"/>
      <c r="AL53" s="45"/>
      <c r="AM53" s="45"/>
      <c r="AN53" s="45"/>
      <c r="AO53" s="45"/>
      <c r="AP53" s="45"/>
      <c r="AQ53" s="45"/>
      <c r="AR53" s="45"/>
      <c r="AS53" s="45"/>
    </row>
    <row r="54" spans="2:46">
      <c r="B54" s="57">
        <f t="shared" si="6"/>
        <v>39844</v>
      </c>
      <c r="C54" s="65">
        <v>12715660</v>
      </c>
      <c r="D54" s="68"/>
      <c r="E54" s="80"/>
      <c r="F54" s="68"/>
      <c r="G54" s="69"/>
      <c r="H54" s="67">
        <f t="shared" si="10"/>
        <v>12715660</v>
      </c>
      <c r="I54" s="304"/>
      <c r="J54" s="169">
        <f>'HDD &amp; CDD'!P6</f>
        <v>979.5</v>
      </c>
      <c r="K54" s="169">
        <f>'HDD &amp; CDD'!P24</f>
        <v>0</v>
      </c>
      <c r="L54" s="397">
        <f t="shared" si="4"/>
        <v>31</v>
      </c>
      <c r="M54" s="169">
        <v>0</v>
      </c>
      <c r="N54" s="397">
        <f>[17]Sheet1!C52</f>
        <v>1</v>
      </c>
      <c r="O54" s="117">
        <f>'CDM Activity'!C100</f>
        <v>89869.377558430104</v>
      </c>
      <c r="P54" s="62"/>
      <c r="Q54" s="62"/>
      <c r="R54" s="62"/>
      <c r="S54" s="63"/>
      <c r="T54" s="45"/>
      <c r="U54" s="61">
        <f t="shared" si="11"/>
        <v>13081989.096257327</v>
      </c>
      <c r="V54" s="217">
        <f t="shared" si="12"/>
        <v>366329.09625732712</v>
      </c>
      <c r="W54" s="218">
        <f t="shared" si="13"/>
        <v>2.8809286836650801E-2</v>
      </c>
      <c r="X54" s="218">
        <f t="shared" si="5"/>
        <v>2.8809286836650801E-2</v>
      </c>
      <c r="Y54" s="177"/>
      <c r="Z54" s="310"/>
      <c r="AA54" s="45" t="s">
        <v>112</v>
      </c>
      <c r="AB54" s="45"/>
      <c r="AC54" s="45"/>
      <c r="AD54" s="45"/>
      <c r="AH54" s="227"/>
      <c r="AI54" s="45"/>
      <c r="AJ54" s="45"/>
      <c r="AK54" s="45"/>
      <c r="AL54" s="45"/>
      <c r="AM54" s="45"/>
      <c r="AN54" s="45"/>
      <c r="AO54" s="45"/>
      <c r="AP54" s="45"/>
      <c r="AQ54" s="45"/>
      <c r="AR54" s="45"/>
      <c r="AS54" s="45"/>
    </row>
    <row r="55" spans="2:46">
      <c r="B55" s="57">
        <f t="shared" si="6"/>
        <v>39872</v>
      </c>
      <c r="C55" s="65">
        <v>10806911</v>
      </c>
      <c r="D55" s="68"/>
      <c r="E55" s="80"/>
      <c r="F55" s="68"/>
      <c r="G55" s="69"/>
      <c r="H55" s="67">
        <f t="shared" si="10"/>
        <v>10806911</v>
      </c>
      <c r="I55" s="304"/>
      <c r="J55" s="169">
        <f>'HDD &amp; CDD'!P7</f>
        <v>711.5</v>
      </c>
      <c r="K55" s="169">
        <f>'HDD &amp; CDD'!P25</f>
        <v>0</v>
      </c>
      <c r="L55" s="397">
        <f t="shared" si="4"/>
        <v>28</v>
      </c>
      <c r="M55" s="169">
        <v>0</v>
      </c>
      <c r="N55" s="397">
        <f>[17]Sheet1!C53</f>
        <v>1</v>
      </c>
      <c r="O55" s="117">
        <f>'CDM Activity'!C101</f>
        <v>95058.723987662612</v>
      </c>
      <c r="P55" s="62"/>
      <c r="Q55" s="62"/>
      <c r="R55" s="62"/>
      <c r="S55" s="63"/>
      <c r="T55" s="45"/>
      <c r="U55" s="61">
        <f t="shared" si="11"/>
        <v>11064839.858575944</v>
      </c>
      <c r="V55" s="217">
        <f t="shared" si="12"/>
        <v>257928.85857594386</v>
      </c>
      <c r="W55" s="218">
        <f t="shared" si="13"/>
        <v>2.386702903132485E-2</v>
      </c>
      <c r="X55" s="218">
        <f t="shared" si="5"/>
        <v>2.386702903132485E-2</v>
      </c>
      <c r="Y55" s="177"/>
      <c r="Z55" s="310"/>
      <c r="AA55" s="45" t="s">
        <v>113</v>
      </c>
      <c r="AB55" s="45"/>
      <c r="AC55" s="45"/>
      <c r="AD55" s="45"/>
      <c r="AH55" s="45"/>
      <c r="AI55" s="45"/>
      <c r="AJ55" s="45"/>
      <c r="AK55" s="45"/>
      <c r="AL55" s="45"/>
      <c r="AM55" s="45"/>
      <c r="AN55" s="45"/>
      <c r="AO55" s="45"/>
      <c r="AP55" s="45"/>
      <c r="AQ55" s="45"/>
      <c r="AR55" s="45"/>
      <c r="AS55" s="45"/>
    </row>
    <row r="56" spans="2:46">
      <c r="B56" s="57">
        <f t="shared" si="6"/>
        <v>39903</v>
      </c>
      <c r="C56" s="65">
        <v>10822297</v>
      </c>
      <c r="D56" s="68"/>
      <c r="E56" s="80"/>
      <c r="F56" s="68"/>
      <c r="G56" s="69"/>
      <c r="H56" s="67">
        <f t="shared" si="10"/>
        <v>10822297</v>
      </c>
      <c r="I56" s="304"/>
      <c r="J56" s="169">
        <f>'HDD &amp; CDD'!P8</f>
        <v>598.30000000000007</v>
      </c>
      <c r="K56" s="169">
        <f>'HDD &amp; CDD'!P26</f>
        <v>0</v>
      </c>
      <c r="L56" s="397">
        <f t="shared" si="4"/>
        <v>31</v>
      </c>
      <c r="M56" s="169">
        <v>1</v>
      </c>
      <c r="N56" s="397">
        <f>[17]Sheet1!C54</f>
        <v>0</v>
      </c>
      <c r="O56" s="117">
        <f>'CDM Activity'!C102</f>
        <v>100248.07041689512</v>
      </c>
      <c r="P56" s="62"/>
      <c r="Q56" s="62"/>
      <c r="R56" s="62"/>
      <c r="S56" s="63"/>
      <c r="T56" s="45"/>
      <c r="U56" s="61">
        <f t="shared" si="11"/>
        <v>11013026.123415295</v>
      </c>
      <c r="V56" s="217">
        <f t="shared" si="12"/>
        <v>190729.12341529503</v>
      </c>
      <c r="W56" s="218">
        <f t="shared" si="13"/>
        <v>1.7623719198918218E-2</v>
      </c>
      <c r="X56" s="218">
        <f t="shared" si="5"/>
        <v>1.7623719198918218E-2</v>
      </c>
      <c r="Y56" s="177"/>
      <c r="Z56" s="310"/>
      <c r="AA56" s="45"/>
      <c r="AB56" s="45"/>
      <c r="AC56" s="45"/>
      <c r="AD56" s="45"/>
      <c r="AE56" s="45"/>
      <c r="AF56" s="45"/>
      <c r="AG56" s="45"/>
      <c r="AH56" s="45"/>
      <c r="AI56" s="45"/>
      <c r="AJ56" s="45"/>
      <c r="AK56" s="45"/>
      <c r="AL56" s="45"/>
      <c r="AM56" s="45"/>
      <c r="AN56" s="45"/>
      <c r="AO56" s="45"/>
      <c r="AP56" s="45"/>
      <c r="AQ56" s="45"/>
      <c r="AR56" s="45"/>
      <c r="AS56" s="45"/>
    </row>
    <row r="57" spans="2:46">
      <c r="B57" s="57">
        <f t="shared" si="6"/>
        <v>39933</v>
      </c>
      <c r="C57" s="65">
        <v>9188119</v>
      </c>
      <c r="D57" s="68"/>
      <c r="E57" s="80"/>
      <c r="F57" s="68"/>
      <c r="G57" s="69"/>
      <c r="H57" s="67">
        <f t="shared" si="10"/>
        <v>9188119</v>
      </c>
      <c r="I57" s="304"/>
      <c r="J57" s="169">
        <f>'HDD &amp; CDD'!P9</f>
        <v>334.2999999999999</v>
      </c>
      <c r="K57" s="169">
        <f>'HDD &amp; CDD'!P27</f>
        <v>2.5</v>
      </c>
      <c r="L57" s="397">
        <f t="shared" si="4"/>
        <v>30</v>
      </c>
      <c r="M57" s="169">
        <v>1</v>
      </c>
      <c r="N57" s="397">
        <f>[17]Sheet1!C55</f>
        <v>2</v>
      </c>
      <c r="O57" s="117">
        <f>'CDM Activity'!C103</f>
        <v>105437.41684612763</v>
      </c>
      <c r="P57" s="62"/>
      <c r="Q57" s="62"/>
      <c r="R57" s="62"/>
      <c r="S57" s="63"/>
      <c r="T57" s="45"/>
      <c r="U57" s="61">
        <f t="shared" si="11"/>
        <v>9321375.1741176825</v>
      </c>
      <c r="V57" s="217">
        <f t="shared" si="12"/>
        <v>133256.1741176825</v>
      </c>
      <c r="W57" s="218">
        <f t="shared" si="13"/>
        <v>1.4503096239576621E-2</v>
      </c>
      <c r="X57" s="218">
        <f t="shared" si="5"/>
        <v>1.4503096239576621E-2</v>
      </c>
      <c r="Y57" s="177"/>
      <c r="Z57" s="310"/>
      <c r="AD57" s="45"/>
      <c r="AE57" s="45"/>
      <c r="AF57" s="45" t="s">
        <v>216</v>
      </c>
      <c r="AG57" s="45"/>
      <c r="AH57" s="45"/>
      <c r="AI57" s="45"/>
      <c r="AJ57" s="45"/>
      <c r="AK57" s="45"/>
      <c r="AL57" s="45"/>
      <c r="AM57" s="45"/>
      <c r="AN57" s="45"/>
      <c r="AO57" s="45"/>
      <c r="AP57" s="45"/>
      <c r="AQ57" s="45"/>
      <c r="AR57" s="45"/>
      <c r="AS57" s="45"/>
    </row>
    <row r="58" spans="2:46">
      <c r="B58" s="57">
        <f t="shared" si="6"/>
        <v>39964</v>
      </c>
      <c r="C58" s="65">
        <v>8646669</v>
      </c>
      <c r="D58" s="68"/>
      <c r="E58" s="80"/>
      <c r="F58" s="68"/>
      <c r="G58" s="69"/>
      <c r="H58" s="67">
        <f t="shared" si="10"/>
        <v>8646669</v>
      </c>
      <c r="I58" s="304"/>
      <c r="J58" s="169">
        <f>'HDD &amp; CDD'!P10</f>
        <v>181.6</v>
      </c>
      <c r="K58" s="169">
        <f>'HDD &amp; CDD'!P28</f>
        <v>3.2</v>
      </c>
      <c r="L58" s="397">
        <f t="shared" si="4"/>
        <v>31</v>
      </c>
      <c r="M58" s="169">
        <v>1</v>
      </c>
      <c r="N58" s="397">
        <f>[17]Sheet1!C56</f>
        <v>1</v>
      </c>
      <c r="O58" s="117">
        <f>'CDM Activity'!C104</f>
        <v>110626.76327536014</v>
      </c>
      <c r="P58" s="62"/>
      <c r="Q58" s="62"/>
      <c r="R58" s="62"/>
      <c r="S58" s="63"/>
      <c r="T58" s="45"/>
      <c r="U58" s="61">
        <f t="shared" si="11"/>
        <v>8964840.4403598718</v>
      </c>
      <c r="V58" s="217">
        <f t="shared" si="12"/>
        <v>318171.44035987183</v>
      </c>
      <c r="W58" s="218">
        <f t="shared" si="13"/>
        <v>3.6796995508891553E-2</v>
      </c>
      <c r="X58" s="218">
        <f t="shared" si="5"/>
        <v>3.6796995508891553E-2</v>
      </c>
      <c r="Y58" s="177"/>
      <c r="Z58" s="310"/>
      <c r="AA58" s="385" t="s">
        <v>110</v>
      </c>
      <c r="AB58" s="455"/>
      <c r="AC58" s="386" t="s">
        <v>215</v>
      </c>
      <c r="AD58" s="387" t="s">
        <v>141</v>
      </c>
      <c r="AF58" s="388" t="s">
        <v>212</v>
      </c>
      <c r="AG58" s="389" t="s">
        <v>0</v>
      </c>
      <c r="AH58" s="389" t="s">
        <v>213</v>
      </c>
      <c r="AI58" s="389" t="s">
        <v>217</v>
      </c>
      <c r="AK58" s="45"/>
      <c r="AL58" s="45"/>
      <c r="AM58" s="45"/>
      <c r="AN58" s="45"/>
      <c r="AO58" s="45"/>
      <c r="AP58" s="45"/>
      <c r="AQ58" s="45"/>
      <c r="AR58" s="45"/>
      <c r="AS58" s="45"/>
      <c r="AT58" s="45"/>
    </row>
    <row r="59" spans="2:46">
      <c r="B59" s="57">
        <f t="shared" si="6"/>
        <v>39994</v>
      </c>
      <c r="C59" s="65">
        <v>8694745</v>
      </c>
      <c r="D59" s="68"/>
      <c r="E59" s="80"/>
      <c r="F59" s="68"/>
      <c r="G59" s="69"/>
      <c r="H59" s="67">
        <f t="shared" si="10"/>
        <v>8694745</v>
      </c>
      <c r="I59" s="304"/>
      <c r="J59" s="169">
        <f>'HDD &amp; CDD'!P11</f>
        <v>50.4</v>
      </c>
      <c r="K59" s="169">
        <f>'HDD &amp; CDD'!P29</f>
        <v>44.9</v>
      </c>
      <c r="L59" s="397">
        <f t="shared" si="4"/>
        <v>30</v>
      </c>
      <c r="M59" s="169">
        <v>0</v>
      </c>
      <c r="N59" s="397">
        <f>[17]Sheet1!C57</f>
        <v>0</v>
      </c>
      <c r="O59" s="117">
        <f>'CDM Activity'!C105</f>
        <v>115816.10970459264</v>
      </c>
      <c r="P59" s="62"/>
      <c r="Q59" s="62"/>
      <c r="R59" s="62"/>
      <c r="S59" s="63"/>
      <c r="T59" s="45"/>
      <c r="U59" s="61">
        <f t="shared" si="11"/>
        <v>9148846.3188228998</v>
      </c>
      <c r="V59" s="217">
        <f t="shared" si="12"/>
        <v>454101.31882289983</v>
      </c>
      <c r="W59" s="218">
        <f t="shared" si="13"/>
        <v>5.2227100256867776E-2</v>
      </c>
      <c r="X59" s="218">
        <f t="shared" si="5"/>
        <v>5.2227100256867776E-2</v>
      </c>
      <c r="Y59" s="177"/>
      <c r="Z59" s="310"/>
      <c r="AA59" s="382">
        <v>2015</v>
      </c>
      <c r="AB59" s="382" t="s">
        <v>241</v>
      </c>
      <c r="AC59" s="383">
        <f>AB44</f>
        <v>112687589.67315157</v>
      </c>
      <c r="AD59" s="384">
        <f>(AC59-AC43)/AC43</f>
        <v>-2.8124184244622298E-2</v>
      </c>
      <c r="AF59" s="373">
        <f>'Rate Class Energy Model '!D78</f>
        <v>416666.66666666669</v>
      </c>
      <c r="AG59" s="390">
        <f>'Rate Class Energy Model '!$C$16</f>
        <v>1.083</v>
      </c>
      <c r="AH59" s="391">
        <f>AF59*AG59</f>
        <v>451250</v>
      </c>
      <c r="AI59" s="383">
        <f>AC59-AH59</f>
        <v>112236339.67315157</v>
      </c>
      <c r="AK59" s="45"/>
      <c r="AL59" s="45"/>
      <c r="AM59" s="45"/>
      <c r="AN59" s="45"/>
      <c r="AO59" s="45"/>
      <c r="AP59" s="45"/>
      <c r="AQ59" s="45"/>
      <c r="AR59" s="45"/>
      <c r="AS59" s="45"/>
      <c r="AT59" s="45"/>
    </row>
    <row r="60" spans="2:46">
      <c r="B60" s="57">
        <f t="shared" si="6"/>
        <v>40025</v>
      </c>
      <c r="C60" s="65">
        <v>8965453</v>
      </c>
      <c r="D60" s="68"/>
      <c r="E60" s="80"/>
      <c r="F60" s="68"/>
      <c r="G60" s="69"/>
      <c r="H60" s="67">
        <f t="shared" si="10"/>
        <v>8965453</v>
      </c>
      <c r="I60" s="304"/>
      <c r="J60" s="169">
        <f>'HDD &amp; CDD'!P12</f>
        <v>13.1</v>
      </c>
      <c r="K60" s="169">
        <f>'HDD &amp; CDD'!P30</f>
        <v>42.899999999999991</v>
      </c>
      <c r="L60" s="397">
        <f t="shared" si="4"/>
        <v>31</v>
      </c>
      <c r="M60" s="169">
        <v>0</v>
      </c>
      <c r="N60" s="397">
        <f>[17]Sheet1!C58</f>
        <v>1</v>
      </c>
      <c r="O60" s="117">
        <f>'CDM Activity'!C106</f>
        <v>121005.45613382515</v>
      </c>
      <c r="P60" s="62"/>
      <c r="Q60" s="62"/>
      <c r="R60" s="62"/>
      <c r="S60" s="63"/>
      <c r="T60" s="45"/>
      <c r="U60" s="61">
        <f t="shared" si="11"/>
        <v>9066574.5763966292</v>
      </c>
      <c r="V60" s="217">
        <f t="shared" si="12"/>
        <v>101121.57639662921</v>
      </c>
      <c r="W60" s="218">
        <f t="shared" si="13"/>
        <v>1.1279025878182532E-2</v>
      </c>
      <c r="X60" s="218">
        <f t="shared" si="5"/>
        <v>1.1279025878182532E-2</v>
      </c>
      <c r="Y60" s="177"/>
      <c r="Z60" s="310"/>
      <c r="AA60" s="382">
        <v>2016</v>
      </c>
      <c r="AB60" s="382" t="s">
        <v>215</v>
      </c>
      <c r="AC60" s="383">
        <f>SUM(U138:U149)</f>
        <v>113261984.91090359</v>
      </c>
      <c r="AD60" s="384">
        <f>(AC60-AC59)/AC59</f>
        <v>5.0972359903876194E-3</v>
      </c>
      <c r="AF60" s="373">
        <f>'Rate Class Energy Model '!D79</f>
        <v>1250000</v>
      </c>
      <c r="AG60" s="390">
        <f>'Rate Class Energy Model '!$C$16</f>
        <v>1.083</v>
      </c>
      <c r="AH60" s="391">
        <f>AF60*AG60</f>
        <v>1353750</v>
      </c>
      <c r="AI60" s="383">
        <f>AC60-AH60</f>
        <v>111908234.91090359</v>
      </c>
      <c r="AK60" s="45"/>
      <c r="AL60" s="45"/>
      <c r="AM60" s="45"/>
      <c r="AN60" s="45"/>
      <c r="AO60" s="45"/>
      <c r="AP60" s="45"/>
      <c r="AQ60" s="45"/>
      <c r="AR60" s="45"/>
      <c r="AS60" s="45"/>
      <c r="AT60" s="45"/>
    </row>
    <row r="61" spans="2:46">
      <c r="B61" s="57">
        <f t="shared" si="6"/>
        <v>40056</v>
      </c>
      <c r="C61" s="65">
        <v>9534995</v>
      </c>
      <c r="D61" s="68"/>
      <c r="E61" s="80"/>
      <c r="F61" s="68"/>
      <c r="G61" s="69"/>
      <c r="H61" s="67">
        <f t="shared" si="10"/>
        <v>9534995</v>
      </c>
      <c r="I61" s="304"/>
      <c r="J61" s="169">
        <f>'HDD &amp; CDD'!P13</f>
        <v>26.1</v>
      </c>
      <c r="K61" s="169">
        <f>'HDD &amp; CDD'!P31</f>
        <v>82.100000000000009</v>
      </c>
      <c r="L61" s="397">
        <f t="shared" si="4"/>
        <v>31</v>
      </c>
      <c r="M61" s="169">
        <v>0</v>
      </c>
      <c r="N61" s="397">
        <f>[17]Sheet1!C59</f>
        <v>1</v>
      </c>
      <c r="O61" s="117">
        <f>'CDM Activity'!C107</f>
        <v>126194.80256305766</v>
      </c>
      <c r="P61" s="62"/>
      <c r="Q61" s="62"/>
      <c r="R61" s="62"/>
      <c r="S61" s="63"/>
      <c r="T61" s="45"/>
      <c r="U61" s="61">
        <f t="shared" si="11"/>
        <v>9656067.3253532015</v>
      </c>
      <c r="V61" s="217">
        <f t="shared" si="12"/>
        <v>121072.32535320148</v>
      </c>
      <c r="W61" s="218">
        <f t="shared" si="13"/>
        <v>1.2697681053131279E-2</v>
      </c>
      <c r="X61" s="218">
        <f t="shared" si="5"/>
        <v>1.2697681053131279E-2</v>
      </c>
      <c r="Y61" s="177"/>
      <c r="Z61" s="310"/>
      <c r="AA61" s="45"/>
      <c r="AB61" s="45"/>
      <c r="AC61" s="45"/>
      <c r="AD61" s="45"/>
      <c r="AE61" s="45"/>
      <c r="AF61" s="85"/>
      <c r="AG61" s="45"/>
      <c r="AH61" s="45"/>
      <c r="AI61" s="45"/>
      <c r="AJ61" s="45"/>
      <c r="AK61" s="45"/>
      <c r="AL61" s="45"/>
      <c r="AM61" s="45"/>
      <c r="AN61" s="45"/>
      <c r="AO61" s="45"/>
      <c r="AP61" s="45"/>
      <c r="AQ61" s="45"/>
      <c r="AR61" s="45"/>
      <c r="AS61" s="45"/>
      <c r="AT61" s="45"/>
    </row>
    <row r="62" spans="2:46">
      <c r="B62" s="57">
        <f t="shared" si="6"/>
        <v>40086</v>
      </c>
      <c r="C62" s="65">
        <v>8543544</v>
      </c>
      <c r="D62" s="68"/>
      <c r="E62" s="80"/>
      <c r="F62" s="68"/>
      <c r="G62" s="69"/>
      <c r="H62" s="67">
        <f t="shared" si="10"/>
        <v>8543544</v>
      </c>
      <c r="I62" s="304"/>
      <c r="J62" s="169">
        <f>'HDD &amp; CDD'!P14</f>
        <v>106.49999999999999</v>
      </c>
      <c r="K62" s="169">
        <f>'HDD &amp; CDD'!P32</f>
        <v>5</v>
      </c>
      <c r="L62" s="397">
        <f t="shared" si="4"/>
        <v>30</v>
      </c>
      <c r="M62" s="169">
        <v>1</v>
      </c>
      <c r="N62" s="397">
        <f>[17]Sheet1!C60</f>
        <v>1</v>
      </c>
      <c r="O62" s="117">
        <f>'CDM Activity'!C108</f>
        <v>131384.14899229017</v>
      </c>
      <c r="P62" s="62"/>
      <c r="Q62" s="62"/>
      <c r="R62" s="62"/>
      <c r="S62" s="63"/>
      <c r="T62" s="45"/>
      <c r="U62" s="61">
        <f t="shared" si="11"/>
        <v>8324383.0110811386</v>
      </c>
      <c r="V62" s="217">
        <f t="shared" si="12"/>
        <v>-219160.98891886137</v>
      </c>
      <c r="W62" s="218">
        <f t="shared" si="13"/>
        <v>-2.5652233887817677E-2</v>
      </c>
      <c r="X62" s="218">
        <f t="shared" si="5"/>
        <v>2.5652233887817677E-2</v>
      </c>
      <c r="Y62" s="177"/>
      <c r="Z62" s="310"/>
      <c r="AA62" s="400">
        <v>2015</v>
      </c>
      <c r="AB62" s="400"/>
      <c r="AC62" s="449">
        <v>112520680.90133521</v>
      </c>
      <c r="AD62" s="450">
        <v>-2.9563691463085767E-2</v>
      </c>
      <c r="AE62" s="45"/>
      <c r="AF62" s="45"/>
      <c r="AG62" s="45"/>
      <c r="AH62" s="45"/>
      <c r="AI62" s="451"/>
      <c r="AJ62" s="45"/>
      <c r="AK62" s="45"/>
      <c r="AL62" s="45"/>
      <c r="AM62" s="45"/>
      <c r="AN62" s="45"/>
      <c r="AO62" s="45"/>
      <c r="AP62" s="45"/>
      <c r="AQ62" s="45"/>
      <c r="AR62" s="45"/>
      <c r="AS62" s="45"/>
      <c r="AT62" s="45"/>
    </row>
    <row r="63" spans="2:46">
      <c r="B63" s="57">
        <f t="shared" si="6"/>
        <v>40117</v>
      </c>
      <c r="C63" s="65">
        <v>9341679</v>
      </c>
      <c r="D63" s="68"/>
      <c r="E63" s="80"/>
      <c r="F63" s="68"/>
      <c r="G63" s="69"/>
      <c r="H63" s="67">
        <f t="shared" si="10"/>
        <v>9341679</v>
      </c>
      <c r="I63" s="304"/>
      <c r="J63" s="169">
        <f>'HDD &amp; CDD'!P15</f>
        <v>355.5</v>
      </c>
      <c r="K63" s="169">
        <f>'HDD &amp; CDD'!P33</f>
        <v>0</v>
      </c>
      <c r="L63" s="397">
        <f t="shared" si="4"/>
        <v>31</v>
      </c>
      <c r="M63" s="169">
        <v>1</v>
      </c>
      <c r="N63" s="397">
        <f>[17]Sheet1!C61</f>
        <v>1</v>
      </c>
      <c r="O63" s="117">
        <f>'CDM Activity'!C109</f>
        <v>136573.49542152268</v>
      </c>
      <c r="P63" s="62"/>
      <c r="Q63" s="62"/>
      <c r="R63" s="62"/>
      <c r="S63" s="63"/>
      <c r="T63" s="45"/>
      <c r="U63" s="61">
        <f t="shared" si="11"/>
        <v>9651434.1638121456</v>
      </c>
      <c r="V63" s="217">
        <f t="shared" si="12"/>
        <v>309755.16381214559</v>
      </c>
      <c r="W63" s="218">
        <f t="shared" si="13"/>
        <v>3.3158403731507538E-2</v>
      </c>
      <c r="X63" s="218">
        <f t="shared" si="5"/>
        <v>3.3158403731507538E-2</v>
      </c>
      <c r="Y63" s="177"/>
      <c r="Z63" s="310"/>
      <c r="AA63" s="400">
        <v>2016</v>
      </c>
      <c r="AB63" s="400"/>
      <c r="AC63" s="449">
        <v>113718714.89680229</v>
      </c>
      <c r="AD63" s="450">
        <v>1.0647233787338959E-2</v>
      </c>
      <c r="AE63" s="45"/>
      <c r="AF63" s="45"/>
      <c r="AG63" s="45"/>
      <c r="AH63" s="45"/>
      <c r="AI63" s="451"/>
      <c r="AJ63" s="45"/>
      <c r="AK63" s="45"/>
      <c r="AL63" s="45"/>
      <c r="AM63" s="45"/>
      <c r="AN63" s="45"/>
      <c r="AO63" s="45"/>
      <c r="AP63" s="45"/>
      <c r="AQ63" s="45"/>
      <c r="AR63" s="45"/>
      <c r="AS63" s="45"/>
      <c r="AT63" s="45"/>
    </row>
    <row r="64" spans="2:46">
      <c r="B64" s="57">
        <f t="shared" si="6"/>
        <v>40147</v>
      </c>
      <c r="C64" s="65">
        <v>9542500</v>
      </c>
      <c r="D64" s="68"/>
      <c r="E64" s="80"/>
      <c r="F64" s="68"/>
      <c r="G64" s="69"/>
      <c r="H64" s="67">
        <f t="shared" si="10"/>
        <v>9542500</v>
      </c>
      <c r="I64" s="304"/>
      <c r="J64" s="169">
        <f>'HDD &amp; CDD'!P16</f>
        <v>417.39999999999992</v>
      </c>
      <c r="K64" s="169">
        <f>'HDD &amp; CDD'!P34</f>
        <v>0</v>
      </c>
      <c r="L64" s="397">
        <f t="shared" si="4"/>
        <v>30</v>
      </c>
      <c r="M64" s="169">
        <v>1</v>
      </c>
      <c r="N64" s="397">
        <f>[17]Sheet1!C62</f>
        <v>0</v>
      </c>
      <c r="O64" s="117">
        <f>'CDM Activity'!C110</f>
        <v>141762.84185075518</v>
      </c>
      <c r="P64" s="62"/>
      <c r="Q64" s="62"/>
      <c r="R64" s="62"/>
      <c r="S64" s="63"/>
      <c r="T64" s="45"/>
      <c r="U64" s="61">
        <f t="shared" si="11"/>
        <v>9788310.260088833</v>
      </c>
      <c r="V64" s="217">
        <f t="shared" si="12"/>
        <v>245810.26008883305</v>
      </c>
      <c r="W64" s="218">
        <f t="shared" si="13"/>
        <v>2.575952424300058E-2</v>
      </c>
      <c r="X64" s="218">
        <f t="shared" si="5"/>
        <v>2.575952424300058E-2</v>
      </c>
      <c r="Y64" s="177"/>
      <c r="Z64" s="310"/>
      <c r="AD64" s="45"/>
      <c r="AE64" s="85"/>
      <c r="AF64" s="45"/>
      <c r="AG64" s="45"/>
      <c r="AH64" s="45"/>
      <c r="AI64" s="45"/>
      <c r="AJ64" s="45"/>
      <c r="AK64" s="45"/>
      <c r="AL64" s="45"/>
      <c r="AM64" s="45"/>
      <c r="AN64" s="45"/>
      <c r="AO64" s="45"/>
      <c r="AP64" s="45"/>
      <c r="AQ64" s="45"/>
      <c r="AR64" s="45"/>
      <c r="AS64" s="45"/>
    </row>
    <row r="65" spans="2:45">
      <c r="B65" s="172">
        <f t="shared" si="6"/>
        <v>40178</v>
      </c>
      <c r="C65" s="81">
        <v>11612258</v>
      </c>
      <c r="D65" s="82"/>
      <c r="E65" s="82"/>
      <c r="F65" s="82"/>
      <c r="G65" s="83"/>
      <c r="H65" s="74">
        <f t="shared" si="10"/>
        <v>11612258</v>
      </c>
      <c r="I65" s="305"/>
      <c r="J65" s="118">
        <f>'HDD &amp; CDD'!P17</f>
        <v>759.40000000000009</v>
      </c>
      <c r="K65" s="118">
        <f>'HDD &amp; CDD'!P35</f>
        <v>0</v>
      </c>
      <c r="L65" s="398">
        <f t="shared" si="4"/>
        <v>31</v>
      </c>
      <c r="M65" s="118">
        <v>0</v>
      </c>
      <c r="N65" s="398">
        <f>[17]Sheet1!C63</f>
        <v>2</v>
      </c>
      <c r="O65" s="120">
        <f>'CDM Activity'!C111</f>
        <v>146952.18827998769</v>
      </c>
      <c r="P65" s="75"/>
      <c r="Q65" s="75"/>
      <c r="R65" s="75"/>
      <c r="S65" s="76"/>
      <c r="T65" s="77"/>
      <c r="U65" s="78">
        <f t="shared" si="11"/>
        <v>11761429.818241801</v>
      </c>
      <c r="V65" s="229">
        <f t="shared" si="12"/>
        <v>149171.81824180111</v>
      </c>
      <c r="W65" s="219">
        <f t="shared" si="13"/>
        <v>1.2846064756897506E-2</v>
      </c>
      <c r="X65" s="219">
        <f t="shared" si="5"/>
        <v>1.2846064756897506E-2</v>
      </c>
      <c r="Y65" s="177"/>
      <c r="Z65" s="310"/>
      <c r="AA65" s="381" t="s">
        <v>82</v>
      </c>
      <c r="AB65" s="381" t="s">
        <v>215</v>
      </c>
      <c r="AH65" s="392"/>
      <c r="AI65" s="45"/>
      <c r="AJ65" s="45"/>
      <c r="AK65" s="45"/>
      <c r="AL65" s="45"/>
      <c r="AM65" s="45"/>
      <c r="AN65" s="45"/>
      <c r="AO65" s="45"/>
      <c r="AP65" s="45"/>
      <c r="AQ65" s="45"/>
      <c r="AR65" s="45"/>
      <c r="AS65" s="45"/>
    </row>
    <row r="66" spans="2:45">
      <c r="B66" s="57">
        <f t="shared" si="6"/>
        <v>40209</v>
      </c>
      <c r="C66" s="65">
        <v>12078338</v>
      </c>
      <c r="D66" s="68"/>
      <c r="E66" s="80"/>
      <c r="F66" s="68"/>
      <c r="G66" s="69"/>
      <c r="H66" s="67">
        <f t="shared" si="10"/>
        <v>12078338</v>
      </c>
      <c r="I66" s="304"/>
      <c r="J66" s="169">
        <f>'HDD &amp; CDD'!Q6</f>
        <v>789.2</v>
      </c>
      <c r="K66" s="169">
        <f>'HDD &amp; CDD'!Q24</f>
        <v>0</v>
      </c>
      <c r="L66" s="397">
        <f t="shared" si="4"/>
        <v>31</v>
      </c>
      <c r="M66" s="169">
        <v>0</v>
      </c>
      <c r="N66" s="397">
        <f>[17]Sheet1!C64</f>
        <v>1</v>
      </c>
      <c r="O66" s="117">
        <f>'CDM Activity'!C112</f>
        <v>147944.66302405365</v>
      </c>
      <c r="P66" s="62"/>
      <c r="Q66" s="62"/>
      <c r="R66" s="62"/>
      <c r="S66" s="63"/>
      <c r="T66" s="45"/>
      <c r="U66" s="61">
        <f t="shared" si="11"/>
        <v>12011161.081308693</v>
      </c>
      <c r="V66" s="217">
        <f t="shared" si="12"/>
        <v>-67176.918691307306</v>
      </c>
      <c r="W66" s="218">
        <f t="shared" si="13"/>
        <v>-5.5617684064899744E-3</v>
      </c>
      <c r="X66" s="218">
        <f t="shared" si="5"/>
        <v>5.5617684064899744E-3</v>
      </c>
      <c r="Y66" s="177"/>
      <c r="Z66" s="310"/>
      <c r="AA66" s="429">
        <v>2016</v>
      </c>
      <c r="AB66" s="430">
        <f>U166</f>
        <v>113487483.69197023</v>
      </c>
      <c r="AI66" s="45"/>
      <c r="AJ66" s="45"/>
      <c r="AK66" s="45"/>
      <c r="AL66" s="45"/>
      <c r="AM66" s="45"/>
      <c r="AN66" s="45"/>
      <c r="AO66" s="45"/>
      <c r="AP66" s="45"/>
      <c r="AQ66" s="45"/>
      <c r="AR66" s="45"/>
      <c r="AS66" s="45"/>
    </row>
    <row r="67" spans="2:45">
      <c r="B67" s="57">
        <f t="shared" si="6"/>
        <v>40237</v>
      </c>
      <c r="C67" s="65">
        <v>10494800</v>
      </c>
      <c r="D67" s="68"/>
      <c r="E67" s="80"/>
      <c r="F67" s="68"/>
      <c r="G67" s="69"/>
      <c r="H67" s="67">
        <f t="shared" si="10"/>
        <v>10494800</v>
      </c>
      <c r="I67" s="304"/>
      <c r="J67" s="169">
        <f>'HDD &amp; CDD'!Q7</f>
        <v>655.8</v>
      </c>
      <c r="K67" s="169">
        <f>'HDD &amp; CDD'!Q25</f>
        <v>0</v>
      </c>
      <c r="L67" s="397">
        <f t="shared" si="4"/>
        <v>28</v>
      </c>
      <c r="M67" s="169">
        <v>0</v>
      </c>
      <c r="N67" s="397">
        <f>[17]Sheet1!C65</f>
        <v>1</v>
      </c>
      <c r="O67" s="117">
        <f>'CDM Activity'!C113</f>
        <v>148937.1377681196</v>
      </c>
      <c r="P67" s="62"/>
      <c r="Q67" s="62"/>
      <c r="R67" s="62"/>
      <c r="S67" s="63"/>
      <c r="T67" s="45"/>
      <c r="U67" s="61">
        <f t="shared" si="11"/>
        <v>10635915.14950466</v>
      </c>
      <c r="V67" s="217">
        <f t="shared" si="12"/>
        <v>141115.1495046597</v>
      </c>
      <c r="W67" s="218">
        <f t="shared" si="13"/>
        <v>1.3446197117111303E-2</v>
      </c>
      <c r="X67" s="218">
        <f t="shared" si="5"/>
        <v>1.3446197117111303E-2</v>
      </c>
      <c r="Y67" s="177"/>
      <c r="Z67" s="310"/>
      <c r="AI67" s="45"/>
      <c r="AJ67" s="45"/>
      <c r="AK67" s="45"/>
      <c r="AL67" s="45"/>
      <c r="AM67" s="45"/>
      <c r="AN67" s="45"/>
      <c r="AO67" s="45"/>
      <c r="AP67" s="45"/>
      <c r="AQ67" s="45"/>
      <c r="AR67" s="45"/>
      <c r="AS67" s="45"/>
    </row>
    <row r="68" spans="2:45">
      <c r="B68" s="57">
        <f t="shared" si="6"/>
        <v>40268</v>
      </c>
      <c r="C68" s="65">
        <v>10154062</v>
      </c>
      <c r="D68" s="68"/>
      <c r="E68" s="80"/>
      <c r="F68" s="68"/>
      <c r="G68" s="69"/>
      <c r="H68" s="67">
        <f t="shared" si="10"/>
        <v>10154062</v>
      </c>
      <c r="I68" s="304"/>
      <c r="J68" s="169">
        <f>'HDD &amp; CDD'!Q8</f>
        <v>460.7000000000001</v>
      </c>
      <c r="K68" s="169">
        <f>'HDD &amp; CDD'!Q26</f>
        <v>0</v>
      </c>
      <c r="L68" s="397">
        <f t="shared" si="4"/>
        <v>31</v>
      </c>
      <c r="M68" s="169">
        <v>1</v>
      </c>
      <c r="N68" s="397">
        <f>[17]Sheet1!C66</f>
        <v>0</v>
      </c>
      <c r="O68" s="117">
        <f>'CDM Activity'!C114</f>
        <v>149929.61251218556</v>
      </c>
      <c r="P68" s="62"/>
      <c r="Q68" s="62"/>
      <c r="R68" s="62"/>
      <c r="S68" s="63"/>
      <c r="T68" s="45"/>
      <c r="U68" s="61">
        <f t="shared" si="11"/>
        <v>10214663.606608169</v>
      </c>
      <c r="V68" s="217">
        <f t="shared" si="12"/>
        <v>60601.606608169153</v>
      </c>
      <c r="W68" s="218">
        <f t="shared" si="13"/>
        <v>5.968213175000227E-3</v>
      </c>
      <c r="X68" s="218">
        <f t="shared" si="5"/>
        <v>5.968213175000227E-3</v>
      </c>
      <c r="Y68" s="177"/>
      <c r="Z68" s="310"/>
      <c r="AI68" s="45"/>
      <c r="AJ68" s="45"/>
      <c r="AK68" s="45"/>
      <c r="AL68" s="45"/>
      <c r="AM68" s="45"/>
      <c r="AN68" s="45"/>
      <c r="AO68" s="45"/>
      <c r="AP68" s="45"/>
      <c r="AQ68" s="45"/>
      <c r="AR68" s="45"/>
      <c r="AS68" s="45"/>
    </row>
    <row r="69" spans="2:45">
      <c r="B69" s="57">
        <f t="shared" si="6"/>
        <v>40298</v>
      </c>
      <c r="C69" s="65">
        <v>8300785</v>
      </c>
      <c r="D69" s="68"/>
      <c r="E69" s="80"/>
      <c r="F69" s="68"/>
      <c r="G69" s="69"/>
      <c r="H69" s="67">
        <f t="shared" si="10"/>
        <v>8300785</v>
      </c>
      <c r="I69" s="304"/>
      <c r="J69" s="169">
        <f>'HDD &amp; CDD'!Q9</f>
        <v>258.09999999999997</v>
      </c>
      <c r="K69" s="169">
        <f>'HDD &amp; CDD'!Q27</f>
        <v>1.6</v>
      </c>
      <c r="L69" s="397">
        <f t="shared" si="4"/>
        <v>30</v>
      </c>
      <c r="M69" s="169">
        <v>1</v>
      </c>
      <c r="N69" s="397">
        <f>[17]Sheet1!C67</f>
        <v>2</v>
      </c>
      <c r="O69" s="117">
        <f>'CDM Activity'!C115</f>
        <v>150922.08725625151</v>
      </c>
      <c r="P69" s="62"/>
      <c r="Q69" s="62"/>
      <c r="R69" s="62"/>
      <c r="S69" s="63"/>
      <c r="T69" s="45"/>
      <c r="U69" s="61">
        <f t="shared" si="11"/>
        <v>8810462.0775788315</v>
      </c>
      <c r="V69" s="217">
        <f t="shared" si="12"/>
        <v>509677.07757883146</v>
      </c>
      <c r="W69" s="218">
        <f t="shared" si="13"/>
        <v>6.1401069607131306E-2</v>
      </c>
      <c r="X69" s="218">
        <f t="shared" si="5"/>
        <v>6.1401069607131306E-2</v>
      </c>
      <c r="Y69" s="177"/>
      <c r="Z69" s="310"/>
      <c r="AI69" s="45"/>
      <c r="AJ69" s="45"/>
      <c r="AK69" s="45"/>
      <c r="AL69" s="45"/>
      <c r="AM69" s="45"/>
      <c r="AN69" s="45"/>
      <c r="AO69" s="45"/>
      <c r="AP69" s="45"/>
      <c r="AQ69" s="45"/>
      <c r="AR69" s="45"/>
      <c r="AS69" s="45"/>
    </row>
    <row r="70" spans="2:45">
      <c r="B70" s="57">
        <f t="shared" si="6"/>
        <v>40329</v>
      </c>
      <c r="C70" s="65">
        <v>8510046</v>
      </c>
      <c r="D70" s="68"/>
      <c r="E70" s="80"/>
      <c r="F70" s="68"/>
      <c r="G70" s="69"/>
      <c r="H70" s="67">
        <f t="shared" ref="H70:H101" si="14">SUM(C70:G70)</f>
        <v>8510046</v>
      </c>
      <c r="I70" s="304"/>
      <c r="J70" s="169">
        <f>'HDD &amp; CDD'!Q10</f>
        <v>112.30000000000001</v>
      </c>
      <c r="K70" s="169">
        <f>'HDD &amp; CDD'!Q28</f>
        <v>38.199999999999996</v>
      </c>
      <c r="L70" s="397">
        <f t="shared" si="4"/>
        <v>31</v>
      </c>
      <c r="M70" s="169">
        <v>1</v>
      </c>
      <c r="N70" s="397">
        <f>[17]Sheet1!C68</f>
        <v>1</v>
      </c>
      <c r="O70" s="117">
        <f>'CDM Activity'!C116</f>
        <v>151914.56200031747</v>
      </c>
      <c r="P70" s="62"/>
      <c r="Q70" s="62"/>
      <c r="R70" s="62"/>
      <c r="S70" s="63"/>
      <c r="T70" s="45"/>
      <c r="U70" s="61">
        <f t="shared" ref="U70:U101" si="15">$AB$21+J70*$AB$22+K70*$AB$23+L70*$AB$24+M70*$AB$25+N70*$AB$26+O70*$AB$27</f>
        <v>8998438.491547443</v>
      </c>
      <c r="V70" s="217">
        <f t="shared" ref="V70:V101" si="16">U70-H70</f>
        <v>488392.49154744297</v>
      </c>
      <c r="W70" s="218">
        <f t="shared" ref="W70:W101" si="17">V70/H70</f>
        <v>5.7390111821656778E-2</v>
      </c>
      <c r="X70" s="218">
        <f t="shared" si="5"/>
        <v>5.7390111821656778E-2</v>
      </c>
      <c r="Y70" s="177"/>
      <c r="Z70" s="310"/>
      <c r="AB70" s="49" t="s">
        <v>258</v>
      </c>
      <c r="AI70" s="45"/>
      <c r="AJ70" s="45"/>
      <c r="AK70" s="45"/>
      <c r="AL70" s="45"/>
      <c r="AM70" s="45"/>
      <c r="AN70" s="45"/>
      <c r="AO70" s="45"/>
      <c r="AP70" s="45"/>
      <c r="AQ70" s="45"/>
      <c r="AR70" s="45"/>
      <c r="AS70" s="45"/>
    </row>
    <row r="71" spans="2:45">
      <c r="B71" s="57">
        <f t="shared" si="6"/>
        <v>40359</v>
      </c>
      <c r="C71" s="65">
        <v>8680146</v>
      </c>
      <c r="D71" s="68"/>
      <c r="E71" s="80"/>
      <c r="F71" s="68"/>
      <c r="G71" s="69"/>
      <c r="H71" s="67">
        <f t="shared" si="14"/>
        <v>8680146</v>
      </c>
      <c r="I71" s="304"/>
      <c r="J71" s="169">
        <f>'HDD &amp; CDD'!Q11</f>
        <v>37.600000000000009</v>
      </c>
      <c r="K71" s="169">
        <f>'HDD &amp; CDD'!Q29</f>
        <v>33.4</v>
      </c>
      <c r="L71" s="397">
        <f t="shared" ref="L71:L134" si="18">DAY(EOMONTH(B71,0))</f>
        <v>30</v>
      </c>
      <c r="M71" s="169">
        <v>0</v>
      </c>
      <c r="N71" s="397">
        <f>[17]Sheet1!C69</f>
        <v>0</v>
      </c>
      <c r="O71" s="117">
        <f>'CDM Activity'!C117</f>
        <v>152907.03674438343</v>
      </c>
      <c r="P71" s="62"/>
      <c r="Q71" s="62"/>
      <c r="R71" s="62"/>
      <c r="S71" s="63"/>
      <c r="T71" s="45"/>
      <c r="U71" s="61">
        <f t="shared" si="15"/>
        <v>8813004.7749011926</v>
      </c>
      <c r="V71" s="217">
        <f t="shared" si="16"/>
        <v>132858.77490119264</v>
      </c>
      <c r="W71" s="218">
        <f t="shared" si="17"/>
        <v>1.5306053020443739E-2</v>
      </c>
      <c r="X71" s="218">
        <f t="shared" ref="X71:X125" si="19">ABS(W71)</f>
        <v>1.5306053020443739E-2</v>
      </c>
      <c r="Y71" s="177"/>
      <c r="Z71" s="310"/>
      <c r="AD71" s="45"/>
      <c r="AE71" s="85"/>
      <c r="AF71" s="45"/>
      <c r="AG71" s="45"/>
      <c r="AH71" s="45"/>
      <c r="AI71" s="45"/>
      <c r="AJ71" s="45"/>
      <c r="AK71" s="45"/>
      <c r="AL71" s="45"/>
      <c r="AM71" s="45"/>
      <c r="AN71" s="45"/>
      <c r="AO71" s="45"/>
      <c r="AP71" s="45"/>
      <c r="AQ71" s="45"/>
      <c r="AR71" s="45"/>
      <c r="AS71" s="45"/>
    </row>
    <row r="72" spans="2:45">
      <c r="B72" s="57">
        <f t="shared" ref="B72:B135" si="20">EOMONTH(B71,1)</f>
        <v>40390</v>
      </c>
      <c r="C72" s="65">
        <v>9983854</v>
      </c>
      <c r="D72" s="68"/>
      <c r="E72" s="80"/>
      <c r="F72" s="68"/>
      <c r="G72" s="69"/>
      <c r="H72" s="67">
        <f t="shared" si="14"/>
        <v>9983854</v>
      </c>
      <c r="I72" s="304"/>
      <c r="J72" s="169">
        <f>'HDD &amp; CDD'!Q12</f>
        <v>4.5</v>
      </c>
      <c r="K72" s="169">
        <f>'HDD &amp; CDD'!Q30</f>
        <v>150.79999999999998</v>
      </c>
      <c r="L72" s="397">
        <f t="shared" si="18"/>
        <v>31</v>
      </c>
      <c r="M72" s="169">
        <v>0</v>
      </c>
      <c r="N72" s="397">
        <f>[17]Sheet1!C70</f>
        <v>1</v>
      </c>
      <c r="O72" s="117">
        <f>'CDM Activity'!C118</f>
        <v>153899.51148844938</v>
      </c>
      <c r="P72" s="62"/>
      <c r="Q72" s="62"/>
      <c r="R72" s="62"/>
      <c r="S72" s="63"/>
      <c r="T72" s="45"/>
      <c r="U72" s="61">
        <f t="shared" si="15"/>
        <v>10423573.751855513</v>
      </c>
      <c r="V72" s="217">
        <f t="shared" si="16"/>
        <v>439719.75185551308</v>
      </c>
      <c r="W72" s="218">
        <f t="shared" si="17"/>
        <v>4.4043087154070272E-2</v>
      </c>
      <c r="X72" s="218">
        <f t="shared" si="19"/>
        <v>4.4043087154070272E-2</v>
      </c>
      <c r="Y72" s="177"/>
      <c r="Z72" s="310"/>
      <c r="AA72" s="45"/>
      <c r="AB72" s="45"/>
      <c r="AC72" s="45"/>
      <c r="AD72" s="45"/>
      <c r="AE72" s="85"/>
      <c r="AF72" s="45"/>
      <c r="AG72" s="45"/>
      <c r="AH72" s="45"/>
      <c r="AI72" s="45"/>
      <c r="AJ72" s="45"/>
      <c r="AK72" s="45"/>
      <c r="AL72" s="45"/>
      <c r="AM72" s="45"/>
      <c r="AN72" s="45"/>
      <c r="AO72" s="45"/>
      <c r="AP72" s="45"/>
      <c r="AQ72" s="45"/>
      <c r="AR72" s="45"/>
      <c r="AS72" s="45"/>
    </row>
    <row r="73" spans="2:45">
      <c r="B73" s="57">
        <f t="shared" si="20"/>
        <v>40421</v>
      </c>
      <c r="C73" s="65">
        <v>9543754</v>
      </c>
      <c r="D73" s="68"/>
      <c r="E73" s="80"/>
      <c r="F73" s="68"/>
      <c r="G73" s="69"/>
      <c r="H73" s="67">
        <f t="shared" si="14"/>
        <v>9543754</v>
      </c>
      <c r="I73" s="304"/>
      <c r="J73" s="169">
        <f>'HDD &amp; CDD'!Q13</f>
        <v>14.7</v>
      </c>
      <c r="K73" s="169">
        <f>'HDD &amp; CDD'!Q31</f>
        <v>93</v>
      </c>
      <c r="L73" s="397">
        <f t="shared" si="18"/>
        <v>31</v>
      </c>
      <c r="M73" s="169">
        <v>0</v>
      </c>
      <c r="N73" s="397">
        <f>[17]Sheet1!C71</f>
        <v>1</v>
      </c>
      <c r="O73" s="117">
        <f>'CDM Activity'!C119</f>
        <v>154891.98623251534</v>
      </c>
      <c r="P73" s="62"/>
      <c r="Q73" s="62"/>
      <c r="R73" s="62"/>
      <c r="S73" s="63"/>
      <c r="T73" s="45"/>
      <c r="U73" s="61">
        <f t="shared" si="15"/>
        <v>9664490.854964165</v>
      </c>
      <c r="V73" s="217">
        <f t="shared" si="16"/>
        <v>120736.85496416502</v>
      </c>
      <c r="W73" s="218">
        <f t="shared" si="17"/>
        <v>1.2650876684810297E-2</v>
      </c>
      <c r="X73" s="218">
        <f t="shared" si="19"/>
        <v>1.2650876684810297E-2</v>
      </c>
      <c r="Y73" s="177"/>
      <c r="Z73" s="310"/>
      <c r="AA73" s="45"/>
      <c r="AB73" s="45"/>
      <c r="AC73" s="45"/>
      <c r="AD73" s="45"/>
      <c r="AE73" s="45"/>
      <c r="AF73" s="45"/>
      <c r="AG73" s="45"/>
      <c r="AH73" s="45"/>
      <c r="AI73" s="45"/>
      <c r="AJ73" s="45"/>
      <c r="AK73" s="45"/>
      <c r="AL73" s="45"/>
      <c r="AM73" s="45"/>
      <c r="AN73" s="45"/>
      <c r="AO73" s="45"/>
      <c r="AP73" s="45"/>
      <c r="AQ73" s="45"/>
      <c r="AR73" s="45"/>
      <c r="AS73" s="45"/>
    </row>
    <row r="74" spans="2:45">
      <c r="B74" s="57">
        <f t="shared" si="20"/>
        <v>40451</v>
      </c>
      <c r="C74" s="65">
        <v>8579877</v>
      </c>
      <c r="D74" s="68"/>
      <c r="E74" s="80"/>
      <c r="F74" s="68"/>
      <c r="G74" s="69"/>
      <c r="H74" s="67">
        <f t="shared" si="14"/>
        <v>8579877</v>
      </c>
      <c r="I74" s="304"/>
      <c r="J74" s="169">
        <f>'HDD &amp; CDD'!Q14</f>
        <v>112</v>
      </c>
      <c r="K74" s="169">
        <f>'HDD &amp; CDD'!Q32</f>
        <v>26.200000000000003</v>
      </c>
      <c r="L74" s="397">
        <f t="shared" si="18"/>
        <v>30</v>
      </c>
      <c r="M74" s="169">
        <v>1</v>
      </c>
      <c r="N74" s="397">
        <f>[17]Sheet1!C72</f>
        <v>1</v>
      </c>
      <c r="O74" s="117">
        <f>'CDM Activity'!C120</f>
        <v>155884.46097658129</v>
      </c>
      <c r="P74" s="62"/>
      <c r="Q74" s="62"/>
      <c r="R74" s="62"/>
      <c r="S74" s="63"/>
      <c r="T74" s="45"/>
      <c r="U74" s="61">
        <f t="shared" si="15"/>
        <v>8568101.3376092706</v>
      </c>
      <c r="V74" s="217">
        <f t="shared" si="16"/>
        <v>-11775.662390729412</v>
      </c>
      <c r="W74" s="218">
        <f t="shared" si="17"/>
        <v>-1.3724744994280701E-3</v>
      </c>
      <c r="X74" s="218">
        <f t="shared" si="19"/>
        <v>1.3724744994280701E-3</v>
      </c>
      <c r="Y74" s="177"/>
      <c r="Z74" s="310"/>
      <c r="AA74" s="45"/>
      <c r="AB74" s="45"/>
      <c r="AC74" s="45"/>
      <c r="AD74" s="45"/>
      <c r="AE74" s="45"/>
      <c r="AF74" s="45"/>
      <c r="AG74" s="45"/>
      <c r="AH74" s="45"/>
      <c r="AI74" s="45"/>
      <c r="AJ74" s="45"/>
      <c r="AK74" s="45"/>
      <c r="AL74" s="45"/>
      <c r="AM74" s="45"/>
      <c r="AN74" s="45"/>
      <c r="AO74" s="45"/>
      <c r="AP74" s="45"/>
      <c r="AQ74" s="45"/>
      <c r="AR74" s="45"/>
      <c r="AS74" s="45"/>
    </row>
    <row r="75" spans="2:45">
      <c r="B75" s="57">
        <f t="shared" si="20"/>
        <v>40482</v>
      </c>
      <c r="C75" s="65">
        <v>8994685</v>
      </c>
      <c r="D75" s="68"/>
      <c r="E75" s="80"/>
      <c r="F75" s="68"/>
      <c r="G75" s="69"/>
      <c r="H75" s="67">
        <f t="shared" si="14"/>
        <v>8994685</v>
      </c>
      <c r="I75" s="304"/>
      <c r="J75" s="169">
        <f>'HDD &amp; CDD'!Q15</f>
        <v>311</v>
      </c>
      <c r="K75" s="169">
        <f>'HDD &amp; CDD'!Q33</f>
        <v>0</v>
      </c>
      <c r="L75" s="397">
        <f t="shared" si="18"/>
        <v>31</v>
      </c>
      <c r="M75" s="169">
        <v>1</v>
      </c>
      <c r="N75" s="397">
        <f>[17]Sheet1!C73</f>
        <v>1</v>
      </c>
      <c r="O75" s="117">
        <f>'CDM Activity'!C121</f>
        <v>156876.93572064725</v>
      </c>
      <c r="P75" s="62"/>
      <c r="Q75" s="62"/>
      <c r="R75" s="62"/>
      <c r="S75" s="63"/>
      <c r="T75" s="45"/>
      <c r="U75" s="61">
        <f t="shared" si="15"/>
        <v>9379975.6677355636</v>
      </c>
      <c r="V75" s="217">
        <f t="shared" si="16"/>
        <v>385290.66773556359</v>
      </c>
      <c r="W75" s="218">
        <f t="shared" si="17"/>
        <v>4.283537085907551E-2</v>
      </c>
      <c r="X75" s="218">
        <f t="shared" si="19"/>
        <v>4.283537085907551E-2</v>
      </c>
      <c r="Y75" s="177"/>
      <c r="Z75" s="310"/>
      <c r="AA75" s="45"/>
      <c r="AB75" s="45"/>
      <c r="AC75" s="45"/>
      <c r="AD75" s="45"/>
      <c r="AE75" s="45"/>
      <c r="AF75" s="45"/>
      <c r="AG75" s="45"/>
      <c r="AH75" s="45"/>
      <c r="AI75" s="40"/>
      <c r="AJ75" s="45"/>
      <c r="AK75" s="45"/>
      <c r="AL75" s="45"/>
      <c r="AM75" s="45"/>
      <c r="AN75" s="45"/>
      <c r="AO75" s="45"/>
      <c r="AP75" s="45"/>
      <c r="AQ75" s="45"/>
      <c r="AR75" s="45"/>
      <c r="AS75" s="45"/>
    </row>
    <row r="76" spans="2:45">
      <c r="B76" s="57">
        <f t="shared" si="20"/>
        <v>40512</v>
      </c>
      <c r="C76" s="65">
        <v>9833800</v>
      </c>
      <c r="D76" s="68"/>
      <c r="E76" s="80"/>
      <c r="F76" s="68"/>
      <c r="G76" s="69"/>
      <c r="H76" s="67">
        <f t="shared" si="14"/>
        <v>9833800</v>
      </c>
      <c r="I76" s="304"/>
      <c r="J76" s="169">
        <f>'HDD &amp; CDD'!Q16</f>
        <v>491.59999999999985</v>
      </c>
      <c r="K76" s="169">
        <f>'HDD &amp; CDD'!Q34</f>
        <v>0</v>
      </c>
      <c r="L76" s="397">
        <f t="shared" si="18"/>
        <v>30</v>
      </c>
      <c r="M76" s="169">
        <v>1</v>
      </c>
      <c r="N76" s="397">
        <f>[17]Sheet1!C74</f>
        <v>0</v>
      </c>
      <c r="O76" s="117">
        <f>'CDM Activity'!C122</f>
        <v>157869.4104647132</v>
      </c>
      <c r="P76" s="62"/>
      <c r="Q76" s="62"/>
      <c r="R76" s="62"/>
      <c r="S76" s="63"/>
      <c r="T76" s="45"/>
      <c r="U76" s="61">
        <f t="shared" si="15"/>
        <v>10084481.057388674</v>
      </c>
      <c r="V76" s="217">
        <f t="shared" si="16"/>
        <v>250681.05738867447</v>
      </c>
      <c r="W76" s="218">
        <f t="shared" si="17"/>
        <v>2.5491779107636364E-2</v>
      </c>
      <c r="X76" s="218">
        <f t="shared" si="19"/>
        <v>2.5491779107636364E-2</v>
      </c>
      <c r="Y76" s="177"/>
      <c r="Z76" s="310"/>
      <c r="AA76" s="45"/>
      <c r="AB76" s="45"/>
      <c r="AC76" s="45"/>
      <c r="AD76" s="45"/>
      <c r="AE76" s="45"/>
      <c r="AF76" s="45"/>
      <c r="AG76" s="45"/>
      <c r="AH76" s="45"/>
      <c r="AI76" s="40"/>
      <c r="AJ76" s="45"/>
      <c r="AK76" s="45"/>
      <c r="AL76" s="45"/>
      <c r="AM76" s="45"/>
      <c r="AN76" s="45"/>
      <c r="AO76" s="45"/>
      <c r="AP76" s="45"/>
      <c r="AQ76" s="45"/>
      <c r="AR76" s="45"/>
      <c r="AS76" s="45"/>
    </row>
    <row r="77" spans="2:45">
      <c r="B77" s="172">
        <f t="shared" si="20"/>
        <v>40543</v>
      </c>
      <c r="C77" s="81">
        <v>11438554</v>
      </c>
      <c r="D77" s="82"/>
      <c r="E77" s="82"/>
      <c r="F77" s="82"/>
      <c r="G77" s="83"/>
      <c r="H77" s="74">
        <f t="shared" si="14"/>
        <v>11438554</v>
      </c>
      <c r="I77" s="305"/>
      <c r="J77" s="118">
        <f>'HDD &amp; CDD'!Q17</f>
        <v>731.39999999999986</v>
      </c>
      <c r="K77" s="118">
        <f>'HDD &amp; CDD'!Q35</f>
        <v>0</v>
      </c>
      <c r="L77" s="398">
        <f t="shared" si="18"/>
        <v>31</v>
      </c>
      <c r="M77" s="118">
        <v>0</v>
      </c>
      <c r="N77" s="398">
        <f>[17]Sheet1!C75</f>
        <v>2</v>
      </c>
      <c r="O77" s="120">
        <f>'CDM Activity'!C123</f>
        <v>158861.88520877916</v>
      </c>
      <c r="P77" s="75"/>
      <c r="Q77" s="75"/>
      <c r="R77" s="75"/>
      <c r="S77" s="76"/>
      <c r="T77" s="77"/>
      <c r="U77" s="78">
        <f t="shared" si="15"/>
        <v>11593334.980524747</v>
      </c>
      <c r="V77" s="229">
        <f t="shared" si="16"/>
        <v>154780.9805247467</v>
      </c>
      <c r="W77" s="219">
        <f t="shared" si="17"/>
        <v>1.3531516354667443E-2</v>
      </c>
      <c r="X77" s="219">
        <f t="shared" si="19"/>
        <v>1.3531516354667443E-2</v>
      </c>
      <c r="Y77" s="177"/>
      <c r="Z77" s="310"/>
      <c r="AA77" s="45"/>
      <c r="AB77" s="45"/>
      <c r="AC77" s="45"/>
      <c r="AD77" s="45"/>
      <c r="AE77" s="45"/>
      <c r="AF77" s="45"/>
      <c r="AG77" s="45"/>
      <c r="AH77" s="45"/>
      <c r="AI77" s="40"/>
      <c r="AJ77" s="45"/>
      <c r="AK77" s="45"/>
      <c r="AL77" s="45"/>
      <c r="AM77" s="45"/>
      <c r="AN77" s="45"/>
      <c r="AO77" s="45"/>
      <c r="AP77" s="45"/>
      <c r="AQ77" s="45"/>
      <c r="AR77" s="45"/>
      <c r="AS77" s="45"/>
    </row>
    <row r="78" spans="2:45">
      <c r="B78" s="57">
        <f t="shared" si="20"/>
        <v>40574</v>
      </c>
      <c r="C78" s="65">
        <f>[16]Sheet1!C24</f>
        <v>12132585</v>
      </c>
      <c r="D78" s="68"/>
      <c r="E78" s="65">
        <f>[16]Sheet1!D24</f>
        <v>0</v>
      </c>
      <c r="F78" s="80"/>
      <c r="G78" s="69"/>
      <c r="H78" s="67">
        <f t="shared" si="14"/>
        <v>12132585</v>
      </c>
      <c r="I78" s="304"/>
      <c r="J78" s="169">
        <f>'HDD &amp; CDD'!R6</f>
        <v>888.7</v>
      </c>
      <c r="K78" s="169">
        <f>'HDD &amp; CDD'!R24</f>
        <v>0</v>
      </c>
      <c r="L78" s="397">
        <f t="shared" si="18"/>
        <v>31</v>
      </c>
      <c r="M78" s="169">
        <v>0</v>
      </c>
      <c r="N78" s="397">
        <f>[17]Sheet1!C76</f>
        <v>1</v>
      </c>
      <c r="O78" s="117">
        <f>'CDM Activity'!C124</f>
        <v>163319.92090791953</v>
      </c>
      <c r="P78" s="62"/>
      <c r="Q78" s="62"/>
      <c r="R78" s="62"/>
      <c r="S78" s="63"/>
      <c r="T78" s="45"/>
      <c r="U78" s="61">
        <f t="shared" si="15"/>
        <v>12427806.573942121</v>
      </c>
      <c r="V78" s="217">
        <f t="shared" si="16"/>
        <v>295221.57394212112</v>
      </c>
      <c r="W78" s="218">
        <f t="shared" si="17"/>
        <v>2.4332949156517025E-2</v>
      </c>
      <c r="X78" s="218">
        <f t="shared" si="19"/>
        <v>2.4332949156517025E-2</v>
      </c>
      <c r="Y78" s="177"/>
      <c r="Z78" s="310"/>
      <c r="AA78" s="45"/>
      <c r="AB78" s="45"/>
      <c r="AC78" s="45"/>
      <c r="AD78" s="45"/>
      <c r="AE78" s="45"/>
      <c r="AF78" s="45"/>
      <c r="AG78" s="45"/>
      <c r="AH78" s="45"/>
      <c r="AI78" s="40"/>
      <c r="AJ78" s="45"/>
      <c r="AK78" s="45"/>
      <c r="AL78" s="45"/>
      <c r="AM78" s="45"/>
      <c r="AN78" s="45"/>
      <c r="AO78" s="45"/>
      <c r="AP78" s="45"/>
      <c r="AQ78" s="45"/>
      <c r="AR78" s="45"/>
      <c r="AS78" s="45"/>
    </row>
    <row r="79" spans="2:45">
      <c r="B79" s="57">
        <f t="shared" si="20"/>
        <v>40602</v>
      </c>
      <c r="C79" s="65">
        <f>[16]Sheet1!C25</f>
        <v>10866454</v>
      </c>
      <c r="D79" s="68"/>
      <c r="E79" s="65">
        <f>[16]Sheet1!D25</f>
        <v>1799</v>
      </c>
      <c r="F79" s="80"/>
      <c r="G79" s="69"/>
      <c r="H79" s="67">
        <f t="shared" si="14"/>
        <v>10868253</v>
      </c>
      <c r="I79" s="304"/>
      <c r="J79" s="169">
        <f>'HDD &amp; CDD'!R7</f>
        <v>731.6</v>
      </c>
      <c r="K79" s="169">
        <f>'HDD &amp; CDD'!R25</f>
        <v>0</v>
      </c>
      <c r="L79" s="397">
        <f t="shared" si="18"/>
        <v>28</v>
      </c>
      <c r="M79" s="169">
        <v>0</v>
      </c>
      <c r="N79" s="397">
        <f>[17]Sheet1!C77</f>
        <v>1</v>
      </c>
      <c r="O79" s="117">
        <f>'CDM Activity'!C125</f>
        <v>167777.9566070599</v>
      </c>
      <c r="P79" s="62"/>
      <c r="Q79" s="62"/>
      <c r="R79" s="62"/>
      <c r="S79" s="63"/>
      <c r="T79" s="45"/>
      <c r="U79" s="61">
        <f t="shared" si="15"/>
        <v>10930997.155498661</v>
      </c>
      <c r="V79" s="217">
        <f t="shared" si="16"/>
        <v>62744.155498661101</v>
      </c>
      <c r="W79" s="218">
        <f t="shared" si="17"/>
        <v>5.7731592647558994E-3</v>
      </c>
      <c r="X79" s="218">
        <f t="shared" si="19"/>
        <v>5.7731592647558994E-3</v>
      </c>
      <c r="Y79" s="177"/>
      <c r="Z79" s="310"/>
      <c r="AD79" s="45"/>
      <c r="AE79" s="45"/>
      <c r="AF79" s="45"/>
      <c r="AG79" s="45"/>
      <c r="AH79" s="45"/>
      <c r="AI79" s="40"/>
      <c r="AJ79" s="45"/>
      <c r="AK79" s="45"/>
      <c r="AL79" s="45"/>
      <c r="AM79" s="45"/>
      <c r="AN79" s="45"/>
      <c r="AO79" s="45"/>
      <c r="AP79" s="45"/>
      <c r="AQ79" s="45"/>
      <c r="AR79" s="45"/>
      <c r="AS79" s="45"/>
    </row>
    <row r="80" spans="2:45">
      <c r="B80" s="57">
        <f t="shared" si="20"/>
        <v>40633</v>
      </c>
      <c r="C80" s="65">
        <f>[16]Sheet1!C26</f>
        <v>11067608</v>
      </c>
      <c r="D80" s="68"/>
      <c r="E80" s="65">
        <f>[16]Sheet1!D26</f>
        <v>1033</v>
      </c>
      <c r="F80" s="80"/>
      <c r="G80" s="69"/>
      <c r="H80" s="67">
        <f t="shared" si="14"/>
        <v>11068641</v>
      </c>
      <c r="I80" s="304"/>
      <c r="J80" s="169">
        <f>'HDD &amp; CDD'!R8</f>
        <v>634.59999999999991</v>
      </c>
      <c r="K80" s="169">
        <f>'HDD &amp; CDD'!R26</f>
        <v>0</v>
      </c>
      <c r="L80" s="397">
        <f t="shared" si="18"/>
        <v>31</v>
      </c>
      <c r="M80" s="169">
        <v>1</v>
      </c>
      <c r="N80" s="397">
        <f>[17]Sheet1!C78</f>
        <v>0</v>
      </c>
      <c r="O80" s="117">
        <f>'CDM Activity'!C126</f>
        <v>172235.99230620026</v>
      </c>
      <c r="P80" s="62"/>
      <c r="Q80" s="62"/>
      <c r="R80" s="62"/>
      <c r="S80" s="63"/>
      <c r="T80" s="45"/>
      <c r="U80" s="61">
        <f t="shared" si="15"/>
        <v>10957149.089649057</v>
      </c>
      <c r="V80" s="217">
        <f t="shared" si="16"/>
        <v>-111491.91035094298</v>
      </c>
      <c r="W80" s="218">
        <f t="shared" si="17"/>
        <v>-1.007277319328931E-2</v>
      </c>
      <c r="X80" s="218">
        <f t="shared" si="19"/>
        <v>1.007277319328931E-2</v>
      </c>
      <c r="Y80" s="177"/>
      <c r="Z80" s="310"/>
      <c r="AD80" s="45"/>
      <c r="AE80" s="45"/>
      <c r="AF80" s="45"/>
      <c r="AG80" s="45"/>
      <c r="AH80" s="45"/>
      <c r="AJ80" s="45"/>
      <c r="AK80" s="45"/>
      <c r="AL80" s="45"/>
      <c r="AM80" s="45"/>
      <c r="AN80" s="45"/>
      <c r="AO80" s="45"/>
      <c r="AP80" s="45"/>
      <c r="AQ80" s="45"/>
      <c r="AR80" s="45"/>
      <c r="AS80" s="45"/>
    </row>
    <row r="81" spans="2:45">
      <c r="B81" s="57">
        <f t="shared" si="20"/>
        <v>40663</v>
      </c>
      <c r="C81" s="65">
        <f>[16]Sheet1!C27</f>
        <v>9072415</v>
      </c>
      <c r="D81" s="68"/>
      <c r="E81" s="65">
        <f>[16]Sheet1!D27</f>
        <v>2402</v>
      </c>
      <c r="F81" s="80"/>
      <c r="G81" s="69"/>
      <c r="H81" s="67">
        <f t="shared" si="14"/>
        <v>9074817</v>
      </c>
      <c r="I81" s="304"/>
      <c r="J81" s="169">
        <f>'HDD &amp; CDD'!R9</f>
        <v>347.40000000000009</v>
      </c>
      <c r="K81" s="169">
        <f>'HDD &amp; CDD'!R27</f>
        <v>0</v>
      </c>
      <c r="L81" s="397">
        <f t="shared" si="18"/>
        <v>30</v>
      </c>
      <c r="M81" s="169">
        <v>1</v>
      </c>
      <c r="N81" s="397">
        <f>[17]Sheet1!C79</f>
        <v>2</v>
      </c>
      <c r="O81" s="117">
        <f>'CDM Activity'!C127</f>
        <v>176694.02800534063</v>
      </c>
      <c r="P81" s="62"/>
      <c r="Q81" s="62"/>
      <c r="R81" s="62"/>
      <c r="S81" s="63"/>
      <c r="T81" s="45"/>
      <c r="U81" s="61">
        <f t="shared" si="15"/>
        <v>9124654.994248474</v>
      </c>
      <c r="V81" s="217">
        <f t="shared" si="16"/>
        <v>49837.994248474017</v>
      </c>
      <c r="W81" s="218">
        <f t="shared" si="17"/>
        <v>5.491900745598949E-3</v>
      </c>
      <c r="X81" s="218">
        <f t="shared" si="19"/>
        <v>5.491900745598949E-3</v>
      </c>
      <c r="Y81" s="177"/>
      <c r="Z81" s="310"/>
      <c r="AD81" s="45"/>
      <c r="AE81" s="45"/>
      <c r="AF81" s="45"/>
      <c r="AG81" s="45"/>
      <c r="AH81" s="40"/>
      <c r="AJ81" s="45"/>
      <c r="AK81" s="45"/>
      <c r="AL81" s="45"/>
      <c r="AM81" s="45"/>
      <c r="AN81" s="45"/>
      <c r="AO81" s="45"/>
      <c r="AP81" s="45"/>
      <c r="AQ81" s="45"/>
      <c r="AR81" s="45"/>
      <c r="AS81" s="45"/>
    </row>
    <row r="82" spans="2:45">
      <c r="B82" s="57">
        <f t="shared" si="20"/>
        <v>40694</v>
      </c>
      <c r="C82" s="65">
        <f>[16]Sheet1!C28</f>
        <v>8656277</v>
      </c>
      <c r="D82" s="68"/>
      <c r="E82" s="65">
        <f>[16]Sheet1!D28</f>
        <v>2602</v>
      </c>
      <c r="F82" s="80"/>
      <c r="G82" s="69"/>
      <c r="H82" s="67">
        <f t="shared" si="14"/>
        <v>8658879</v>
      </c>
      <c r="I82" s="304"/>
      <c r="J82" s="169">
        <f>'HDD &amp; CDD'!R10</f>
        <v>142.79999999999998</v>
      </c>
      <c r="K82" s="169">
        <f>'HDD &amp; CDD'!R28</f>
        <v>16.7</v>
      </c>
      <c r="L82" s="397">
        <f t="shared" si="18"/>
        <v>31</v>
      </c>
      <c r="M82" s="169">
        <v>1</v>
      </c>
      <c r="N82" s="397">
        <f>[17]Sheet1!C80</f>
        <v>1</v>
      </c>
      <c r="O82" s="117">
        <f>'CDM Activity'!C128</f>
        <v>181152.063704481</v>
      </c>
      <c r="P82" s="62"/>
      <c r="Q82" s="62"/>
      <c r="R82" s="62"/>
      <c r="S82" s="63"/>
      <c r="T82" s="45"/>
      <c r="U82" s="61">
        <f t="shared" si="15"/>
        <v>8750424.9117504414</v>
      </c>
      <c r="V82" s="217">
        <f t="shared" si="16"/>
        <v>91545.911750441417</v>
      </c>
      <c r="W82" s="218">
        <f t="shared" si="17"/>
        <v>1.0572490012903682E-2</v>
      </c>
      <c r="X82" s="218">
        <f t="shared" si="19"/>
        <v>1.0572490012903682E-2</v>
      </c>
      <c r="Y82" s="177"/>
      <c r="Z82" s="310"/>
      <c r="AD82" s="45"/>
      <c r="AE82" s="45"/>
      <c r="AF82" s="45"/>
      <c r="AG82" s="45"/>
      <c r="AH82" s="40"/>
      <c r="AJ82" s="45"/>
      <c r="AK82" s="45"/>
      <c r="AL82" s="45"/>
      <c r="AM82" s="45"/>
      <c r="AN82" s="45"/>
      <c r="AO82" s="45"/>
      <c r="AP82" s="45"/>
      <c r="AQ82" s="45"/>
      <c r="AR82" s="45"/>
      <c r="AS82" s="45"/>
    </row>
    <row r="83" spans="2:45">
      <c r="B83" s="57">
        <f t="shared" si="20"/>
        <v>40724</v>
      </c>
      <c r="C83" s="65">
        <f>[16]Sheet1!C29</f>
        <v>8776092</v>
      </c>
      <c r="D83" s="68"/>
      <c r="E83" s="65">
        <f>[16]Sheet1!D29</f>
        <v>2828</v>
      </c>
      <c r="F83" s="80"/>
      <c r="G83" s="69"/>
      <c r="H83" s="67">
        <f t="shared" si="14"/>
        <v>8778920</v>
      </c>
      <c r="I83" s="304"/>
      <c r="J83" s="169">
        <f>'HDD &amp; CDD'!R11</f>
        <v>18.5</v>
      </c>
      <c r="K83" s="169">
        <f>'HDD &amp; CDD'!R29</f>
        <v>59.1</v>
      </c>
      <c r="L83" s="397">
        <f t="shared" si="18"/>
        <v>30</v>
      </c>
      <c r="M83" s="169">
        <v>0</v>
      </c>
      <c r="N83" s="397">
        <f>[17]Sheet1!C81</f>
        <v>0</v>
      </c>
      <c r="O83" s="117">
        <f>'CDM Activity'!C129</f>
        <v>185610.09940362137</v>
      </c>
      <c r="P83" s="62"/>
      <c r="Q83" s="62"/>
      <c r="R83" s="62"/>
      <c r="S83" s="63"/>
      <c r="T83" s="45"/>
      <c r="U83" s="61">
        <f t="shared" si="15"/>
        <v>8978685.6182700768</v>
      </c>
      <c r="V83" s="217">
        <f t="shared" si="16"/>
        <v>199765.61827007681</v>
      </c>
      <c r="W83" s="218">
        <f t="shared" si="17"/>
        <v>2.2755147360959755E-2</v>
      </c>
      <c r="X83" s="218">
        <f t="shared" si="19"/>
        <v>2.2755147360959755E-2</v>
      </c>
      <c r="Y83" s="177"/>
      <c r="Z83" s="310"/>
      <c r="AD83" s="45"/>
      <c r="AE83" s="45"/>
      <c r="AF83" s="45"/>
      <c r="AG83" s="45"/>
      <c r="AH83" s="40"/>
      <c r="AJ83" s="45"/>
      <c r="AK83" s="45"/>
      <c r="AL83" s="45"/>
      <c r="AM83" s="45"/>
      <c r="AN83" s="45"/>
      <c r="AO83" s="45"/>
      <c r="AP83" s="45"/>
      <c r="AQ83" s="45"/>
      <c r="AR83" s="45"/>
      <c r="AS83" s="45"/>
    </row>
    <row r="84" spans="2:45">
      <c r="B84" s="57">
        <f t="shared" si="20"/>
        <v>40755</v>
      </c>
      <c r="C84" s="65">
        <f>[16]Sheet1!C30</f>
        <v>9998192</v>
      </c>
      <c r="D84" s="68"/>
      <c r="E84" s="65">
        <f>[16]Sheet1!D30</f>
        <v>3389</v>
      </c>
      <c r="F84" s="80"/>
      <c r="G84" s="69"/>
      <c r="H84" s="67">
        <f t="shared" si="14"/>
        <v>10001581</v>
      </c>
      <c r="I84" s="304"/>
      <c r="J84" s="169">
        <f>'HDD &amp; CDD'!R12</f>
        <v>0</v>
      </c>
      <c r="K84" s="169">
        <f>'HDD &amp; CDD'!R30</f>
        <v>137.5</v>
      </c>
      <c r="L84" s="397">
        <f t="shared" si="18"/>
        <v>31</v>
      </c>
      <c r="M84" s="169">
        <v>0</v>
      </c>
      <c r="N84" s="397">
        <f>[17]Sheet1!C82</f>
        <v>1</v>
      </c>
      <c r="O84" s="117">
        <f>'CDM Activity'!C130</f>
        <v>190068.13510276173</v>
      </c>
      <c r="P84" s="62"/>
      <c r="Q84" s="62"/>
      <c r="R84" s="62"/>
      <c r="S84" s="63"/>
      <c r="T84" s="45"/>
      <c r="U84" s="61">
        <f t="shared" si="15"/>
        <v>10104366.275066709</v>
      </c>
      <c r="V84" s="217">
        <f t="shared" si="16"/>
        <v>102785.27506670915</v>
      </c>
      <c r="W84" s="218">
        <f t="shared" si="17"/>
        <v>1.0276902728349562E-2</v>
      </c>
      <c r="X84" s="218">
        <f t="shared" si="19"/>
        <v>1.0276902728349562E-2</v>
      </c>
      <c r="Y84" s="177"/>
      <c r="Z84" s="310"/>
      <c r="AD84" s="45"/>
      <c r="AE84" s="45"/>
      <c r="AF84" s="45"/>
      <c r="AG84" s="45"/>
      <c r="AH84" s="40"/>
      <c r="AJ84" s="45"/>
      <c r="AK84" s="45"/>
      <c r="AL84" s="45"/>
      <c r="AM84" s="45"/>
      <c r="AN84" s="45"/>
      <c r="AO84" s="45"/>
      <c r="AP84" s="45"/>
      <c r="AQ84" s="45"/>
      <c r="AR84" s="45"/>
      <c r="AS84" s="45"/>
    </row>
    <row r="85" spans="2:45">
      <c r="B85" s="57">
        <f t="shared" si="20"/>
        <v>40786</v>
      </c>
      <c r="C85" s="65">
        <f>[16]Sheet1!C31</f>
        <v>9450654</v>
      </c>
      <c r="D85" s="68"/>
      <c r="E85" s="65">
        <f>[16]Sheet1!D31</f>
        <v>3782</v>
      </c>
      <c r="F85" s="80"/>
      <c r="G85" s="69"/>
      <c r="H85" s="67">
        <f t="shared" si="14"/>
        <v>9454436</v>
      </c>
      <c r="I85" s="304"/>
      <c r="J85" s="169">
        <f>'HDD &amp; CDD'!R13</f>
        <v>2.3000000000000003</v>
      </c>
      <c r="K85" s="169">
        <f>'HDD &amp; CDD'!R31</f>
        <v>82.300000000000011</v>
      </c>
      <c r="L85" s="397">
        <f t="shared" si="18"/>
        <v>31</v>
      </c>
      <c r="M85" s="169">
        <v>0</v>
      </c>
      <c r="N85" s="397">
        <f>[17]Sheet1!C83</f>
        <v>1</v>
      </c>
      <c r="O85" s="117">
        <f>'CDM Activity'!C131</f>
        <v>194526.1708019021</v>
      </c>
      <c r="P85" s="62"/>
      <c r="Q85" s="62"/>
      <c r="R85" s="62"/>
      <c r="S85" s="63"/>
      <c r="T85" s="45"/>
      <c r="U85" s="61">
        <f t="shared" si="15"/>
        <v>9333675.868451843</v>
      </c>
      <c r="V85" s="217">
        <f t="shared" si="16"/>
        <v>-120760.13154815696</v>
      </c>
      <c r="W85" s="218">
        <f t="shared" si="17"/>
        <v>-1.2772854091788972E-2</v>
      </c>
      <c r="X85" s="218">
        <f t="shared" si="19"/>
        <v>1.2772854091788972E-2</v>
      </c>
      <c r="Y85" s="177"/>
      <c r="Z85" s="310"/>
      <c r="AA85" s="86"/>
      <c r="AB85" s="87"/>
      <c r="AC85" s="40"/>
      <c r="AD85" s="40"/>
      <c r="AE85" s="40"/>
      <c r="AF85" s="40"/>
      <c r="AG85" s="40"/>
      <c r="AH85" s="40"/>
      <c r="AJ85" s="45"/>
      <c r="AK85" s="45"/>
      <c r="AL85" s="45"/>
      <c r="AM85" s="45"/>
      <c r="AN85" s="45"/>
      <c r="AO85" s="45"/>
      <c r="AP85" s="45"/>
      <c r="AQ85" s="45"/>
      <c r="AR85" s="45"/>
      <c r="AS85" s="45"/>
    </row>
    <row r="86" spans="2:45">
      <c r="B86" s="57">
        <f t="shared" si="20"/>
        <v>40816</v>
      </c>
      <c r="C86" s="65">
        <f>[16]Sheet1!C32</f>
        <v>8631923</v>
      </c>
      <c r="D86" s="68"/>
      <c r="E86" s="65">
        <f>[16]Sheet1!D32</f>
        <v>3038</v>
      </c>
      <c r="F86" s="80"/>
      <c r="G86" s="69"/>
      <c r="H86" s="67">
        <f t="shared" si="14"/>
        <v>8634961</v>
      </c>
      <c r="I86" s="304"/>
      <c r="J86" s="169">
        <f>'HDD &amp; CDD'!R14</f>
        <v>55.4</v>
      </c>
      <c r="K86" s="169">
        <f>'HDD &amp; CDD'!R32</f>
        <v>32.9</v>
      </c>
      <c r="L86" s="397">
        <f t="shared" si="18"/>
        <v>30</v>
      </c>
      <c r="M86" s="169">
        <v>1</v>
      </c>
      <c r="N86" s="397">
        <f>[17]Sheet1!C84</f>
        <v>1</v>
      </c>
      <c r="O86" s="117">
        <f>'CDM Activity'!C132</f>
        <v>198984.20650104247</v>
      </c>
      <c r="P86" s="62"/>
      <c r="Q86" s="62"/>
      <c r="R86" s="62"/>
      <c r="S86" s="63"/>
      <c r="T86" s="45"/>
      <c r="U86" s="61">
        <f t="shared" si="15"/>
        <v>8261881.6499075135</v>
      </c>
      <c r="V86" s="217">
        <f t="shared" si="16"/>
        <v>-373079.35009248648</v>
      </c>
      <c r="W86" s="218">
        <f t="shared" si="17"/>
        <v>-4.3205678646665163E-2</v>
      </c>
      <c r="X86" s="218">
        <f t="shared" si="19"/>
        <v>4.3205678646665163E-2</v>
      </c>
      <c r="Y86" s="177"/>
      <c r="Z86" s="310"/>
      <c r="AA86" s="40"/>
      <c r="AB86" s="86"/>
      <c r="AC86" s="40"/>
      <c r="AD86" s="40"/>
      <c r="AE86" s="40"/>
      <c r="AF86" s="40"/>
      <c r="AG86" s="40"/>
      <c r="AJ86" s="45"/>
      <c r="AK86" s="45"/>
      <c r="AL86" s="45"/>
      <c r="AM86" s="45"/>
      <c r="AN86" s="45"/>
      <c r="AO86" s="45"/>
      <c r="AP86" s="45"/>
      <c r="AQ86" s="45"/>
      <c r="AR86" s="45"/>
      <c r="AS86" s="45"/>
    </row>
    <row r="87" spans="2:45">
      <c r="B87" s="57">
        <f t="shared" si="20"/>
        <v>40847</v>
      </c>
      <c r="C87" s="65">
        <f>[16]Sheet1!C33</f>
        <v>8921515</v>
      </c>
      <c r="D87" s="68"/>
      <c r="E87" s="65">
        <f>[16]Sheet1!D33</f>
        <v>5616</v>
      </c>
      <c r="F87" s="80"/>
      <c r="G87" s="69"/>
      <c r="H87" s="67">
        <f t="shared" si="14"/>
        <v>8927131</v>
      </c>
      <c r="I87" s="304"/>
      <c r="J87" s="169">
        <f>'HDD &amp; CDD'!R15</f>
        <v>259.10000000000002</v>
      </c>
      <c r="K87" s="169">
        <f>'HDD &amp; CDD'!R33</f>
        <v>1.4</v>
      </c>
      <c r="L87" s="397">
        <f t="shared" si="18"/>
        <v>31</v>
      </c>
      <c r="M87" s="169">
        <v>1</v>
      </c>
      <c r="N87" s="397">
        <f>[17]Sheet1!C85</f>
        <v>1</v>
      </c>
      <c r="O87" s="117">
        <f>'CDM Activity'!C133</f>
        <v>203442.24220018284</v>
      </c>
      <c r="P87" s="62"/>
      <c r="Q87" s="62"/>
      <c r="R87" s="62"/>
      <c r="S87" s="63"/>
      <c r="T87" s="45"/>
      <c r="U87" s="61">
        <f t="shared" si="15"/>
        <v>9011169.4821508322</v>
      </c>
      <c r="V87" s="217">
        <f t="shared" si="16"/>
        <v>84038.482150832191</v>
      </c>
      <c r="W87" s="218">
        <f t="shared" si="17"/>
        <v>9.4138287150521468E-3</v>
      </c>
      <c r="X87" s="218">
        <f t="shared" si="19"/>
        <v>9.4138287150521468E-3</v>
      </c>
      <c r="Y87" s="177"/>
      <c r="Z87" s="310"/>
      <c r="AJ87" s="45"/>
      <c r="AK87" s="45"/>
      <c r="AL87" s="45"/>
      <c r="AM87" s="45"/>
      <c r="AN87" s="45"/>
      <c r="AO87" s="45"/>
      <c r="AP87" s="45"/>
      <c r="AQ87" s="45"/>
      <c r="AR87" s="45"/>
      <c r="AS87" s="45"/>
    </row>
    <row r="88" spans="2:45">
      <c r="B88" s="57">
        <f t="shared" si="20"/>
        <v>40877</v>
      </c>
      <c r="C88" s="65">
        <f>[16]Sheet1!C34</f>
        <v>9478715</v>
      </c>
      <c r="D88" s="68"/>
      <c r="E88" s="65">
        <f>[16]Sheet1!D34</f>
        <v>3860</v>
      </c>
      <c r="F88" s="80"/>
      <c r="G88" s="69"/>
      <c r="H88" s="67">
        <f t="shared" si="14"/>
        <v>9482575</v>
      </c>
      <c r="I88" s="304"/>
      <c r="J88" s="169">
        <f>'HDD &amp; CDD'!R16</f>
        <v>392.9</v>
      </c>
      <c r="K88" s="169">
        <f>'HDD &amp; CDD'!R34</f>
        <v>0</v>
      </c>
      <c r="L88" s="397">
        <f t="shared" si="18"/>
        <v>30</v>
      </c>
      <c r="M88" s="169">
        <v>1</v>
      </c>
      <c r="N88" s="397">
        <f>[17]Sheet1!C86</f>
        <v>0</v>
      </c>
      <c r="O88" s="117">
        <f>'CDM Activity'!C134</f>
        <v>207900.27789932321</v>
      </c>
      <c r="P88" s="62"/>
      <c r="Q88" s="62"/>
      <c r="R88" s="62"/>
      <c r="S88" s="63"/>
      <c r="T88" s="45"/>
      <c r="U88" s="61">
        <f t="shared" si="15"/>
        <v>9466738.9594162554</v>
      </c>
      <c r="V88" s="217">
        <f t="shared" si="16"/>
        <v>-15836.040583744645</v>
      </c>
      <c r="W88" s="218">
        <f t="shared" si="17"/>
        <v>-1.6700147991178182E-3</v>
      </c>
      <c r="X88" s="218">
        <f t="shared" si="19"/>
        <v>1.6700147991178182E-3</v>
      </c>
      <c r="Y88" s="177"/>
      <c r="Z88" s="310"/>
      <c r="AJ88" s="45"/>
      <c r="AK88" s="45"/>
      <c r="AL88" s="45"/>
      <c r="AM88" s="45"/>
      <c r="AN88" s="45"/>
      <c r="AO88" s="45"/>
      <c r="AP88" s="45"/>
      <c r="AQ88" s="45"/>
      <c r="AR88" s="45"/>
      <c r="AS88" s="45"/>
    </row>
    <row r="89" spans="2:45">
      <c r="B89" s="172">
        <f t="shared" si="20"/>
        <v>40908</v>
      </c>
      <c r="C89" s="81">
        <f>[16]Sheet1!C35</f>
        <v>10916892</v>
      </c>
      <c r="D89" s="82"/>
      <c r="E89" s="81">
        <f>[16]Sheet1!D35</f>
        <v>2771</v>
      </c>
      <c r="F89" s="82"/>
      <c r="G89" s="83"/>
      <c r="H89" s="74">
        <f t="shared" si="14"/>
        <v>10919663</v>
      </c>
      <c r="I89" s="305"/>
      <c r="J89" s="118">
        <f>'HDD &amp; CDD'!R17</f>
        <v>672.19999999999993</v>
      </c>
      <c r="K89" s="118">
        <f>'HDD &amp; CDD'!R35</f>
        <v>0</v>
      </c>
      <c r="L89" s="398">
        <f t="shared" si="18"/>
        <v>31</v>
      </c>
      <c r="M89" s="118">
        <v>0</v>
      </c>
      <c r="N89" s="398">
        <f>[17]Sheet1!C87</f>
        <v>2</v>
      </c>
      <c r="O89" s="120">
        <f>'CDM Activity'!C135</f>
        <v>212358.31359846357</v>
      </c>
      <c r="P89" s="75"/>
      <c r="Q89" s="75"/>
      <c r="R89" s="75"/>
      <c r="S89" s="76"/>
      <c r="T89" s="77"/>
      <c r="U89" s="78">
        <f t="shared" si="15"/>
        <v>11149256.917300219</v>
      </c>
      <c r="V89" s="229">
        <f t="shared" si="16"/>
        <v>229593.91730021872</v>
      </c>
      <c r="W89" s="219">
        <f t="shared" si="17"/>
        <v>2.1025732872911804E-2</v>
      </c>
      <c r="X89" s="219">
        <f t="shared" si="19"/>
        <v>2.1025732872911804E-2</v>
      </c>
      <c r="Y89" s="177"/>
      <c r="Z89" s="310"/>
      <c r="AJ89" s="45"/>
      <c r="AK89" s="45"/>
      <c r="AL89" s="45"/>
      <c r="AM89" s="45"/>
      <c r="AN89" s="45"/>
      <c r="AO89" s="45"/>
      <c r="AP89" s="45"/>
      <c r="AQ89" s="45"/>
      <c r="AR89" s="45"/>
      <c r="AS89" s="45"/>
    </row>
    <row r="90" spans="2:45">
      <c r="B90" s="57">
        <f t="shared" si="20"/>
        <v>40939</v>
      </c>
      <c r="C90" s="65">
        <f>[16]Sheet1!C36</f>
        <v>11698538</v>
      </c>
      <c r="D90" s="68"/>
      <c r="E90" s="65">
        <f>[16]Sheet1!D36</f>
        <v>1792</v>
      </c>
      <c r="F90" s="80"/>
      <c r="G90" s="69"/>
      <c r="H90" s="67">
        <f t="shared" si="14"/>
        <v>11700330</v>
      </c>
      <c r="I90" s="304"/>
      <c r="J90" s="169">
        <f>'HDD &amp; CDD'!S6</f>
        <v>831.00000000000023</v>
      </c>
      <c r="K90" s="169">
        <f>'HDD &amp; CDD'!S24</f>
        <v>0</v>
      </c>
      <c r="L90" s="397">
        <f t="shared" si="18"/>
        <v>31</v>
      </c>
      <c r="M90" s="169">
        <v>0</v>
      </c>
      <c r="N90" s="397">
        <f>[17]Sheet1!C88</f>
        <v>1</v>
      </c>
      <c r="O90" s="117">
        <f>'CDM Activity'!C136</f>
        <v>217838.93511900041</v>
      </c>
      <c r="P90" s="62"/>
      <c r="Q90" s="62"/>
      <c r="R90" s="62"/>
      <c r="S90" s="63"/>
      <c r="T90" s="45"/>
      <c r="U90" s="61">
        <f t="shared" si="15"/>
        <v>11987533.040688785</v>
      </c>
      <c r="V90" s="217">
        <f t="shared" si="16"/>
        <v>287203.04068878479</v>
      </c>
      <c r="W90" s="218">
        <f t="shared" si="17"/>
        <v>2.4546576095613098E-2</v>
      </c>
      <c r="X90" s="218">
        <f t="shared" si="19"/>
        <v>2.4546576095613098E-2</v>
      </c>
      <c r="Y90" s="177"/>
      <c r="Z90" s="310"/>
      <c r="AJ90" s="45"/>
      <c r="AK90" s="45"/>
      <c r="AL90" s="45"/>
      <c r="AM90" s="45"/>
      <c r="AN90" s="45"/>
      <c r="AO90" s="45"/>
      <c r="AP90" s="45"/>
      <c r="AQ90" s="45"/>
      <c r="AR90" s="45"/>
      <c r="AS90" s="45"/>
    </row>
    <row r="91" spans="2:45">
      <c r="B91" s="57">
        <f t="shared" si="20"/>
        <v>40968</v>
      </c>
      <c r="C91" s="65">
        <f>[16]Sheet1!C37</f>
        <v>10394346</v>
      </c>
      <c r="D91" s="68"/>
      <c r="E91" s="65">
        <f>[16]Sheet1!D37</f>
        <v>1495</v>
      </c>
      <c r="F91" s="80"/>
      <c r="G91" s="69"/>
      <c r="H91" s="67">
        <f t="shared" si="14"/>
        <v>10395841</v>
      </c>
      <c r="I91" s="304"/>
      <c r="J91" s="169">
        <f>'HDD &amp; CDD'!S7</f>
        <v>671.39999999999986</v>
      </c>
      <c r="K91" s="169">
        <f>'HDD &amp; CDD'!S25</f>
        <v>0</v>
      </c>
      <c r="L91" s="397">
        <f t="shared" si="18"/>
        <v>29</v>
      </c>
      <c r="M91" s="169">
        <v>0</v>
      </c>
      <c r="N91" s="397">
        <f>[17]Sheet1!C89</f>
        <v>1</v>
      </c>
      <c r="O91" s="117">
        <f>'CDM Activity'!C137</f>
        <v>223319.55663953724</v>
      </c>
      <c r="P91" s="62"/>
      <c r="Q91" s="62"/>
      <c r="R91" s="62"/>
      <c r="S91" s="63"/>
      <c r="T91" s="45"/>
      <c r="U91" s="61">
        <f t="shared" si="15"/>
        <v>10725504.027840072</v>
      </c>
      <c r="V91" s="217">
        <f t="shared" si="16"/>
        <v>329663.02784007229</v>
      </c>
      <c r="W91" s="218">
        <f t="shared" si="17"/>
        <v>3.1711049432178916E-2</v>
      </c>
      <c r="X91" s="218">
        <f t="shared" si="19"/>
        <v>3.1711049432178916E-2</v>
      </c>
      <c r="Y91" s="177"/>
      <c r="Z91" s="310"/>
      <c r="AJ91" s="45"/>
      <c r="AK91" s="45"/>
      <c r="AL91" s="45"/>
      <c r="AM91" s="45"/>
      <c r="AN91" s="45"/>
      <c r="AO91" s="45"/>
      <c r="AP91" s="45"/>
      <c r="AQ91" s="45"/>
      <c r="AR91" s="45"/>
      <c r="AS91" s="45"/>
    </row>
    <row r="92" spans="2:45">
      <c r="B92" s="57">
        <f t="shared" si="20"/>
        <v>40999</v>
      </c>
      <c r="C92" s="65">
        <f>[16]Sheet1!C38</f>
        <v>9868346</v>
      </c>
      <c r="D92" s="68"/>
      <c r="E92" s="65">
        <f>[16]Sheet1!D38</f>
        <v>3678</v>
      </c>
      <c r="F92" s="80"/>
      <c r="G92" s="69"/>
      <c r="H92" s="67">
        <f t="shared" si="14"/>
        <v>9872024</v>
      </c>
      <c r="I92" s="304"/>
      <c r="J92" s="169">
        <f>'HDD &amp; CDD'!S8</f>
        <v>460.29999999999984</v>
      </c>
      <c r="K92" s="169">
        <f>'HDD &amp; CDD'!S26</f>
        <v>0</v>
      </c>
      <c r="L92" s="397">
        <f t="shared" si="18"/>
        <v>31</v>
      </c>
      <c r="M92" s="169">
        <v>1</v>
      </c>
      <c r="N92" s="397">
        <f>[17]Sheet1!C90</f>
        <v>0</v>
      </c>
      <c r="O92" s="117">
        <f>'CDM Activity'!C138</f>
        <v>228800.17816007408</v>
      </c>
      <c r="P92" s="62"/>
      <c r="Q92" s="62"/>
      <c r="R92" s="62"/>
      <c r="S92" s="63"/>
      <c r="T92" s="45"/>
      <c r="U92" s="61">
        <f t="shared" si="15"/>
        <v>9965794.560041856</v>
      </c>
      <c r="V92" s="217">
        <f t="shared" si="16"/>
        <v>93770.560041856021</v>
      </c>
      <c r="W92" s="218">
        <f t="shared" si="17"/>
        <v>9.4986154857257254E-3</v>
      </c>
      <c r="X92" s="218">
        <f t="shared" si="19"/>
        <v>9.4986154857257254E-3</v>
      </c>
      <c r="Y92" s="177"/>
      <c r="Z92" s="310"/>
      <c r="AJ92" s="45"/>
      <c r="AK92" s="45"/>
      <c r="AL92" s="45"/>
      <c r="AM92" s="45"/>
      <c r="AN92" s="45"/>
      <c r="AO92" s="45"/>
      <c r="AP92" s="45"/>
      <c r="AQ92" s="45"/>
      <c r="AR92" s="45"/>
      <c r="AS92" s="45"/>
    </row>
    <row r="93" spans="2:45">
      <c r="B93" s="57">
        <f t="shared" si="20"/>
        <v>41029</v>
      </c>
      <c r="C93" s="65">
        <f>[16]Sheet1!C39</f>
        <v>8701738</v>
      </c>
      <c r="D93" s="68"/>
      <c r="E93" s="65">
        <f>[16]Sheet1!D39</f>
        <v>5711</v>
      </c>
      <c r="F93" s="80"/>
      <c r="G93" s="69"/>
      <c r="H93" s="67">
        <f t="shared" si="14"/>
        <v>8707449</v>
      </c>
      <c r="I93" s="304"/>
      <c r="J93" s="169">
        <f>'HDD &amp; CDD'!S9</f>
        <v>363.30000000000007</v>
      </c>
      <c r="K93" s="169">
        <f>'HDD &amp; CDD'!S27</f>
        <v>3.2</v>
      </c>
      <c r="L93" s="397">
        <f t="shared" si="18"/>
        <v>30</v>
      </c>
      <c r="M93" s="169">
        <v>1</v>
      </c>
      <c r="N93" s="397">
        <f>[17]Sheet1!C91</f>
        <v>2</v>
      </c>
      <c r="O93" s="117">
        <f>'CDM Activity'!C139</f>
        <v>234280.79968061091</v>
      </c>
      <c r="P93" s="62"/>
      <c r="Q93" s="62"/>
      <c r="R93" s="62"/>
      <c r="S93" s="63"/>
      <c r="T93" s="45"/>
      <c r="U93" s="61">
        <f t="shared" si="15"/>
        <v>9063074.5651648976</v>
      </c>
      <c r="V93" s="217">
        <f t="shared" si="16"/>
        <v>355625.56516489759</v>
      </c>
      <c r="W93" s="218">
        <f t="shared" si="17"/>
        <v>4.0841532940921917E-2</v>
      </c>
      <c r="X93" s="218">
        <f t="shared" si="19"/>
        <v>4.0841532940921917E-2</v>
      </c>
      <c r="Y93" s="177"/>
      <c r="Z93" s="310"/>
      <c r="AJ93" s="45"/>
      <c r="AK93" s="45"/>
      <c r="AL93" s="45"/>
      <c r="AM93" s="45"/>
      <c r="AN93" s="45"/>
      <c r="AO93" s="45"/>
      <c r="AP93" s="45"/>
      <c r="AQ93" s="45"/>
      <c r="AR93" s="45"/>
      <c r="AS93" s="45"/>
    </row>
    <row r="94" spans="2:45">
      <c r="B94" s="57">
        <f t="shared" si="20"/>
        <v>41060</v>
      </c>
      <c r="C94" s="65">
        <f>[16]Sheet1!C40</f>
        <v>8473818</v>
      </c>
      <c r="D94" s="68"/>
      <c r="E94" s="65">
        <f>[16]Sheet1!D40</f>
        <v>6666</v>
      </c>
      <c r="F94" s="80"/>
      <c r="G94" s="69"/>
      <c r="H94" s="67">
        <f t="shared" si="14"/>
        <v>8480484</v>
      </c>
      <c r="I94" s="304"/>
      <c r="J94" s="169">
        <f>'HDD &amp; CDD'!S10</f>
        <v>102.4</v>
      </c>
      <c r="K94" s="169">
        <f>'HDD &amp; CDD'!S28</f>
        <v>21</v>
      </c>
      <c r="L94" s="397">
        <f t="shared" si="18"/>
        <v>31</v>
      </c>
      <c r="M94" s="169">
        <v>1</v>
      </c>
      <c r="N94" s="397">
        <f>[17]Sheet1!C92</f>
        <v>1</v>
      </c>
      <c r="O94" s="117">
        <f>'CDM Activity'!C140</f>
        <v>239761.42120114775</v>
      </c>
      <c r="P94" s="62"/>
      <c r="Q94" s="62"/>
      <c r="R94" s="62"/>
      <c r="S94" s="63"/>
      <c r="T94" s="45"/>
      <c r="U94" s="61">
        <f t="shared" si="15"/>
        <v>8437940.4761202671</v>
      </c>
      <c r="V94" s="217">
        <f t="shared" si="16"/>
        <v>-42543.523879732937</v>
      </c>
      <c r="W94" s="218">
        <f t="shared" si="17"/>
        <v>-5.0166386587997729E-3</v>
      </c>
      <c r="X94" s="218">
        <f t="shared" si="19"/>
        <v>5.0166386587997729E-3</v>
      </c>
      <c r="Y94" s="177"/>
      <c r="Z94" s="310"/>
      <c r="AJ94" s="45"/>
      <c r="AK94" s="45"/>
      <c r="AL94" s="45"/>
      <c r="AM94" s="45"/>
      <c r="AN94" s="45"/>
      <c r="AO94" s="45"/>
      <c r="AP94" s="45"/>
      <c r="AQ94" s="45"/>
      <c r="AR94" s="45"/>
      <c r="AS94" s="45"/>
    </row>
    <row r="95" spans="2:45">
      <c r="B95" s="57">
        <f t="shared" si="20"/>
        <v>41090</v>
      </c>
      <c r="C95" s="65">
        <f>[16]Sheet1!C41</f>
        <v>9028518</v>
      </c>
      <c r="D95" s="68"/>
      <c r="E95" s="65">
        <f>[16]Sheet1!D41</f>
        <v>8514</v>
      </c>
      <c r="F95" s="80"/>
      <c r="G95" s="69"/>
      <c r="H95" s="67">
        <f t="shared" si="14"/>
        <v>9037032</v>
      </c>
      <c r="I95" s="304"/>
      <c r="J95" s="169">
        <f>'HDD &amp; CDD'!S11</f>
        <v>31.4</v>
      </c>
      <c r="K95" s="169">
        <f>'HDD &amp; CDD'!S29</f>
        <v>70.399999999999991</v>
      </c>
      <c r="L95" s="397">
        <f t="shared" si="18"/>
        <v>30</v>
      </c>
      <c r="M95" s="169">
        <v>0</v>
      </c>
      <c r="N95" s="397">
        <f>[17]Sheet1!C93</f>
        <v>0</v>
      </c>
      <c r="O95" s="117">
        <f>'CDM Activity'!C141</f>
        <v>245242.04272168459</v>
      </c>
      <c r="P95" s="62"/>
      <c r="Q95" s="62"/>
      <c r="R95" s="62"/>
      <c r="S95" s="63"/>
      <c r="T95" s="45"/>
      <c r="U95" s="61">
        <f t="shared" si="15"/>
        <v>9009304.6591946185</v>
      </c>
      <c r="V95" s="217">
        <f t="shared" si="16"/>
        <v>-27727.340805381536</v>
      </c>
      <c r="W95" s="218">
        <f t="shared" si="17"/>
        <v>-3.0681910615544504E-3</v>
      </c>
      <c r="X95" s="218">
        <f t="shared" si="19"/>
        <v>3.0681910615544504E-3</v>
      </c>
      <c r="Y95" s="177"/>
      <c r="Z95" s="310"/>
      <c r="AJ95" s="45"/>
      <c r="AK95" s="45"/>
      <c r="AL95" s="45"/>
      <c r="AM95" s="45"/>
      <c r="AN95" s="45"/>
      <c r="AO95" s="45"/>
      <c r="AP95" s="45"/>
      <c r="AQ95" s="45"/>
      <c r="AR95" s="45"/>
      <c r="AS95" s="45"/>
    </row>
    <row r="96" spans="2:45">
      <c r="B96" s="57">
        <f t="shared" si="20"/>
        <v>41121</v>
      </c>
      <c r="C96" s="65">
        <f>[16]Sheet1!C42</f>
        <v>9776500</v>
      </c>
      <c r="D96" s="68"/>
      <c r="E96" s="65">
        <f>[16]Sheet1!D42</f>
        <v>8372</v>
      </c>
      <c r="F96" s="80"/>
      <c r="G96" s="69"/>
      <c r="H96" s="67">
        <f t="shared" si="14"/>
        <v>9784872</v>
      </c>
      <c r="I96" s="304"/>
      <c r="J96" s="169">
        <f>'HDD &amp; CDD'!S12</f>
        <v>0</v>
      </c>
      <c r="K96" s="169">
        <f>'HDD &amp; CDD'!S30</f>
        <v>142.20000000000005</v>
      </c>
      <c r="L96" s="397">
        <f t="shared" si="18"/>
        <v>31</v>
      </c>
      <c r="M96" s="169">
        <v>0</v>
      </c>
      <c r="N96" s="397">
        <f>[17]Sheet1!C94</f>
        <v>1</v>
      </c>
      <c r="O96" s="117">
        <f>'CDM Activity'!C142</f>
        <v>250722.66424222142</v>
      </c>
      <c r="P96" s="62"/>
      <c r="Q96" s="62"/>
      <c r="R96" s="62"/>
      <c r="S96" s="63"/>
      <c r="T96" s="45"/>
      <c r="U96" s="61">
        <f t="shared" si="15"/>
        <v>9979759.7244821861</v>
      </c>
      <c r="V96" s="217">
        <f t="shared" si="16"/>
        <v>194887.72448218614</v>
      </c>
      <c r="W96" s="218">
        <f t="shared" si="17"/>
        <v>1.9917248225851718E-2</v>
      </c>
      <c r="X96" s="218">
        <f t="shared" si="19"/>
        <v>1.9917248225851718E-2</v>
      </c>
      <c r="Y96" s="177"/>
      <c r="Z96" s="310"/>
      <c r="AJ96" s="45"/>
      <c r="AK96" s="45"/>
      <c r="AL96" s="45"/>
      <c r="AM96" s="45"/>
      <c r="AN96" s="45"/>
      <c r="AO96" s="45"/>
      <c r="AP96" s="45"/>
      <c r="AQ96" s="45"/>
      <c r="AR96" s="45"/>
      <c r="AS96" s="45"/>
    </row>
    <row r="97" spans="2:45">
      <c r="B97" s="57">
        <f t="shared" si="20"/>
        <v>41152</v>
      </c>
      <c r="C97" s="65">
        <f>[16]Sheet1!C43</f>
        <v>9430200</v>
      </c>
      <c r="D97" s="68"/>
      <c r="E97" s="65">
        <f>[16]Sheet1!D43</f>
        <v>8141</v>
      </c>
      <c r="F97" s="80"/>
      <c r="G97" s="69"/>
      <c r="H97" s="67">
        <f t="shared" si="14"/>
        <v>9438341</v>
      </c>
      <c r="I97" s="304"/>
      <c r="J97" s="169">
        <f>'HDD &amp; CDD'!S13</f>
        <v>8.4</v>
      </c>
      <c r="K97" s="169">
        <f>'HDD &amp; CDD'!S31</f>
        <v>97.600000000000009</v>
      </c>
      <c r="L97" s="397">
        <f t="shared" si="18"/>
        <v>31</v>
      </c>
      <c r="M97" s="169">
        <v>0</v>
      </c>
      <c r="N97" s="397">
        <f>[17]Sheet1!C95</f>
        <v>1</v>
      </c>
      <c r="O97" s="117">
        <f>'CDM Activity'!C143</f>
        <v>256203.28576275826</v>
      </c>
      <c r="P97" s="62"/>
      <c r="Q97" s="62"/>
      <c r="R97" s="62"/>
      <c r="S97" s="63"/>
      <c r="T97" s="45"/>
      <c r="U97" s="61">
        <f t="shared" si="15"/>
        <v>9381739.0129392371</v>
      </c>
      <c r="V97" s="217">
        <f t="shared" si="16"/>
        <v>-56601.987060762942</v>
      </c>
      <c r="W97" s="218">
        <f t="shared" si="17"/>
        <v>-5.99702713228553E-3</v>
      </c>
      <c r="X97" s="218">
        <f t="shared" si="19"/>
        <v>5.99702713228553E-3</v>
      </c>
      <c r="Y97" s="177"/>
      <c r="Z97" s="310"/>
      <c r="AJ97" s="45"/>
      <c r="AK97" s="45"/>
      <c r="AL97" s="45"/>
      <c r="AM97" s="45"/>
      <c r="AN97" s="45"/>
      <c r="AO97" s="45"/>
      <c r="AP97" s="45"/>
      <c r="AQ97" s="45"/>
      <c r="AR97" s="45"/>
      <c r="AS97" s="45"/>
    </row>
    <row r="98" spans="2:45">
      <c r="B98" s="57">
        <f t="shared" si="20"/>
        <v>41182</v>
      </c>
      <c r="C98" s="65">
        <f>[16]Sheet1!C44</f>
        <v>8456345</v>
      </c>
      <c r="D98" s="68"/>
      <c r="E98" s="65">
        <f>[16]Sheet1!D44</f>
        <v>7448</v>
      </c>
      <c r="F98" s="80"/>
      <c r="G98" s="69"/>
      <c r="H98" s="67">
        <f t="shared" si="14"/>
        <v>8463793</v>
      </c>
      <c r="I98" s="304"/>
      <c r="J98" s="169">
        <f>'HDD &amp; CDD'!S14</f>
        <v>127.30000000000001</v>
      </c>
      <c r="K98" s="169">
        <f>'HDD &amp; CDD'!S32</f>
        <v>20.6</v>
      </c>
      <c r="L98" s="397">
        <f t="shared" si="18"/>
        <v>30</v>
      </c>
      <c r="M98" s="169">
        <v>1</v>
      </c>
      <c r="N98" s="397">
        <f>[17]Sheet1!C96</f>
        <v>1</v>
      </c>
      <c r="O98" s="117">
        <f>'CDM Activity'!C144</f>
        <v>261683.90728329509</v>
      </c>
      <c r="P98" s="62"/>
      <c r="Q98" s="62"/>
      <c r="R98" s="62"/>
      <c r="S98" s="63"/>
      <c r="T98" s="45"/>
      <c r="U98" s="61">
        <f t="shared" si="15"/>
        <v>8230378.7358689746</v>
      </c>
      <c r="V98" s="217">
        <f t="shared" si="16"/>
        <v>-233414.26413102541</v>
      </c>
      <c r="W98" s="218">
        <f t="shared" si="17"/>
        <v>-2.7577974098731552E-2</v>
      </c>
      <c r="X98" s="218">
        <f t="shared" si="19"/>
        <v>2.7577974098731552E-2</v>
      </c>
      <c r="Y98" s="177"/>
      <c r="Z98" s="310"/>
      <c r="AA98" s="40"/>
      <c r="AB98" s="40"/>
      <c r="AC98" s="88"/>
      <c r="AD98" s="40"/>
      <c r="AE98" s="40"/>
      <c r="AF98" s="40"/>
      <c r="AG98" s="40"/>
      <c r="AJ98" s="45"/>
      <c r="AK98" s="45"/>
      <c r="AL98" s="45"/>
      <c r="AM98" s="45"/>
      <c r="AN98" s="45"/>
      <c r="AO98" s="45"/>
      <c r="AP98" s="45"/>
      <c r="AQ98" s="45"/>
      <c r="AR98" s="45"/>
      <c r="AS98" s="45"/>
    </row>
    <row r="99" spans="2:45">
      <c r="B99" s="57">
        <f t="shared" si="20"/>
        <v>41213</v>
      </c>
      <c r="C99" s="65">
        <f>[16]Sheet1!C45</f>
        <v>8663345</v>
      </c>
      <c r="D99" s="68"/>
      <c r="E99" s="65">
        <f>[16]Sheet1!D45</f>
        <v>6062</v>
      </c>
      <c r="F99" s="80"/>
      <c r="G99" s="69"/>
      <c r="H99" s="67">
        <f t="shared" si="14"/>
        <v>8669407</v>
      </c>
      <c r="I99" s="304"/>
      <c r="J99" s="418">
        <f>'HDD &amp; CDD'!S15</f>
        <v>259.8595782569019</v>
      </c>
      <c r="K99" s="169">
        <f>'HDD &amp; CDD'!S33</f>
        <v>0</v>
      </c>
      <c r="L99" s="397">
        <f t="shared" si="18"/>
        <v>31</v>
      </c>
      <c r="M99" s="169">
        <v>1</v>
      </c>
      <c r="N99" s="397">
        <f>[17]Sheet1!C97</f>
        <v>1</v>
      </c>
      <c r="O99" s="117">
        <f>'CDM Activity'!C145</f>
        <v>267164.52880383196</v>
      </c>
      <c r="P99" s="62"/>
      <c r="Q99" s="62"/>
      <c r="R99" s="62"/>
      <c r="S99" s="63"/>
      <c r="T99" s="45"/>
      <c r="U99" s="61">
        <f t="shared" si="15"/>
        <v>8795692.4668686222</v>
      </c>
      <c r="V99" s="217">
        <f t="shared" si="16"/>
        <v>126285.46686862223</v>
      </c>
      <c r="W99" s="218">
        <f t="shared" si="17"/>
        <v>1.4566794115055647E-2</v>
      </c>
      <c r="X99" s="218">
        <f t="shared" si="19"/>
        <v>1.4566794115055647E-2</v>
      </c>
      <c r="Y99" s="177"/>
      <c r="Z99" s="310"/>
      <c r="AJ99" s="45"/>
      <c r="AK99" s="45"/>
      <c r="AL99" s="45"/>
      <c r="AM99" s="45"/>
      <c r="AN99" s="45"/>
      <c r="AO99" s="45"/>
      <c r="AP99" s="45"/>
      <c r="AQ99" s="45"/>
      <c r="AR99" s="45"/>
      <c r="AS99" s="45"/>
    </row>
    <row r="100" spans="2:45">
      <c r="B100" s="57">
        <f t="shared" si="20"/>
        <v>41243</v>
      </c>
      <c r="C100" s="65">
        <f>[16]Sheet1!C46</f>
        <v>9765918</v>
      </c>
      <c r="D100" s="68"/>
      <c r="E100" s="65">
        <f>[16]Sheet1!D46</f>
        <v>3812</v>
      </c>
      <c r="F100" s="80"/>
      <c r="G100" s="69"/>
      <c r="H100" s="67">
        <f t="shared" si="14"/>
        <v>9769730</v>
      </c>
      <c r="I100" s="304"/>
      <c r="J100" s="169">
        <f>'HDD &amp; CDD'!S16</f>
        <v>541.70000000000005</v>
      </c>
      <c r="K100" s="169">
        <f>'HDD &amp; CDD'!S34</f>
        <v>0</v>
      </c>
      <c r="L100" s="397">
        <f t="shared" si="18"/>
        <v>30</v>
      </c>
      <c r="M100" s="169">
        <v>1</v>
      </c>
      <c r="N100" s="397">
        <f>[17]Sheet1!C98</f>
        <v>0</v>
      </c>
      <c r="O100" s="117">
        <f>'CDM Activity'!C146</f>
        <v>272645.15032436879</v>
      </c>
      <c r="P100" s="62"/>
      <c r="Q100" s="62"/>
      <c r="R100" s="62"/>
      <c r="S100" s="63"/>
      <c r="T100" s="45"/>
      <c r="U100" s="61">
        <f t="shared" si="15"/>
        <v>9959068.8009645734</v>
      </c>
      <c r="V100" s="217">
        <f t="shared" si="16"/>
        <v>189338.8009645734</v>
      </c>
      <c r="W100" s="218">
        <f t="shared" si="17"/>
        <v>1.9380146735331824E-2</v>
      </c>
      <c r="X100" s="218">
        <f t="shared" si="19"/>
        <v>1.9380146735331824E-2</v>
      </c>
      <c r="Y100" s="177"/>
      <c r="Z100" s="310"/>
      <c r="AA100" s="40"/>
      <c r="AB100" s="40"/>
      <c r="AC100" s="88"/>
      <c r="AD100" s="40"/>
      <c r="AE100" s="40"/>
      <c r="AF100" s="40"/>
      <c r="AG100" s="40"/>
      <c r="AJ100" s="45"/>
      <c r="AK100" s="45"/>
      <c r="AL100" s="45"/>
      <c r="AM100" s="45"/>
      <c r="AN100" s="45"/>
      <c r="AO100" s="45"/>
      <c r="AP100" s="45"/>
      <c r="AQ100" s="45"/>
      <c r="AR100" s="45"/>
      <c r="AS100" s="45"/>
    </row>
    <row r="101" spans="2:45">
      <c r="B101" s="172">
        <f t="shared" si="20"/>
        <v>41274</v>
      </c>
      <c r="C101" s="81">
        <f>[16]Sheet1!C47</f>
        <v>10958364</v>
      </c>
      <c r="D101" s="82"/>
      <c r="E101" s="74">
        <f>[16]Sheet1!D47</f>
        <v>3380</v>
      </c>
      <c r="F101" s="82"/>
      <c r="G101" s="83"/>
      <c r="H101" s="74">
        <f t="shared" si="14"/>
        <v>10961744</v>
      </c>
      <c r="I101" s="305"/>
      <c r="J101" s="118">
        <f>'HDD &amp; CDD'!S17</f>
        <v>719.1</v>
      </c>
      <c r="K101" s="118">
        <f>'HDD &amp; CDD'!S35</f>
        <v>0</v>
      </c>
      <c r="L101" s="398">
        <f t="shared" si="18"/>
        <v>31</v>
      </c>
      <c r="M101" s="118">
        <v>0</v>
      </c>
      <c r="N101" s="398">
        <f>[17]Sheet1!C99</f>
        <v>2</v>
      </c>
      <c r="O101" s="120">
        <f>'CDM Activity'!C147</f>
        <v>278125.77184490563</v>
      </c>
      <c r="P101" s="75"/>
      <c r="Q101" s="75"/>
      <c r="R101" s="75"/>
      <c r="S101" s="76"/>
      <c r="T101" s="77"/>
      <c r="U101" s="78">
        <f t="shared" si="15"/>
        <v>11162376.641486682</v>
      </c>
      <c r="V101" s="229">
        <f t="shared" si="16"/>
        <v>200632.641486682</v>
      </c>
      <c r="W101" s="219">
        <f t="shared" si="17"/>
        <v>1.8302985499997263E-2</v>
      </c>
      <c r="X101" s="219">
        <f t="shared" si="19"/>
        <v>1.8302985499997263E-2</v>
      </c>
      <c r="Y101" s="177"/>
      <c r="Z101" s="310"/>
      <c r="AJ101" s="45"/>
      <c r="AK101" s="45"/>
      <c r="AL101" s="45"/>
      <c r="AM101" s="45"/>
      <c r="AN101" s="45"/>
      <c r="AO101" s="45"/>
      <c r="AP101" s="45"/>
      <c r="AQ101" s="45"/>
      <c r="AR101" s="45"/>
      <c r="AS101" s="45"/>
    </row>
    <row r="102" spans="2:45">
      <c r="B102" s="57">
        <f t="shared" si="20"/>
        <v>41305</v>
      </c>
      <c r="C102" s="65">
        <f>[16]Sheet1!C48</f>
        <v>11999817</v>
      </c>
      <c r="D102" s="68"/>
      <c r="E102" s="65">
        <f>[16]Sheet1!D48</f>
        <v>1235</v>
      </c>
      <c r="F102" s="80"/>
      <c r="G102" s="69"/>
      <c r="H102" s="67">
        <f t="shared" ref="H102:H137" si="21">SUM(C102:G102)</f>
        <v>12001052</v>
      </c>
      <c r="I102" s="304"/>
      <c r="J102" s="169">
        <f>'HDD &amp; CDD'!T6</f>
        <v>839.90000000000009</v>
      </c>
      <c r="K102" s="169">
        <f>'HDD &amp; CDD'!T24</f>
        <v>0</v>
      </c>
      <c r="L102" s="397">
        <f t="shared" si="18"/>
        <v>31</v>
      </c>
      <c r="M102" s="169">
        <v>0</v>
      </c>
      <c r="N102" s="397">
        <f>[17]Sheet1!C100</f>
        <v>1</v>
      </c>
      <c r="O102" s="117">
        <f>'CDM Activity'!C148</f>
        <v>279677.78465826734</v>
      </c>
      <c r="P102" s="62"/>
      <c r="Q102" s="62"/>
      <c r="R102" s="62"/>
      <c r="S102" s="63"/>
      <c r="T102" s="45"/>
      <c r="U102" s="61">
        <f t="shared" ref="U102:U134" si="22">$AB$21+J102*$AB$22+K102*$AB$23+L102*$AB$24+M102*$AB$25+N102*$AB$26+O102*$AB$27</f>
        <v>11835445.848286847</v>
      </c>
      <c r="V102" s="217">
        <f t="shared" ref="V102:V125" si="23">U102-H102</f>
        <v>-165606.15171315335</v>
      </c>
      <c r="W102" s="218">
        <f t="shared" ref="W102:W125" si="24">V102/H102</f>
        <v>-1.3799302903874872E-2</v>
      </c>
      <c r="X102" s="218">
        <f t="shared" si="19"/>
        <v>1.3799302903874872E-2</v>
      </c>
      <c r="Y102" s="177"/>
      <c r="Z102" s="310"/>
      <c r="AA102" s="40"/>
      <c r="AB102" s="40"/>
      <c r="AC102" s="88"/>
      <c r="AD102" s="40"/>
      <c r="AE102" s="40"/>
      <c r="AF102" s="40"/>
      <c r="AG102" s="40"/>
      <c r="AJ102" s="45"/>
      <c r="AK102" s="45"/>
      <c r="AL102" s="45"/>
      <c r="AM102" s="45"/>
      <c r="AN102" s="45"/>
      <c r="AO102" s="45"/>
      <c r="AP102" s="45"/>
      <c r="AQ102" s="45"/>
      <c r="AR102" s="45"/>
      <c r="AS102" s="45"/>
    </row>
    <row r="103" spans="2:45">
      <c r="B103" s="57">
        <f t="shared" si="20"/>
        <v>41333</v>
      </c>
      <c r="C103" s="65">
        <f>[16]Sheet1!C49</f>
        <v>10701983</v>
      </c>
      <c r="D103" s="68"/>
      <c r="E103" s="65">
        <f>[16]Sheet1!D49</f>
        <v>1814</v>
      </c>
      <c r="F103" s="80"/>
      <c r="G103" s="69"/>
      <c r="H103" s="67">
        <f t="shared" si="21"/>
        <v>10703797</v>
      </c>
      <c r="I103" s="304"/>
      <c r="J103" s="169">
        <f>'HDD &amp; CDD'!T7</f>
        <v>728.5</v>
      </c>
      <c r="K103" s="169">
        <f>'HDD &amp; CDD'!T25</f>
        <v>0</v>
      </c>
      <c r="L103" s="397">
        <f t="shared" si="18"/>
        <v>28</v>
      </c>
      <c r="M103" s="169">
        <v>0</v>
      </c>
      <c r="N103" s="397">
        <f>[17]Sheet1!C101</f>
        <v>1</v>
      </c>
      <c r="O103" s="117">
        <f>'CDM Activity'!C149</f>
        <v>281229.79747162905</v>
      </c>
      <c r="P103" s="62"/>
      <c r="Q103" s="62"/>
      <c r="R103" s="62"/>
      <c r="S103" s="63"/>
      <c r="T103" s="45"/>
      <c r="U103" s="61">
        <f t="shared" si="22"/>
        <v>10561216.673891328</v>
      </c>
      <c r="V103" s="217">
        <f t="shared" si="23"/>
        <v>-142580.32610867172</v>
      </c>
      <c r="W103" s="218">
        <f t="shared" si="24"/>
        <v>-1.3320537198965164E-2</v>
      </c>
      <c r="X103" s="218">
        <f t="shared" si="19"/>
        <v>1.3320537198965164E-2</v>
      </c>
      <c r="Y103" s="177"/>
      <c r="Z103" s="310"/>
      <c r="AJ103" s="45"/>
      <c r="AK103" s="45"/>
      <c r="AL103" s="45"/>
      <c r="AM103" s="45"/>
      <c r="AN103" s="45"/>
      <c r="AO103" s="45"/>
      <c r="AP103" s="45"/>
      <c r="AQ103" s="45"/>
      <c r="AR103" s="45"/>
      <c r="AS103" s="45"/>
    </row>
    <row r="104" spans="2:45">
      <c r="B104" s="57">
        <f t="shared" si="20"/>
        <v>41364</v>
      </c>
      <c r="C104" s="65">
        <f>[16]Sheet1!C50</f>
        <v>10574475</v>
      </c>
      <c r="D104" s="68"/>
      <c r="E104" s="65">
        <f>[16]Sheet1!D50</f>
        <v>2546</v>
      </c>
      <c r="F104" s="80"/>
      <c r="G104" s="69"/>
      <c r="H104" s="67">
        <f t="shared" si="21"/>
        <v>10577021</v>
      </c>
      <c r="I104" s="304"/>
      <c r="J104" s="169">
        <f>'HDD &amp; CDD'!T8</f>
        <v>612.9</v>
      </c>
      <c r="K104" s="169">
        <f>'HDD &amp; CDD'!T26</f>
        <v>0</v>
      </c>
      <c r="L104" s="397">
        <f t="shared" si="18"/>
        <v>31</v>
      </c>
      <c r="M104" s="169">
        <v>1</v>
      </c>
      <c r="N104" s="397">
        <f>[17]Sheet1!C102</f>
        <v>1</v>
      </c>
      <c r="O104" s="117">
        <f>'CDM Activity'!C150</f>
        <v>282781.81028499076</v>
      </c>
      <c r="P104" s="62"/>
      <c r="Q104" s="62"/>
      <c r="R104" s="62"/>
      <c r="S104" s="63"/>
      <c r="T104" s="45"/>
      <c r="U104" s="61">
        <f t="shared" si="22"/>
        <v>10395948.842979494</v>
      </c>
      <c r="V104" s="217">
        <f t="shared" si="23"/>
        <v>-181072.15702050552</v>
      </c>
      <c r="W104" s="218">
        <f t="shared" si="24"/>
        <v>-1.7119390896596077E-2</v>
      </c>
      <c r="X104" s="218">
        <f t="shared" si="19"/>
        <v>1.7119390896596077E-2</v>
      </c>
      <c r="Y104" s="177"/>
      <c r="Z104" s="310"/>
      <c r="AA104" s="40"/>
      <c r="AB104" s="40"/>
      <c r="AC104" s="88"/>
      <c r="AD104" s="40"/>
      <c r="AE104" s="40"/>
      <c r="AF104" s="40"/>
      <c r="AG104" s="40"/>
      <c r="AJ104" s="45"/>
      <c r="AK104" s="45"/>
      <c r="AL104" s="45"/>
      <c r="AM104" s="45"/>
      <c r="AN104" s="45"/>
      <c r="AO104" s="45"/>
      <c r="AP104" s="45"/>
      <c r="AQ104" s="45"/>
      <c r="AR104" s="45"/>
      <c r="AS104" s="45"/>
    </row>
    <row r="105" spans="2:45">
      <c r="B105" s="57">
        <f t="shared" si="20"/>
        <v>41394</v>
      </c>
      <c r="C105" s="65">
        <f>[16]Sheet1!C51</f>
        <v>9116700</v>
      </c>
      <c r="D105" s="68"/>
      <c r="E105" s="65">
        <f>[16]Sheet1!D51</f>
        <v>4962</v>
      </c>
      <c r="F105" s="80"/>
      <c r="G105" s="69"/>
      <c r="H105" s="67">
        <f t="shared" si="21"/>
        <v>9121662</v>
      </c>
      <c r="I105" s="304"/>
      <c r="J105" s="169">
        <f>'HDD &amp; CDD'!T9</f>
        <v>381.1</v>
      </c>
      <c r="K105" s="169">
        <f>'HDD &amp; CDD'!T27</f>
        <v>0</v>
      </c>
      <c r="L105" s="397">
        <f t="shared" si="18"/>
        <v>30</v>
      </c>
      <c r="M105" s="169">
        <v>1</v>
      </c>
      <c r="N105" s="397">
        <f>[17]Sheet1!C103</f>
        <v>1</v>
      </c>
      <c r="O105" s="117">
        <f>'CDM Activity'!C151</f>
        <v>284333.82309835247</v>
      </c>
      <c r="P105" s="62"/>
      <c r="Q105" s="62"/>
      <c r="R105" s="62"/>
      <c r="S105" s="63"/>
      <c r="T105" s="45"/>
      <c r="U105" s="61">
        <f t="shared" si="22"/>
        <v>9058614.8786295988</v>
      </c>
      <c r="V105" s="217">
        <f t="shared" si="23"/>
        <v>-63047.121370401233</v>
      </c>
      <c r="W105" s="218">
        <f t="shared" si="24"/>
        <v>-6.9118019688080125E-3</v>
      </c>
      <c r="X105" s="218">
        <f t="shared" si="19"/>
        <v>6.9118019688080125E-3</v>
      </c>
      <c r="Y105" s="177"/>
      <c r="Z105" s="310"/>
      <c r="AJ105" s="45"/>
      <c r="AK105" s="45"/>
      <c r="AL105" s="45"/>
      <c r="AM105" s="45"/>
      <c r="AN105" s="45"/>
      <c r="AO105" s="45"/>
      <c r="AP105" s="45"/>
      <c r="AQ105" s="45"/>
      <c r="AR105" s="45"/>
      <c r="AS105" s="45"/>
    </row>
    <row r="106" spans="2:45">
      <c r="B106" s="57">
        <f t="shared" si="20"/>
        <v>41425</v>
      </c>
      <c r="C106" s="65">
        <f>[16]Sheet1!C52</f>
        <v>8204917</v>
      </c>
      <c r="D106" s="68"/>
      <c r="E106" s="65">
        <f>[16]Sheet1!D52</f>
        <v>6326</v>
      </c>
      <c r="F106" s="68"/>
      <c r="G106" s="69"/>
      <c r="H106" s="67">
        <f t="shared" si="21"/>
        <v>8211243</v>
      </c>
      <c r="I106" s="304"/>
      <c r="J106" s="169">
        <f>'HDD &amp; CDD'!T10</f>
        <v>121.2</v>
      </c>
      <c r="K106" s="169">
        <f>'HDD &amp; CDD'!T28</f>
        <v>15.3</v>
      </c>
      <c r="L106" s="397">
        <f t="shared" si="18"/>
        <v>31</v>
      </c>
      <c r="M106" s="169">
        <v>1</v>
      </c>
      <c r="N106" s="397">
        <f>[17]Sheet1!C104</f>
        <v>1</v>
      </c>
      <c r="O106" s="117">
        <f>'CDM Activity'!C152</f>
        <v>285885.83591171418</v>
      </c>
      <c r="P106" s="62"/>
      <c r="Q106" s="62"/>
      <c r="R106" s="62"/>
      <c r="S106" s="63"/>
      <c r="T106" s="45"/>
      <c r="U106" s="61">
        <f t="shared" si="22"/>
        <v>8302062.6323643103</v>
      </c>
      <c r="V106" s="217">
        <f t="shared" si="23"/>
        <v>90819.632364310324</v>
      </c>
      <c r="W106" s="218">
        <f t="shared" si="24"/>
        <v>1.1060400034965513E-2</v>
      </c>
      <c r="X106" s="218">
        <f t="shared" si="19"/>
        <v>1.1060400034965513E-2</v>
      </c>
      <c r="Y106" s="177"/>
      <c r="Z106" s="310"/>
      <c r="AA106" s="40"/>
      <c r="AB106" s="40"/>
      <c r="AC106" s="88"/>
      <c r="AD106" s="40"/>
      <c r="AE106" s="40"/>
      <c r="AF106" s="40"/>
      <c r="AG106" s="40"/>
      <c r="AJ106" s="45"/>
      <c r="AK106" s="45"/>
      <c r="AL106" s="45"/>
      <c r="AM106" s="45"/>
      <c r="AN106" s="45"/>
      <c r="AO106" s="45"/>
      <c r="AP106" s="45"/>
      <c r="AQ106" s="45"/>
      <c r="AR106" s="45"/>
      <c r="AS106" s="45"/>
    </row>
    <row r="107" spans="2:45">
      <c r="B107" s="57">
        <f t="shared" si="20"/>
        <v>41455</v>
      </c>
      <c r="C107" s="65">
        <f>[16]Sheet1!C53</f>
        <v>8279408</v>
      </c>
      <c r="D107" s="68"/>
      <c r="E107" s="65">
        <f>[16]Sheet1!D53</f>
        <v>8173</v>
      </c>
      <c r="F107" s="68"/>
      <c r="G107" s="69"/>
      <c r="H107" s="67">
        <f t="shared" si="21"/>
        <v>8287581</v>
      </c>
      <c r="I107" s="304"/>
      <c r="J107" s="169">
        <f>'HDD &amp; CDD'!T11</f>
        <v>58.1</v>
      </c>
      <c r="K107" s="169">
        <f>'HDD &amp; CDD'!T29</f>
        <v>39.400000000000006</v>
      </c>
      <c r="L107" s="397">
        <f t="shared" si="18"/>
        <v>30</v>
      </c>
      <c r="M107" s="169">
        <v>0</v>
      </c>
      <c r="N107" s="397">
        <f>[17]Sheet1!C105</f>
        <v>0</v>
      </c>
      <c r="O107" s="117">
        <f>'CDM Activity'!C153</f>
        <v>287437.84872507589</v>
      </c>
      <c r="P107" s="62"/>
      <c r="Q107" s="62"/>
      <c r="R107" s="62"/>
      <c r="S107" s="63"/>
      <c r="T107" s="45"/>
      <c r="U107" s="61">
        <f t="shared" si="22"/>
        <v>8570875.0409648251</v>
      </c>
      <c r="V107" s="217">
        <f t="shared" si="23"/>
        <v>283294.04096482508</v>
      </c>
      <c r="W107" s="218">
        <f t="shared" si="24"/>
        <v>3.4182958931541677E-2</v>
      </c>
      <c r="X107" s="218">
        <f t="shared" si="19"/>
        <v>3.4182958931541677E-2</v>
      </c>
      <c r="Y107" s="177"/>
      <c r="Z107" s="310"/>
      <c r="AJ107" s="45"/>
      <c r="AK107" s="45"/>
      <c r="AL107" s="45"/>
      <c r="AM107" s="45"/>
      <c r="AN107" s="45"/>
      <c r="AO107" s="45"/>
      <c r="AP107" s="45"/>
      <c r="AQ107" s="45"/>
      <c r="AR107" s="45"/>
      <c r="AS107" s="45"/>
    </row>
    <row r="108" spans="2:45">
      <c r="B108" s="57">
        <f t="shared" si="20"/>
        <v>41486</v>
      </c>
      <c r="C108" s="65">
        <f>[16]Sheet1!C54</f>
        <v>9591758</v>
      </c>
      <c r="D108" s="68"/>
      <c r="E108" s="65">
        <f>[16]Sheet1!D54</f>
        <v>6943</v>
      </c>
      <c r="F108" s="68"/>
      <c r="G108" s="69"/>
      <c r="H108" s="67">
        <f t="shared" si="21"/>
        <v>9598701</v>
      </c>
      <c r="I108" s="304"/>
      <c r="J108" s="169">
        <f>'HDD &amp; CDD'!T12</f>
        <v>7.7</v>
      </c>
      <c r="K108" s="169">
        <f>'HDD &amp; CDD'!T30</f>
        <v>114.89999999999999</v>
      </c>
      <c r="L108" s="397">
        <f t="shared" si="18"/>
        <v>31</v>
      </c>
      <c r="M108" s="169">
        <v>0</v>
      </c>
      <c r="N108" s="397">
        <f>[17]Sheet1!C106</f>
        <v>1</v>
      </c>
      <c r="O108" s="117">
        <f>'CDM Activity'!C154</f>
        <v>288989.8615384376</v>
      </c>
      <c r="P108" s="62"/>
      <c r="Q108" s="62"/>
      <c r="R108" s="62"/>
      <c r="S108" s="63"/>
      <c r="T108" s="45"/>
      <c r="U108" s="61">
        <f t="shared" si="22"/>
        <v>9516321.2440593597</v>
      </c>
      <c r="V108" s="217">
        <f t="shared" si="23"/>
        <v>-82379.755940640345</v>
      </c>
      <c r="W108" s="218">
        <f t="shared" si="24"/>
        <v>-8.5823858812395914E-3</v>
      </c>
      <c r="X108" s="218">
        <f t="shared" si="19"/>
        <v>8.5823858812395914E-3</v>
      </c>
      <c r="Y108" s="177"/>
      <c r="Z108" s="310"/>
      <c r="AA108" s="40"/>
      <c r="AB108" s="40"/>
      <c r="AC108" s="88"/>
      <c r="AD108" s="40"/>
      <c r="AE108" s="40"/>
      <c r="AF108" s="40"/>
      <c r="AG108" s="40"/>
      <c r="AJ108" s="45"/>
      <c r="AK108" s="45"/>
      <c r="AL108" s="45"/>
      <c r="AM108" s="45"/>
      <c r="AN108" s="45"/>
      <c r="AO108" s="45"/>
      <c r="AP108" s="45"/>
      <c r="AQ108" s="45"/>
      <c r="AR108" s="45"/>
      <c r="AS108" s="45"/>
    </row>
    <row r="109" spans="2:45">
      <c r="B109" s="57">
        <f t="shared" si="20"/>
        <v>41517</v>
      </c>
      <c r="C109" s="65">
        <f>[16]Sheet1!C55</f>
        <v>9610958</v>
      </c>
      <c r="D109" s="68"/>
      <c r="E109" s="65">
        <f>[16]Sheet1!D55</f>
        <v>8290</v>
      </c>
      <c r="F109" s="68"/>
      <c r="G109" s="69"/>
      <c r="H109" s="67">
        <f t="shared" si="21"/>
        <v>9619248</v>
      </c>
      <c r="I109" s="304"/>
      <c r="J109" s="169">
        <f>'HDD &amp; CDD'!T13</f>
        <v>13.400000000000004</v>
      </c>
      <c r="K109" s="169">
        <f>'HDD &amp; CDD'!T31</f>
        <v>57.199999999999996</v>
      </c>
      <c r="L109" s="397">
        <f t="shared" si="18"/>
        <v>31</v>
      </c>
      <c r="M109" s="169">
        <v>0</v>
      </c>
      <c r="N109" s="397">
        <f>[17]Sheet1!C107</f>
        <v>1</v>
      </c>
      <c r="O109" s="117">
        <f>'CDM Activity'!C155</f>
        <v>290541.87435179931</v>
      </c>
      <c r="P109" s="62"/>
      <c r="Q109" s="62"/>
      <c r="R109" s="62"/>
      <c r="S109" s="63"/>
      <c r="T109" s="45"/>
      <c r="U109" s="61">
        <f t="shared" si="22"/>
        <v>8735855.4336096942</v>
      </c>
      <c r="V109" s="217">
        <f t="shared" si="23"/>
        <v>-883392.56639030576</v>
      </c>
      <c r="W109" s="218">
        <f t="shared" si="24"/>
        <v>-9.1835927963423519E-2</v>
      </c>
      <c r="X109" s="218">
        <f t="shared" si="19"/>
        <v>9.1835927963423519E-2</v>
      </c>
      <c r="Y109" s="177"/>
      <c r="Z109" s="310"/>
      <c r="AJ109" s="45"/>
      <c r="AK109" s="45"/>
      <c r="AL109" s="45"/>
      <c r="AM109" s="45"/>
      <c r="AN109" s="45"/>
      <c r="AO109" s="45"/>
      <c r="AP109" s="45"/>
      <c r="AQ109" s="45"/>
      <c r="AR109" s="45"/>
      <c r="AS109" s="45"/>
    </row>
    <row r="110" spans="2:45">
      <c r="B110" s="57">
        <f t="shared" si="20"/>
        <v>41547</v>
      </c>
      <c r="C110" s="65">
        <f>[16]Sheet1!C56</f>
        <v>8187217</v>
      </c>
      <c r="D110" s="68"/>
      <c r="E110" s="65">
        <f>[16]Sheet1!D56</f>
        <v>7556</v>
      </c>
      <c r="F110" s="68"/>
      <c r="G110" s="69"/>
      <c r="H110" s="67">
        <f t="shared" si="21"/>
        <v>8194773</v>
      </c>
      <c r="I110" s="304"/>
      <c r="J110" s="169">
        <f>'HDD &amp; CDD'!T14</f>
        <v>133.20000000000005</v>
      </c>
      <c r="K110" s="169">
        <f>'HDD &amp; CDD'!T32</f>
        <v>10.1</v>
      </c>
      <c r="L110" s="397">
        <f t="shared" si="18"/>
        <v>30</v>
      </c>
      <c r="M110" s="169">
        <v>1</v>
      </c>
      <c r="N110" s="397">
        <f>[17]Sheet1!C108</f>
        <v>1</v>
      </c>
      <c r="O110" s="117">
        <f>'CDM Activity'!C156</f>
        <v>292093.88716516102</v>
      </c>
      <c r="P110" s="62"/>
      <c r="Q110" s="62"/>
      <c r="R110" s="62"/>
      <c r="S110" s="63"/>
      <c r="T110" s="45"/>
      <c r="U110" s="61">
        <f t="shared" si="22"/>
        <v>8016717.2584379716</v>
      </c>
      <c r="V110" s="217">
        <f t="shared" si="23"/>
        <v>-178055.74156202842</v>
      </c>
      <c r="W110" s="218">
        <f t="shared" si="24"/>
        <v>-2.1727965077498596E-2</v>
      </c>
      <c r="X110" s="218">
        <f t="shared" si="19"/>
        <v>2.1727965077498596E-2</v>
      </c>
      <c r="Y110" s="177"/>
      <c r="Z110" s="310"/>
      <c r="AA110" s="40"/>
      <c r="AB110" s="40"/>
      <c r="AC110" s="88"/>
      <c r="AD110" s="40"/>
      <c r="AE110" s="40"/>
      <c r="AF110" s="40"/>
      <c r="AG110" s="40"/>
      <c r="AJ110" s="45"/>
      <c r="AK110" s="45"/>
      <c r="AL110" s="45"/>
      <c r="AM110" s="45"/>
      <c r="AN110" s="45"/>
      <c r="AO110" s="45"/>
      <c r="AP110" s="45"/>
      <c r="AQ110" s="45"/>
      <c r="AR110" s="45"/>
      <c r="AS110" s="45"/>
    </row>
    <row r="111" spans="2:45">
      <c r="B111" s="57">
        <f t="shared" si="20"/>
        <v>41578</v>
      </c>
      <c r="C111" s="65">
        <f>[16]Sheet1!C57</f>
        <v>8725825</v>
      </c>
      <c r="D111" s="68"/>
      <c r="E111" s="65">
        <f>[16]Sheet1!D57</f>
        <v>6244</v>
      </c>
      <c r="F111" s="68"/>
      <c r="G111" s="69"/>
      <c r="H111" s="67">
        <f t="shared" si="21"/>
        <v>8732069</v>
      </c>
      <c r="I111" s="304"/>
      <c r="J111" s="169">
        <f>'HDD &amp; CDD'!T15</f>
        <v>265.2</v>
      </c>
      <c r="K111" s="169">
        <f>'HDD &amp; CDD'!T33</f>
        <v>0.7</v>
      </c>
      <c r="L111" s="397">
        <f t="shared" si="18"/>
        <v>31</v>
      </c>
      <c r="M111" s="169">
        <v>1</v>
      </c>
      <c r="N111" s="397">
        <f>[17]Sheet1!C109</f>
        <v>1</v>
      </c>
      <c r="O111" s="117">
        <f>'CDM Activity'!C157</f>
        <v>293645.89997852274</v>
      </c>
      <c r="P111" s="62"/>
      <c r="Q111" s="62"/>
      <c r="R111" s="62"/>
      <c r="S111" s="63"/>
      <c r="T111" s="45"/>
      <c r="U111" s="61">
        <f t="shared" si="22"/>
        <v>8747439.5066602305</v>
      </c>
      <c r="V111" s="217">
        <f t="shared" si="23"/>
        <v>15370.506660230458</v>
      </c>
      <c r="W111" s="218">
        <f t="shared" si="24"/>
        <v>1.7602365098386714E-3</v>
      </c>
      <c r="X111" s="218">
        <f t="shared" si="19"/>
        <v>1.7602365098386714E-3</v>
      </c>
      <c r="Y111" s="177"/>
      <c r="Z111" s="310"/>
      <c r="AJ111" s="45"/>
      <c r="AK111" s="45"/>
      <c r="AL111" s="45"/>
      <c r="AM111" s="45"/>
      <c r="AN111" s="45"/>
      <c r="AO111" s="45"/>
      <c r="AP111" s="45"/>
      <c r="AQ111" s="45"/>
      <c r="AR111" s="45"/>
      <c r="AS111" s="45"/>
    </row>
    <row r="112" spans="2:45">
      <c r="B112" s="57">
        <f t="shared" si="20"/>
        <v>41608</v>
      </c>
      <c r="C112" s="65">
        <f>[16]Sheet1!C58</f>
        <v>9926917</v>
      </c>
      <c r="D112" s="68"/>
      <c r="E112" s="65">
        <f>[16]Sheet1!D58</f>
        <v>4461</v>
      </c>
      <c r="F112" s="68"/>
      <c r="G112" s="69"/>
      <c r="H112" s="67">
        <f t="shared" si="21"/>
        <v>9931378</v>
      </c>
      <c r="I112" s="304"/>
      <c r="J112" s="169">
        <f>'HDD &amp; CDD'!T16</f>
        <v>560.79999999999995</v>
      </c>
      <c r="K112" s="169">
        <f>'HDD &amp; CDD'!T34</f>
        <v>0</v>
      </c>
      <c r="L112" s="397">
        <f t="shared" si="18"/>
        <v>30</v>
      </c>
      <c r="M112" s="169">
        <v>1</v>
      </c>
      <c r="N112" s="397">
        <f>[17]Sheet1!C110</f>
        <v>0</v>
      </c>
      <c r="O112" s="117">
        <f>'CDM Activity'!C158</f>
        <v>295197.91279188445</v>
      </c>
      <c r="P112" s="62"/>
      <c r="Q112" s="62"/>
      <c r="R112" s="62"/>
      <c r="S112" s="63"/>
      <c r="T112" s="45"/>
      <c r="U112" s="61">
        <f t="shared" si="22"/>
        <v>9977662.1079528499</v>
      </c>
      <c r="V112" s="217">
        <f t="shared" si="23"/>
        <v>46284.107952849939</v>
      </c>
      <c r="W112" s="218">
        <f t="shared" si="24"/>
        <v>4.6603913326881668E-3</v>
      </c>
      <c r="X112" s="218">
        <f t="shared" si="19"/>
        <v>4.6603913326881668E-3</v>
      </c>
      <c r="Y112" s="177"/>
      <c r="Z112" s="310"/>
      <c r="AB112" s="36"/>
      <c r="AC112" s="36"/>
      <c r="AF112" s="36"/>
      <c r="AJ112" s="45"/>
      <c r="AK112" s="45"/>
      <c r="AL112" s="45"/>
      <c r="AM112" s="45"/>
      <c r="AN112" s="45"/>
      <c r="AO112" s="45"/>
      <c r="AP112" s="45"/>
      <c r="AQ112" s="45"/>
      <c r="AR112" s="45"/>
      <c r="AS112" s="45"/>
    </row>
    <row r="113" spans="2:45">
      <c r="B113" s="172">
        <f t="shared" si="20"/>
        <v>41639</v>
      </c>
      <c r="C113" s="81">
        <f>[16]Sheet1!C59</f>
        <v>11614675</v>
      </c>
      <c r="D113" s="82"/>
      <c r="E113" s="74">
        <f>[16]Sheet1!D59</f>
        <v>2266</v>
      </c>
      <c r="F113" s="82"/>
      <c r="G113" s="83"/>
      <c r="H113" s="74">
        <f t="shared" si="21"/>
        <v>11616941</v>
      </c>
      <c r="I113" s="305"/>
      <c r="J113" s="118">
        <f>'HDD &amp; CDD'!T17</f>
        <v>858.20000000000016</v>
      </c>
      <c r="K113" s="118">
        <f>'HDD &amp; CDD'!T35</f>
        <v>0</v>
      </c>
      <c r="L113" s="398">
        <f t="shared" si="18"/>
        <v>31</v>
      </c>
      <c r="M113" s="118">
        <v>0</v>
      </c>
      <c r="N113" s="398">
        <f>[17]Sheet1!C111</f>
        <v>2</v>
      </c>
      <c r="O113" s="120">
        <f>'CDM Activity'!C159</f>
        <v>296749.92560524616</v>
      </c>
      <c r="P113" s="75"/>
      <c r="Q113" s="75"/>
      <c r="R113" s="75"/>
      <c r="S113" s="76"/>
      <c r="T113" s="77"/>
      <c r="U113" s="78">
        <f t="shared" si="22"/>
        <v>11753831.835354848</v>
      </c>
      <c r="V113" s="229">
        <f t="shared" si="23"/>
        <v>136890.83535484783</v>
      </c>
      <c r="W113" s="219">
        <f t="shared" si="24"/>
        <v>1.1783724764965909E-2</v>
      </c>
      <c r="X113" s="219">
        <f t="shared" si="19"/>
        <v>1.1783724764965909E-2</v>
      </c>
      <c r="Y113" s="177"/>
      <c r="Z113" s="310"/>
      <c r="AJ113" s="45"/>
      <c r="AK113" s="45"/>
      <c r="AL113" s="45"/>
      <c r="AM113" s="45"/>
      <c r="AN113" s="45"/>
      <c r="AO113" s="45"/>
      <c r="AP113" s="45"/>
      <c r="AQ113" s="45"/>
      <c r="AR113" s="45"/>
      <c r="AS113" s="45"/>
    </row>
    <row r="114" spans="2:45">
      <c r="B114" s="57">
        <f t="shared" si="20"/>
        <v>41670</v>
      </c>
      <c r="C114" s="65">
        <f>[16]Sheet1!C60</f>
        <v>12521267</v>
      </c>
      <c r="D114" s="68"/>
      <c r="E114" s="65">
        <f>[16]Sheet1!D60</f>
        <v>864</v>
      </c>
      <c r="F114" s="68"/>
      <c r="G114" s="69"/>
      <c r="H114" s="67">
        <f t="shared" si="21"/>
        <v>12522131</v>
      </c>
      <c r="I114" s="304"/>
      <c r="J114" s="169">
        <f>'HDD &amp; CDD'!U6</f>
        <v>918.30000000000007</v>
      </c>
      <c r="K114" s="169">
        <f>'HDD &amp; CDD'!U24</f>
        <v>0</v>
      </c>
      <c r="L114" s="397">
        <f t="shared" si="18"/>
        <v>31</v>
      </c>
      <c r="M114" s="169">
        <v>0</v>
      </c>
      <c r="N114" s="397">
        <f>[17]Sheet1!C112</f>
        <v>1</v>
      </c>
      <c r="O114" s="117">
        <f>'CDM Activity'!C160</f>
        <v>302829.05437576823</v>
      </c>
      <c r="P114" s="62"/>
      <c r="Q114" s="62"/>
      <c r="R114" s="62"/>
      <c r="S114" s="63"/>
      <c r="T114" s="45"/>
      <c r="U114" s="61">
        <f t="shared" si="22"/>
        <v>12129174.165602989</v>
      </c>
      <c r="V114" s="217">
        <f t="shared" si="23"/>
        <v>-392956.83439701051</v>
      </c>
      <c r="W114" s="218">
        <f t="shared" si="24"/>
        <v>-3.1380987341292826E-2</v>
      </c>
      <c r="X114" s="218">
        <f t="shared" si="19"/>
        <v>3.1380987341292826E-2</v>
      </c>
      <c r="Y114" s="177"/>
      <c r="Z114" s="310"/>
      <c r="AJ114" s="45"/>
      <c r="AK114" s="45"/>
      <c r="AL114" s="45"/>
      <c r="AM114" s="45"/>
      <c r="AN114" s="45"/>
      <c r="AO114" s="45"/>
      <c r="AP114" s="45"/>
      <c r="AQ114" s="45"/>
      <c r="AR114" s="45"/>
      <c r="AS114" s="45"/>
    </row>
    <row r="115" spans="2:45">
      <c r="B115" s="57">
        <f t="shared" si="20"/>
        <v>41698</v>
      </c>
      <c r="C115" s="65">
        <f>[16]Sheet1!C61</f>
        <v>10693642</v>
      </c>
      <c r="D115" s="68"/>
      <c r="E115" s="65">
        <f>[16]Sheet1!D61</f>
        <v>1826</v>
      </c>
      <c r="F115" s="68"/>
      <c r="G115" s="69"/>
      <c r="H115" s="67">
        <f t="shared" si="21"/>
        <v>10695468</v>
      </c>
      <c r="I115" s="304"/>
      <c r="J115" s="169">
        <f>'HDD &amp; CDD'!U7</f>
        <v>793.2</v>
      </c>
      <c r="K115" s="169">
        <f>'HDD &amp; CDD'!U25</f>
        <v>0</v>
      </c>
      <c r="L115" s="397">
        <f t="shared" si="18"/>
        <v>28</v>
      </c>
      <c r="M115" s="169">
        <v>0</v>
      </c>
      <c r="N115" s="397">
        <f>[17]Sheet1!C113</f>
        <v>1</v>
      </c>
      <c r="O115" s="117">
        <f>'CDM Activity'!C161</f>
        <v>308908.18314629031</v>
      </c>
      <c r="P115" s="62"/>
      <c r="Q115" s="62"/>
      <c r="R115" s="62"/>
      <c r="S115" s="63"/>
      <c r="T115" s="45"/>
      <c r="U115" s="61">
        <f t="shared" si="22"/>
        <v>10776770.227079557</v>
      </c>
      <c r="V115" s="217">
        <f t="shared" si="23"/>
        <v>81302.227079557255</v>
      </c>
      <c r="W115" s="218">
        <f t="shared" si="24"/>
        <v>7.6015586302120913E-3</v>
      </c>
      <c r="X115" s="218">
        <f t="shared" si="19"/>
        <v>7.6015586302120913E-3</v>
      </c>
      <c r="Y115" s="177"/>
      <c r="Z115" s="310"/>
      <c r="AJ115" s="45"/>
      <c r="AK115" s="45"/>
      <c r="AL115" s="45"/>
      <c r="AM115" s="45"/>
      <c r="AN115" s="45"/>
      <c r="AO115" s="45"/>
      <c r="AP115" s="45"/>
      <c r="AQ115" s="45"/>
      <c r="AR115" s="45"/>
      <c r="AS115" s="45"/>
    </row>
    <row r="116" spans="2:45">
      <c r="B116" s="57">
        <f t="shared" si="20"/>
        <v>41729</v>
      </c>
      <c r="C116" s="65">
        <f>[16]Sheet1!C62</f>
        <v>11270883</v>
      </c>
      <c r="D116" s="68"/>
      <c r="E116" s="65">
        <f>[16]Sheet1!D62</f>
        <v>2647</v>
      </c>
      <c r="F116" s="68"/>
      <c r="G116" s="69"/>
      <c r="H116" s="67">
        <f t="shared" si="21"/>
        <v>11273530</v>
      </c>
      <c r="I116" s="304"/>
      <c r="J116" s="169">
        <f>'HDD &amp; CDD'!U8</f>
        <v>783.6</v>
      </c>
      <c r="K116" s="169">
        <f>'HDD &amp; CDD'!U26</f>
        <v>0</v>
      </c>
      <c r="L116" s="397">
        <f t="shared" si="18"/>
        <v>31</v>
      </c>
      <c r="M116" s="169">
        <v>1</v>
      </c>
      <c r="N116" s="397">
        <f>[17]Sheet1!C114</f>
        <v>0</v>
      </c>
      <c r="O116" s="117">
        <f>'CDM Activity'!C162</f>
        <v>314987.31191681238</v>
      </c>
      <c r="P116" s="62"/>
      <c r="Q116" s="62"/>
      <c r="R116" s="62"/>
      <c r="S116" s="63"/>
      <c r="T116" s="45"/>
      <c r="U116" s="61">
        <f t="shared" si="22"/>
        <v>11206118.854517972</v>
      </c>
      <c r="V116" s="217">
        <f t="shared" si="23"/>
        <v>-67411.145482027903</v>
      </c>
      <c r="W116" s="218">
        <f t="shared" si="24"/>
        <v>-5.979595165137087E-3</v>
      </c>
      <c r="X116" s="218">
        <f t="shared" si="19"/>
        <v>5.979595165137087E-3</v>
      </c>
      <c r="Y116" s="177"/>
      <c r="Z116" s="310"/>
      <c r="AJ116" s="45"/>
      <c r="AK116" s="45"/>
      <c r="AL116" s="45"/>
      <c r="AM116" s="45"/>
      <c r="AN116" s="45"/>
      <c r="AO116" s="45"/>
      <c r="AP116" s="45"/>
      <c r="AQ116" s="45"/>
      <c r="AR116" s="45"/>
      <c r="AS116" s="45"/>
    </row>
    <row r="117" spans="2:45">
      <c r="B117" s="57">
        <f t="shared" si="20"/>
        <v>41759</v>
      </c>
      <c r="C117" s="65">
        <f>[16]Sheet1!C63</f>
        <v>9026483</v>
      </c>
      <c r="D117" s="68"/>
      <c r="E117" s="65">
        <f>[16]Sheet1!D63</f>
        <v>5510</v>
      </c>
      <c r="F117" s="68"/>
      <c r="G117" s="69"/>
      <c r="H117" s="67">
        <f t="shared" si="21"/>
        <v>9031993</v>
      </c>
      <c r="I117" s="304"/>
      <c r="J117" s="169">
        <f>'HDD &amp; CDD'!U9</f>
        <v>384.20000000000005</v>
      </c>
      <c r="K117" s="169">
        <f>'HDD &amp; CDD'!U27</f>
        <v>0</v>
      </c>
      <c r="L117" s="397">
        <f t="shared" si="18"/>
        <v>30</v>
      </c>
      <c r="M117" s="169">
        <v>1</v>
      </c>
      <c r="N117" s="397">
        <f>[17]Sheet1!C115</f>
        <v>2</v>
      </c>
      <c r="O117" s="117">
        <f>'CDM Activity'!C163</f>
        <v>321066.44068733446</v>
      </c>
      <c r="P117" s="62"/>
      <c r="Q117" s="62"/>
      <c r="R117" s="62"/>
      <c r="S117" s="63"/>
      <c r="T117" s="45"/>
      <c r="U117" s="61">
        <f t="shared" si="22"/>
        <v>8844425.6728340778</v>
      </c>
      <c r="V117" s="217">
        <f t="shared" si="23"/>
        <v>-187567.32716592215</v>
      </c>
      <c r="W117" s="218">
        <f t="shared" si="24"/>
        <v>-2.076699208756275E-2</v>
      </c>
      <c r="X117" s="218">
        <f t="shared" si="19"/>
        <v>2.076699208756275E-2</v>
      </c>
      <c r="Y117" s="177"/>
      <c r="Z117" s="310"/>
      <c r="AJ117" s="45"/>
      <c r="AK117" s="45"/>
      <c r="AL117" s="45"/>
      <c r="AM117" s="45"/>
      <c r="AN117" s="45"/>
      <c r="AO117" s="45"/>
      <c r="AP117" s="45"/>
      <c r="AQ117" s="45"/>
      <c r="AR117" s="45"/>
      <c r="AS117" s="45"/>
    </row>
    <row r="118" spans="2:45">
      <c r="B118" s="57">
        <f t="shared" si="20"/>
        <v>41790</v>
      </c>
      <c r="C118" s="65">
        <f>[16]Sheet1!C64</f>
        <v>8278885</v>
      </c>
      <c r="D118" s="68"/>
      <c r="E118" s="65">
        <f>[16]Sheet1!D64</f>
        <v>8035</v>
      </c>
      <c r="F118" s="68"/>
      <c r="G118" s="69"/>
      <c r="H118" s="67">
        <f t="shared" si="21"/>
        <v>8286920</v>
      </c>
      <c r="I118" s="304"/>
      <c r="J118" s="169">
        <f>'HDD &amp; CDD'!U10</f>
        <v>127.3</v>
      </c>
      <c r="K118" s="169">
        <f>'HDD &amp; CDD'!U28</f>
        <v>8.8000000000000007</v>
      </c>
      <c r="L118" s="397">
        <f t="shared" si="18"/>
        <v>31</v>
      </c>
      <c r="M118" s="169">
        <v>1</v>
      </c>
      <c r="N118" s="397">
        <f>[17]Sheet1!C116</f>
        <v>1</v>
      </c>
      <c r="O118" s="117">
        <f>'CDM Activity'!C164</f>
        <v>327145.56945785653</v>
      </c>
      <c r="P118" s="62"/>
      <c r="Q118" s="62"/>
      <c r="R118" s="62"/>
      <c r="S118" s="63"/>
      <c r="T118" s="45"/>
      <c r="U118" s="61">
        <f t="shared" si="22"/>
        <v>8110971.0247796709</v>
      </c>
      <c r="V118" s="217">
        <f t="shared" si="23"/>
        <v>-175948.97522032913</v>
      </c>
      <c r="W118" s="218">
        <f t="shared" si="24"/>
        <v>-2.1232131506075735E-2</v>
      </c>
      <c r="X118" s="218">
        <f t="shared" si="19"/>
        <v>2.1232131506075735E-2</v>
      </c>
      <c r="Y118" s="177"/>
      <c r="Z118" s="310"/>
      <c r="AJ118" s="45"/>
      <c r="AK118" s="45"/>
      <c r="AL118" s="45"/>
      <c r="AM118" s="45"/>
      <c r="AN118" s="45"/>
      <c r="AO118" s="45"/>
      <c r="AP118" s="45"/>
      <c r="AQ118" s="45"/>
      <c r="AR118" s="45"/>
      <c r="AS118" s="45"/>
    </row>
    <row r="119" spans="2:45">
      <c r="B119" s="57">
        <f t="shared" si="20"/>
        <v>41820</v>
      </c>
      <c r="C119" s="65">
        <f>[16]Sheet1!C65</f>
        <v>8570154</v>
      </c>
      <c r="D119" s="68"/>
      <c r="E119" s="65">
        <f>[16]Sheet1!D65</f>
        <v>9577</v>
      </c>
      <c r="F119" s="68"/>
      <c r="G119" s="69"/>
      <c r="H119" s="67">
        <f t="shared" si="21"/>
        <v>8579731</v>
      </c>
      <c r="I119" s="304"/>
      <c r="J119" s="169">
        <f>'HDD &amp; CDD'!U11</f>
        <v>20.299999999999997</v>
      </c>
      <c r="K119" s="169">
        <f>'HDD &amp; CDD'!U29</f>
        <v>54.9</v>
      </c>
      <c r="L119" s="397">
        <f t="shared" si="18"/>
        <v>30</v>
      </c>
      <c r="M119" s="169">
        <v>0</v>
      </c>
      <c r="N119" s="397">
        <f>[17]Sheet1!C117</f>
        <v>0</v>
      </c>
      <c r="O119" s="117">
        <f>'CDM Activity'!C165</f>
        <v>333224.69822837861</v>
      </c>
      <c r="P119" s="62"/>
      <c r="Q119" s="62"/>
      <c r="R119" s="62"/>
      <c r="S119" s="63"/>
      <c r="T119" s="45"/>
      <c r="U119" s="61">
        <f t="shared" si="22"/>
        <v>8466411.7296850737</v>
      </c>
      <c r="V119" s="217">
        <f t="shared" si="23"/>
        <v>-113319.27031492628</v>
      </c>
      <c r="W119" s="218">
        <f t="shared" si="24"/>
        <v>-1.3207788252909827E-2</v>
      </c>
      <c r="X119" s="218">
        <f t="shared" si="19"/>
        <v>1.3207788252909827E-2</v>
      </c>
      <c r="Y119" s="177"/>
      <c r="Z119" s="310"/>
      <c r="AJ119" s="45"/>
      <c r="AK119" s="45"/>
      <c r="AL119" s="45"/>
      <c r="AM119" s="45"/>
      <c r="AN119" s="45"/>
      <c r="AO119" s="45"/>
      <c r="AP119" s="45"/>
      <c r="AQ119" s="45"/>
      <c r="AR119" s="45"/>
      <c r="AS119" s="45"/>
    </row>
    <row r="120" spans="2:45">
      <c r="B120" s="57">
        <f t="shared" si="20"/>
        <v>41851</v>
      </c>
      <c r="C120" s="90">
        <f>[16]Sheet1!C66</f>
        <v>9070654</v>
      </c>
      <c r="D120" s="68"/>
      <c r="E120" s="65">
        <f>[16]Sheet1!D66</f>
        <v>9467</v>
      </c>
      <c r="F120" s="68"/>
      <c r="G120" s="69"/>
      <c r="H120" s="67">
        <f t="shared" si="21"/>
        <v>9080121</v>
      </c>
      <c r="I120" s="304"/>
      <c r="J120" s="169">
        <f>'HDD &amp; CDD'!U12</f>
        <v>8.8000000000000007</v>
      </c>
      <c r="K120" s="169">
        <f>'HDD &amp; CDD'!U30</f>
        <v>62.800000000000011</v>
      </c>
      <c r="L120" s="397">
        <f t="shared" si="18"/>
        <v>31</v>
      </c>
      <c r="M120" s="169">
        <v>0</v>
      </c>
      <c r="N120" s="397">
        <f>[17]Sheet1!C118</f>
        <v>1</v>
      </c>
      <c r="O120" s="117">
        <f>'CDM Activity'!C166</f>
        <v>339303.82699890068</v>
      </c>
      <c r="P120" s="62"/>
      <c r="Q120" s="62"/>
      <c r="R120" s="62"/>
      <c r="S120" s="63"/>
      <c r="T120" s="45"/>
      <c r="U120" s="61">
        <f t="shared" si="22"/>
        <v>8639518.170908967</v>
      </c>
      <c r="V120" s="217">
        <f t="shared" si="23"/>
        <v>-440602.82909103297</v>
      </c>
      <c r="W120" s="218">
        <f t="shared" si="24"/>
        <v>-4.8523894019807993E-2</v>
      </c>
      <c r="X120" s="218">
        <f t="shared" si="19"/>
        <v>4.8523894019807993E-2</v>
      </c>
      <c r="Y120" s="177"/>
      <c r="Z120" s="310"/>
      <c r="AJ120" s="45"/>
      <c r="AK120" s="45"/>
      <c r="AL120" s="45"/>
      <c r="AM120" s="45"/>
      <c r="AN120" s="45"/>
      <c r="AO120" s="45"/>
      <c r="AP120" s="45"/>
      <c r="AQ120" s="45"/>
      <c r="AR120" s="45"/>
      <c r="AS120" s="45"/>
    </row>
    <row r="121" spans="2:45">
      <c r="B121" s="57">
        <f t="shared" si="20"/>
        <v>41882</v>
      </c>
      <c r="C121" s="90">
        <f>[16]Sheet1!C67</f>
        <v>8980123</v>
      </c>
      <c r="D121" s="68"/>
      <c r="E121" s="65">
        <f>[16]Sheet1!D67</f>
        <v>9127</v>
      </c>
      <c r="F121" s="68"/>
      <c r="G121" s="69"/>
      <c r="H121" s="67">
        <f t="shared" si="21"/>
        <v>8989250</v>
      </c>
      <c r="I121" s="304"/>
      <c r="J121" s="169">
        <f>'HDD &amp; CDD'!U13</f>
        <v>21.400000000000002</v>
      </c>
      <c r="K121" s="169">
        <f>'HDD &amp; CDD'!U31</f>
        <v>55.800000000000004</v>
      </c>
      <c r="L121" s="397">
        <f t="shared" si="18"/>
        <v>31</v>
      </c>
      <c r="M121" s="169">
        <v>0</v>
      </c>
      <c r="N121" s="397">
        <f>[17]Sheet1!C119</f>
        <v>1</v>
      </c>
      <c r="O121" s="117">
        <f>'CDM Activity'!C167</f>
        <v>345382.95576942276</v>
      </c>
      <c r="P121" s="62"/>
      <c r="Q121" s="62"/>
      <c r="R121" s="62"/>
      <c r="S121" s="63"/>
      <c r="T121" s="45"/>
      <c r="U121" s="61">
        <f t="shared" si="22"/>
        <v>8582014.2031717952</v>
      </c>
      <c r="V121" s="217">
        <f t="shared" si="23"/>
        <v>-407235.79682820477</v>
      </c>
      <c r="W121" s="218">
        <f t="shared" si="24"/>
        <v>-4.5302533228935092E-2</v>
      </c>
      <c r="X121" s="218">
        <f t="shared" si="19"/>
        <v>4.5302533228935092E-2</v>
      </c>
      <c r="Y121" s="177"/>
      <c r="Z121" s="310"/>
      <c r="AJ121" s="45"/>
      <c r="AK121" s="45"/>
      <c r="AL121" s="45"/>
      <c r="AM121" s="45"/>
      <c r="AN121" s="45"/>
      <c r="AO121" s="45"/>
      <c r="AP121" s="45"/>
      <c r="AQ121" s="45"/>
      <c r="AR121" s="45"/>
      <c r="AS121" s="45"/>
    </row>
    <row r="122" spans="2:45">
      <c r="B122" s="57">
        <f t="shared" si="20"/>
        <v>41912</v>
      </c>
      <c r="C122" s="90">
        <f>[16]Sheet1!C68</f>
        <v>8455877</v>
      </c>
      <c r="D122" s="68"/>
      <c r="E122" s="65">
        <f>[16]Sheet1!D68</f>
        <v>8673</v>
      </c>
      <c r="F122" s="68"/>
      <c r="G122" s="69"/>
      <c r="H122" s="67">
        <f t="shared" si="21"/>
        <v>8464550</v>
      </c>
      <c r="I122" s="304"/>
      <c r="J122" s="169">
        <f>'HDD &amp; CDD'!U14</f>
        <v>110.3</v>
      </c>
      <c r="K122" s="169">
        <f>'HDD &amp; CDD'!U32</f>
        <v>21.600000000000005</v>
      </c>
      <c r="L122" s="397">
        <f t="shared" si="18"/>
        <v>30</v>
      </c>
      <c r="M122" s="169">
        <v>1</v>
      </c>
      <c r="N122" s="397">
        <f>[17]Sheet1!C120</f>
        <v>1</v>
      </c>
      <c r="O122" s="117">
        <f>'CDM Activity'!C168</f>
        <v>351462.08453994483</v>
      </c>
      <c r="P122" s="62"/>
      <c r="Q122" s="62"/>
      <c r="R122" s="62"/>
      <c r="S122" s="63"/>
      <c r="T122" s="45"/>
      <c r="U122" s="61">
        <f t="shared" si="22"/>
        <v>7883709.6663453756</v>
      </c>
      <c r="V122" s="217">
        <f t="shared" si="23"/>
        <v>-580840.33365462441</v>
      </c>
      <c r="W122" s="218">
        <f t="shared" si="24"/>
        <v>-6.8620344100350811E-2</v>
      </c>
      <c r="X122" s="218">
        <f t="shared" si="19"/>
        <v>6.8620344100350811E-2</v>
      </c>
      <c r="Y122" s="177"/>
      <c r="Z122" s="310"/>
      <c r="AJ122" s="45"/>
      <c r="AK122" s="45"/>
      <c r="AL122" s="45"/>
      <c r="AM122" s="45"/>
      <c r="AN122" s="45"/>
      <c r="AO122" s="45"/>
      <c r="AP122" s="45"/>
      <c r="AQ122" s="45"/>
      <c r="AR122" s="45"/>
      <c r="AS122" s="45"/>
    </row>
    <row r="123" spans="2:45">
      <c r="B123" s="57">
        <f t="shared" si="20"/>
        <v>41943</v>
      </c>
      <c r="C123" s="90">
        <f>[16]Sheet1!C69</f>
        <v>8663323</v>
      </c>
      <c r="D123" s="68"/>
      <c r="E123" s="65">
        <f>[16]Sheet1!D69</f>
        <v>7439</v>
      </c>
      <c r="F123" s="68"/>
      <c r="G123" s="69"/>
      <c r="H123" s="67">
        <f t="shared" si="21"/>
        <v>8670762</v>
      </c>
      <c r="I123" s="304"/>
      <c r="J123" s="169">
        <f>'HDD &amp; CDD'!U15</f>
        <v>257.90000000000003</v>
      </c>
      <c r="K123" s="169">
        <f>'HDD &amp; CDD'!U33</f>
        <v>3.1</v>
      </c>
      <c r="L123" s="397">
        <f t="shared" si="18"/>
        <v>31</v>
      </c>
      <c r="M123" s="169">
        <v>1</v>
      </c>
      <c r="N123" s="397">
        <f>[17]Sheet1!C121</f>
        <v>1</v>
      </c>
      <c r="O123" s="117">
        <f>'CDM Activity'!C169</f>
        <v>357541.2133104669</v>
      </c>
      <c r="P123" s="62"/>
      <c r="Q123" s="62"/>
      <c r="R123" s="62"/>
      <c r="S123" s="63"/>
      <c r="T123" s="45"/>
      <c r="U123" s="61">
        <f t="shared" si="22"/>
        <v>8546605.0335974395</v>
      </c>
      <c r="V123" s="217">
        <f t="shared" si="23"/>
        <v>-124156.96640256047</v>
      </c>
      <c r="W123" s="218">
        <f t="shared" si="24"/>
        <v>-1.4319037519719774E-2</v>
      </c>
      <c r="X123" s="218">
        <f t="shared" si="19"/>
        <v>1.4319037519719774E-2</v>
      </c>
      <c r="Y123" s="177"/>
      <c r="Z123" s="310"/>
      <c r="AJ123" s="45"/>
      <c r="AK123" s="45"/>
      <c r="AL123" s="45"/>
      <c r="AM123" s="45"/>
      <c r="AN123" s="45"/>
      <c r="AO123" s="45"/>
      <c r="AP123" s="45"/>
      <c r="AQ123" s="45"/>
      <c r="AR123" s="45"/>
      <c r="AS123" s="45"/>
    </row>
    <row r="124" spans="2:45">
      <c r="B124" s="57">
        <f t="shared" si="20"/>
        <v>41973</v>
      </c>
      <c r="C124" s="90">
        <f>[16]Sheet1!C70</f>
        <v>9594308</v>
      </c>
      <c r="D124" s="68"/>
      <c r="E124" s="65">
        <f>[16]Sheet1!D70</f>
        <v>4365</v>
      </c>
      <c r="F124" s="68"/>
      <c r="G124" s="69"/>
      <c r="H124" s="67">
        <f t="shared" si="21"/>
        <v>9598673</v>
      </c>
      <c r="I124" s="304"/>
      <c r="J124" s="169">
        <f>'HDD &amp; CDD'!U16</f>
        <v>510.6</v>
      </c>
      <c r="K124" s="169">
        <f>'HDD &amp; CDD'!U34</f>
        <v>0</v>
      </c>
      <c r="L124" s="397">
        <f t="shared" si="18"/>
        <v>30</v>
      </c>
      <c r="M124" s="169">
        <v>1</v>
      </c>
      <c r="N124" s="397">
        <f>[17]Sheet1!C122</f>
        <v>0</v>
      </c>
      <c r="O124" s="117">
        <f>'CDM Activity'!C170</f>
        <v>363620.34208098898</v>
      </c>
      <c r="P124" s="62"/>
      <c r="Q124" s="62"/>
      <c r="R124" s="62"/>
      <c r="S124" s="63"/>
      <c r="T124" s="45"/>
      <c r="U124" s="61">
        <f t="shared" si="22"/>
        <v>9528881.8849337418</v>
      </c>
      <c r="V124" s="217">
        <f t="shared" si="23"/>
        <v>-69791.115066258237</v>
      </c>
      <c r="W124" s="218">
        <f t="shared" si="24"/>
        <v>-7.2709128716290511E-3</v>
      </c>
      <c r="X124" s="218">
        <f t="shared" si="19"/>
        <v>7.2709128716290511E-3</v>
      </c>
      <c r="Y124" s="177"/>
      <c r="Z124" s="310"/>
      <c r="AJ124" s="45"/>
      <c r="AK124" s="45"/>
      <c r="AL124" s="45"/>
      <c r="AM124" s="45"/>
      <c r="AN124" s="45"/>
      <c r="AO124" s="45"/>
      <c r="AP124" s="45"/>
      <c r="AQ124" s="45"/>
      <c r="AR124" s="45"/>
      <c r="AS124" s="45"/>
    </row>
    <row r="125" spans="2:45">
      <c r="B125" s="583">
        <f t="shared" si="20"/>
        <v>42004</v>
      </c>
      <c r="C125" s="584">
        <f>[16]Sheet1!C71</f>
        <v>10753031</v>
      </c>
      <c r="D125" s="585"/>
      <c r="E125" s="584">
        <f>[16]Sheet1!D71</f>
        <v>2388</v>
      </c>
      <c r="F125" s="585"/>
      <c r="G125" s="586"/>
      <c r="H125" s="584">
        <f t="shared" si="21"/>
        <v>10755419</v>
      </c>
      <c r="I125" s="587"/>
      <c r="J125" s="588">
        <f>'HDD &amp; CDD'!U17</f>
        <v>696.39999999999986</v>
      </c>
      <c r="K125" s="588">
        <f>'HDD &amp; CDD'!U35</f>
        <v>0</v>
      </c>
      <c r="L125" s="589">
        <f t="shared" si="18"/>
        <v>31</v>
      </c>
      <c r="M125" s="588">
        <v>0</v>
      </c>
      <c r="N125" s="589">
        <f>[17]Sheet1!C123</f>
        <v>2</v>
      </c>
      <c r="O125" s="590">
        <f>'CDM Activity'!C171</f>
        <v>369699.47085151105</v>
      </c>
      <c r="P125" s="591"/>
      <c r="Q125" s="591"/>
      <c r="R125" s="591"/>
      <c r="S125" s="592"/>
      <c r="T125" s="593"/>
      <c r="U125" s="594">
        <f t="shared" si="22"/>
        <v>10769554.469349943</v>
      </c>
      <c r="V125" s="594">
        <f t="shared" si="23"/>
        <v>14135.469349943101</v>
      </c>
      <c r="W125" s="595">
        <f t="shared" si="24"/>
        <v>1.3142648696385609E-3</v>
      </c>
      <c r="X125" s="595">
        <f t="shared" si="19"/>
        <v>1.3142648696385609E-3</v>
      </c>
      <c r="Y125" s="177"/>
      <c r="Z125" s="310"/>
      <c r="AJ125" s="45"/>
      <c r="AK125" s="45"/>
      <c r="AL125" s="45"/>
      <c r="AM125" s="45"/>
      <c r="AN125" s="45"/>
      <c r="AO125" s="45"/>
      <c r="AP125" s="45"/>
      <c r="AQ125" s="45"/>
      <c r="AR125" s="45"/>
      <c r="AS125" s="45"/>
    </row>
    <row r="126" spans="2:45">
      <c r="B126" s="57">
        <f t="shared" si="20"/>
        <v>42035</v>
      </c>
      <c r="C126" s="65">
        <f>[16]Sheet1!C72</f>
        <v>12178875.15</v>
      </c>
      <c r="D126" s="68"/>
      <c r="E126" s="65">
        <f>[16]Sheet1!D72</f>
        <v>2052</v>
      </c>
      <c r="F126" s="395"/>
      <c r="G126" s="396"/>
      <c r="H126" s="67">
        <f t="shared" si="21"/>
        <v>12180927.15</v>
      </c>
      <c r="J126" s="418">
        <f>'HDD &amp; CDD'!V6</f>
        <v>968.19999999999982</v>
      </c>
      <c r="K126" s="418">
        <f>'HDD &amp; CDD'!V24</f>
        <v>0</v>
      </c>
      <c r="L126" s="397">
        <f t="shared" si="18"/>
        <v>31</v>
      </c>
      <c r="M126" s="169">
        <v>0</v>
      </c>
      <c r="N126" s="397">
        <f>[17]Sheet1!C124</f>
        <v>1</v>
      </c>
      <c r="O126" s="117">
        <f>'CDM Activity'!C172</f>
        <v>368008.89257173077</v>
      </c>
      <c r="P126" s="93"/>
      <c r="Q126" s="116"/>
      <c r="R126" s="116"/>
      <c r="S126" s="97"/>
      <c r="T126" s="45"/>
      <c r="U126" s="61">
        <f t="shared" si="22"/>
        <v>12158148.11580299</v>
      </c>
      <c r="V126" s="217">
        <f t="shared" ref="V126:V137" si="25">U126-H126</f>
        <v>-22779.0341970101</v>
      </c>
      <c r="W126" s="218">
        <f t="shared" ref="W126:W137" si="26">V126/H126</f>
        <v>-1.8700575019045327E-3</v>
      </c>
      <c r="X126" s="218">
        <f t="shared" ref="X126:X137" si="27">ABS(W126)</f>
        <v>1.8700575019045327E-3</v>
      </c>
      <c r="Y126" s="177"/>
      <c r="Z126" s="310"/>
      <c r="AJ126" s="45"/>
      <c r="AK126" s="45"/>
      <c r="AL126" s="45"/>
      <c r="AM126" s="45"/>
      <c r="AN126" s="45"/>
      <c r="AO126" s="45"/>
      <c r="AP126" s="45"/>
      <c r="AQ126" s="45"/>
      <c r="AR126" s="45"/>
      <c r="AS126" s="45"/>
    </row>
    <row r="127" spans="2:45">
      <c r="B127" s="57">
        <f t="shared" si="20"/>
        <v>42063</v>
      </c>
      <c r="C127" s="65">
        <f>[16]Sheet1!C73</f>
        <v>11445612.18</v>
      </c>
      <c r="D127" s="68"/>
      <c r="E127" s="65">
        <f>[16]Sheet1!D73</f>
        <v>2693</v>
      </c>
      <c r="F127" s="92"/>
      <c r="G127" s="92"/>
      <c r="H127" s="67">
        <f t="shared" si="21"/>
        <v>11448305.18</v>
      </c>
      <c r="I127" s="302"/>
      <c r="J127" s="418">
        <f>'HDD &amp; CDD'!V7</f>
        <v>957.8000000000003</v>
      </c>
      <c r="K127" s="418">
        <f>'HDD &amp; CDD'!V25</f>
        <v>0</v>
      </c>
      <c r="L127" s="397">
        <f t="shared" si="18"/>
        <v>28</v>
      </c>
      <c r="M127" s="169">
        <v>0</v>
      </c>
      <c r="N127" s="397">
        <f>[17]Sheet1!C125</f>
        <v>1</v>
      </c>
      <c r="O127" s="117">
        <f>'CDM Activity'!C173</f>
        <v>366318.31429195049</v>
      </c>
      <c r="P127" s="94"/>
      <c r="Q127" s="122"/>
      <c r="R127" s="122"/>
      <c r="S127" s="97"/>
      <c r="T127" s="45"/>
      <c r="U127" s="61">
        <f t="shared" si="22"/>
        <v>11365877.304013425</v>
      </c>
      <c r="V127" s="217">
        <f t="shared" si="25"/>
        <v>-82427.875986574218</v>
      </c>
      <c r="W127" s="218">
        <f t="shared" si="26"/>
        <v>-7.2000068735566516E-3</v>
      </c>
      <c r="X127" s="218">
        <f t="shared" si="27"/>
        <v>7.2000068735566516E-3</v>
      </c>
      <c r="Y127" s="177"/>
      <c r="Z127" s="310"/>
      <c r="AJ127" s="45"/>
      <c r="AK127" s="45"/>
      <c r="AL127" s="45"/>
      <c r="AM127" s="45"/>
      <c r="AN127" s="45"/>
      <c r="AO127" s="45"/>
      <c r="AP127" s="45"/>
      <c r="AQ127" s="45"/>
      <c r="AR127" s="45"/>
      <c r="AS127" s="45"/>
    </row>
    <row r="128" spans="2:45">
      <c r="B128" s="57">
        <f t="shared" si="20"/>
        <v>42094</v>
      </c>
      <c r="C128" s="65">
        <f>[16]Sheet1!C74</f>
        <v>10922675.359999999</v>
      </c>
      <c r="D128" s="68"/>
      <c r="E128" s="65">
        <f>[16]Sheet1!D74</f>
        <v>2302</v>
      </c>
      <c r="F128" s="92"/>
      <c r="G128" s="92"/>
      <c r="H128" s="67">
        <f t="shared" si="21"/>
        <v>10924977.359999999</v>
      </c>
      <c r="I128" s="302"/>
      <c r="J128" s="418">
        <f>'HDD &amp; CDD'!V8</f>
        <v>718.59999999999991</v>
      </c>
      <c r="K128" s="418">
        <f>'HDD &amp; CDD'!V26</f>
        <v>0</v>
      </c>
      <c r="L128" s="397">
        <f t="shared" si="18"/>
        <v>31</v>
      </c>
      <c r="M128" s="169">
        <v>1</v>
      </c>
      <c r="N128" s="397">
        <f>[17]Sheet1!C126</f>
        <v>0</v>
      </c>
      <c r="O128" s="117">
        <f>'CDM Activity'!C174</f>
        <v>364627.73601217021</v>
      </c>
      <c r="P128" s="94"/>
      <c r="Q128" s="122"/>
      <c r="R128" s="122"/>
      <c r="S128" s="97"/>
      <c r="T128" s="45"/>
      <c r="U128" s="61">
        <f t="shared" si="22"/>
        <v>10747023.05164057</v>
      </c>
      <c r="V128" s="217">
        <f t="shared" si="25"/>
        <v>-177954.30835942924</v>
      </c>
      <c r="W128" s="218">
        <f t="shared" si="26"/>
        <v>-1.628875763266838E-2</v>
      </c>
      <c r="X128" s="218">
        <f t="shared" si="27"/>
        <v>1.628875763266838E-2</v>
      </c>
      <c r="Y128" s="177"/>
      <c r="Z128" s="310"/>
      <c r="AJ128" s="45"/>
      <c r="AK128" s="45"/>
      <c r="AL128" s="45"/>
      <c r="AM128" s="45"/>
      <c r="AN128" s="45"/>
      <c r="AO128" s="45"/>
      <c r="AP128" s="45"/>
      <c r="AQ128" s="45"/>
      <c r="AR128" s="45"/>
      <c r="AS128" s="45"/>
    </row>
    <row r="129" spans="2:45">
      <c r="B129" s="57">
        <f t="shared" si="20"/>
        <v>42124</v>
      </c>
      <c r="C129" s="65">
        <f>[16]Sheet1!C75</f>
        <v>8724747</v>
      </c>
      <c r="D129" s="68"/>
      <c r="E129" s="65">
        <f>[16]Sheet1!D75</f>
        <v>7189</v>
      </c>
      <c r="F129" s="92"/>
      <c r="G129" s="92"/>
      <c r="H129" s="67">
        <f t="shared" si="21"/>
        <v>8731936</v>
      </c>
      <c r="I129" s="306"/>
      <c r="J129" s="418">
        <f>'HDD &amp; CDD'!V9</f>
        <v>352.59999999999991</v>
      </c>
      <c r="K129" s="418">
        <f>'HDD &amp; CDD'!V27</f>
        <v>0</v>
      </c>
      <c r="L129" s="397">
        <f t="shared" si="18"/>
        <v>30</v>
      </c>
      <c r="M129" s="169">
        <v>1</v>
      </c>
      <c r="N129" s="397">
        <f>[17]Sheet1!C127</f>
        <v>2</v>
      </c>
      <c r="O129" s="117">
        <f>'CDM Activity'!C175</f>
        <v>362937.15773238993</v>
      </c>
      <c r="P129" s="94"/>
      <c r="Q129" s="122"/>
      <c r="R129" s="122"/>
      <c r="S129" s="97"/>
      <c r="T129" s="45"/>
      <c r="U129" s="61">
        <f t="shared" si="22"/>
        <v>8565684.5554122403</v>
      </c>
      <c r="V129" s="217">
        <f t="shared" si="25"/>
        <v>-166251.44458775967</v>
      </c>
      <c r="W129" s="218">
        <f t="shared" si="26"/>
        <v>-1.9039471268199822E-2</v>
      </c>
      <c r="X129" s="218">
        <f t="shared" si="27"/>
        <v>1.9039471268199822E-2</v>
      </c>
      <c r="Y129" s="177"/>
      <c r="Z129" s="310"/>
      <c r="AJ129" s="45"/>
      <c r="AK129" s="45"/>
      <c r="AL129" s="45"/>
      <c r="AM129" s="45"/>
      <c r="AN129" s="45"/>
      <c r="AO129" s="45"/>
      <c r="AP129" s="45"/>
      <c r="AQ129" s="45"/>
      <c r="AR129" s="45"/>
      <c r="AS129" s="45"/>
    </row>
    <row r="130" spans="2:45">
      <c r="B130" s="57">
        <f t="shared" si="20"/>
        <v>42155</v>
      </c>
      <c r="C130" s="65">
        <f>[16]Sheet1!C76</f>
        <v>8214245.5700000003</v>
      </c>
      <c r="D130" s="68"/>
      <c r="E130" s="65">
        <f>[16]Sheet1!D76</f>
        <v>8877</v>
      </c>
      <c r="F130" s="92"/>
      <c r="G130" s="92"/>
      <c r="H130" s="67">
        <f t="shared" si="21"/>
        <v>8223122.5700000003</v>
      </c>
      <c r="I130" s="302"/>
      <c r="J130" s="418">
        <f>'HDD &amp; CDD'!V10</f>
        <v>94.200000000000031</v>
      </c>
      <c r="K130" s="418">
        <f>'HDD &amp; CDD'!V28</f>
        <v>25.299999999999997</v>
      </c>
      <c r="L130" s="397">
        <f t="shared" si="18"/>
        <v>31</v>
      </c>
      <c r="M130" s="169">
        <v>1</v>
      </c>
      <c r="N130" s="397">
        <f>[17]Sheet1!C128</f>
        <v>1</v>
      </c>
      <c r="O130" s="117">
        <f>'CDM Activity'!C176</f>
        <v>361246.57945260964</v>
      </c>
      <c r="P130" s="94"/>
      <c r="Q130" s="122"/>
      <c r="R130" s="122"/>
      <c r="S130" s="97"/>
      <c r="T130" s="45"/>
      <c r="U130" s="61">
        <f t="shared" si="22"/>
        <v>8078963.1992615033</v>
      </c>
      <c r="V130" s="217">
        <f t="shared" si="25"/>
        <v>-144159.370738497</v>
      </c>
      <c r="W130" s="218">
        <f t="shared" si="26"/>
        <v>-1.7530976768414752E-2</v>
      </c>
      <c r="X130" s="218">
        <f t="shared" si="27"/>
        <v>1.7530976768414752E-2</v>
      </c>
      <c r="Y130" s="177"/>
      <c r="Z130" s="310"/>
      <c r="AJ130" s="45"/>
      <c r="AK130" s="45"/>
      <c r="AL130" s="45"/>
      <c r="AM130" s="45"/>
      <c r="AN130" s="45"/>
      <c r="AO130" s="45"/>
      <c r="AP130" s="45"/>
      <c r="AQ130" s="45"/>
      <c r="AR130" s="45"/>
      <c r="AS130" s="45"/>
    </row>
    <row r="131" spans="2:45">
      <c r="B131" s="57">
        <f t="shared" si="20"/>
        <v>42185</v>
      </c>
      <c r="C131" s="65">
        <f>[16]Sheet1!C77</f>
        <v>8082238.46</v>
      </c>
      <c r="D131" s="68"/>
      <c r="E131" s="65">
        <f>[16]Sheet1!D77</f>
        <v>10420</v>
      </c>
      <c r="F131" s="92"/>
      <c r="G131" s="92"/>
      <c r="H131" s="67">
        <f t="shared" si="21"/>
        <v>8092658.46</v>
      </c>
      <c r="I131" s="302"/>
      <c r="J131" s="418">
        <f>'HDD &amp; CDD'!V11</f>
        <v>45.199999999999996</v>
      </c>
      <c r="K131" s="418">
        <f>'HDD &amp; CDD'!V29</f>
        <v>20.3</v>
      </c>
      <c r="L131" s="397">
        <f t="shared" si="18"/>
        <v>30</v>
      </c>
      <c r="M131" s="169">
        <v>0</v>
      </c>
      <c r="N131" s="397">
        <f>[17]Sheet1!C129</f>
        <v>0</v>
      </c>
      <c r="O131" s="117">
        <f>'CDM Activity'!C177</f>
        <v>359556.00117282936</v>
      </c>
      <c r="P131" s="94"/>
      <c r="Q131" s="122"/>
      <c r="R131" s="122"/>
      <c r="S131" s="97"/>
      <c r="T131" s="45"/>
      <c r="U131" s="61">
        <f t="shared" si="22"/>
        <v>8019204.316960318</v>
      </c>
      <c r="V131" s="217">
        <f t="shared" si="25"/>
        <v>-73454.143039681949</v>
      </c>
      <c r="W131" s="218">
        <f t="shared" si="26"/>
        <v>-9.0766394507747396E-3</v>
      </c>
      <c r="X131" s="218">
        <f t="shared" si="27"/>
        <v>9.0766394507747396E-3</v>
      </c>
      <c r="Y131" s="177"/>
      <c r="Z131" s="310"/>
      <c r="AJ131" s="45"/>
      <c r="AK131" s="45"/>
      <c r="AL131" s="45"/>
      <c r="AM131" s="45"/>
      <c r="AN131" s="45"/>
      <c r="AO131" s="45"/>
      <c r="AP131" s="45"/>
      <c r="AQ131" s="45"/>
      <c r="AR131" s="45"/>
      <c r="AS131" s="45"/>
    </row>
    <row r="132" spans="2:45">
      <c r="B132" s="57">
        <f t="shared" si="20"/>
        <v>42216</v>
      </c>
      <c r="C132" s="90">
        <f>[16]Sheet1!C78</f>
        <v>8969560.4600000009</v>
      </c>
      <c r="D132" s="68"/>
      <c r="E132" s="65">
        <f>[16]Sheet1!D78</f>
        <v>9244</v>
      </c>
      <c r="F132" s="92"/>
      <c r="G132" s="92"/>
      <c r="H132" s="67">
        <f t="shared" si="21"/>
        <v>8978804.4600000009</v>
      </c>
      <c r="I132" s="302"/>
      <c r="J132" s="418">
        <f>'HDD &amp; CDD'!V12</f>
        <v>9.3000000000000007</v>
      </c>
      <c r="K132" s="418">
        <f>'HDD &amp; CDD'!V30</f>
        <v>99.999999999999986</v>
      </c>
      <c r="L132" s="397">
        <f t="shared" si="18"/>
        <v>31</v>
      </c>
      <c r="M132" s="169">
        <v>0</v>
      </c>
      <c r="N132" s="397">
        <f>[17]Sheet1!C130</f>
        <v>1</v>
      </c>
      <c r="O132" s="117">
        <f>'CDM Activity'!C178</f>
        <v>357865.42289304908</v>
      </c>
      <c r="P132" s="94"/>
      <c r="Q132" s="122"/>
      <c r="R132" s="122"/>
      <c r="S132" s="97"/>
      <c r="T132" s="45"/>
      <c r="U132" s="61">
        <f t="shared" si="22"/>
        <v>9100934.2638273686</v>
      </c>
      <c r="V132" s="217">
        <f t="shared" si="25"/>
        <v>122129.80382736772</v>
      </c>
      <c r="W132" s="218">
        <f t="shared" si="26"/>
        <v>1.3602011756848942E-2</v>
      </c>
      <c r="X132" s="218">
        <f t="shared" si="27"/>
        <v>1.3602011756848942E-2</v>
      </c>
      <c r="Y132" s="177"/>
      <c r="Z132" s="310"/>
      <c r="AJ132" s="45"/>
      <c r="AK132" s="45"/>
      <c r="AL132" s="45"/>
      <c r="AM132" s="45"/>
      <c r="AN132" s="45"/>
      <c r="AO132" s="45"/>
      <c r="AP132" s="45"/>
      <c r="AQ132" s="45"/>
      <c r="AR132" s="45"/>
      <c r="AS132" s="45"/>
    </row>
    <row r="133" spans="2:45">
      <c r="B133" s="57">
        <f t="shared" si="20"/>
        <v>42247</v>
      </c>
      <c r="C133" s="90">
        <f>[16]Sheet1!C79</f>
        <v>8928792.9100000001</v>
      </c>
      <c r="D133" s="68"/>
      <c r="E133" s="65">
        <f>[16]Sheet1!D79</f>
        <v>10629</v>
      </c>
      <c r="F133" s="92"/>
      <c r="G133" s="92"/>
      <c r="H133" s="67">
        <f t="shared" si="21"/>
        <v>8939421.9100000001</v>
      </c>
      <c r="I133" s="302"/>
      <c r="J133" s="418">
        <f>'HDD &amp; CDD'!V13</f>
        <v>5.6</v>
      </c>
      <c r="K133" s="418">
        <f>'HDD &amp; CDD'!V31</f>
        <v>67.399999999999991</v>
      </c>
      <c r="L133" s="397">
        <f t="shared" si="18"/>
        <v>31</v>
      </c>
      <c r="M133" s="169">
        <v>0</v>
      </c>
      <c r="N133" s="397">
        <f>[17]Sheet1!C131</f>
        <v>1</v>
      </c>
      <c r="O133" s="117">
        <f>'CDM Activity'!C179</f>
        <v>356174.8446132688</v>
      </c>
      <c r="P133" s="94"/>
      <c r="Q133" s="122"/>
      <c r="R133" s="122"/>
      <c r="S133" s="97"/>
      <c r="T133" s="45"/>
      <c r="U133" s="61">
        <f t="shared" si="22"/>
        <v>8635690.7347424794</v>
      </c>
      <c r="V133" s="217">
        <f t="shared" si="25"/>
        <v>-303731.17525752075</v>
      </c>
      <c r="W133" s="218">
        <f t="shared" si="26"/>
        <v>-3.3976601430765307E-2</v>
      </c>
      <c r="X133" s="218">
        <f t="shared" si="27"/>
        <v>3.3976601430765307E-2</v>
      </c>
      <c r="Y133" s="177"/>
      <c r="Z133" s="310"/>
      <c r="AJ133" s="45"/>
      <c r="AK133" s="45"/>
      <c r="AL133" s="45"/>
      <c r="AM133" s="45"/>
      <c r="AN133" s="45"/>
      <c r="AO133" s="45"/>
      <c r="AP133" s="45"/>
      <c r="AQ133" s="45"/>
      <c r="AR133" s="45"/>
      <c r="AS133" s="45"/>
    </row>
    <row r="134" spans="2:45">
      <c r="B134" s="57">
        <f t="shared" si="20"/>
        <v>42277</v>
      </c>
      <c r="C134" s="90">
        <f>[16]Sheet1!C80</f>
        <v>8487585.6799999997</v>
      </c>
      <c r="D134" s="68"/>
      <c r="E134" s="65">
        <f>[16]Sheet1!D80</f>
        <v>9115</v>
      </c>
      <c r="F134" s="92"/>
      <c r="G134" s="92"/>
      <c r="H134" s="67">
        <f t="shared" si="21"/>
        <v>8496700.6799999997</v>
      </c>
      <c r="I134" s="302"/>
      <c r="J134" s="418">
        <f>'HDD &amp; CDD'!V14</f>
        <v>48.400000000000006</v>
      </c>
      <c r="K134" s="418">
        <f>'HDD &amp; CDD'!V32</f>
        <v>46.500000000000007</v>
      </c>
      <c r="L134" s="397">
        <f t="shared" si="18"/>
        <v>30</v>
      </c>
      <c r="M134" s="169">
        <v>1</v>
      </c>
      <c r="N134" s="397">
        <f>[17]Sheet1!C132</f>
        <v>1</v>
      </c>
      <c r="O134" s="117">
        <f>'CDM Activity'!C180</f>
        <v>354484.26633348851</v>
      </c>
      <c r="P134" s="94"/>
      <c r="Q134" s="122"/>
      <c r="R134" s="122"/>
      <c r="S134" s="97"/>
      <c r="T134" s="45"/>
      <c r="U134" s="61">
        <f t="shared" si="22"/>
        <v>7931287.3533165371</v>
      </c>
      <c r="V134" s="217">
        <f t="shared" si="25"/>
        <v>-565413.3266834626</v>
      </c>
      <c r="W134" s="218">
        <f t="shared" si="26"/>
        <v>-6.654504471534034E-2</v>
      </c>
      <c r="X134" s="218">
        <f t="shared" si="27"/>
        <v>6.654504471534034E-2</v>
      </c>
      <c r="Y134" s="177"/>
      <c r="Z134" s="310"/>
      <c r="AJ134" s="45"/>
      <c r="AK134" s="45"/>
      <c r="AL134" s="45"/>
      <c r="AM134" s="45"/>
      <c r="AN134" s="45"/>
      <c r="AO134" s="45"/>
      <c r="AP134" s="45"/>
      <c r="AQ134" s="45"/>
      <c r="AR134" s="45"/>
      <c r="AS134" s="45"/>
    </row>
    <row r="135" spans="2:45">
      <c r="B135" s="57">
        <f t="shared" si="20"/>
        <v>42308</v>
      </c>
      <c r="C135" s="90">
        <f>[16]Sheet1!C81</f>
        <v>8442807.8100000005</v>
      </c>
      <c r="D135" s="68"/>
      <c r="E135" s="65">
        <f>[16]Sheet1!D81</f>
        <v>7694</v>
      </c>
      <c r="F135" s="92"/>
      <c r="G135" s="92"/>
      <c r="H135" s="67">
        <f t="shared" si="21"/>
        <v>8450501.8100000005</v>
      </c>
      <c r="I135" s="302"/>
      <c r="J135" s="418">
        <f>'HDD &amp; CDD'!V15</f>
        <v>337.30000000000007</v>
      </c>
      <c r="K135" s="418">
        <f>'HDD &amp; CDD'!V33</f>
        <v>0</v>
      </c>
      <c r="L135" s="397">
        <f t="shared" ref="L135:L149" si="28">DAY(EOMONTH(B135,0))</f>
        <v>31</v>
      </c>
      <c r="M135" s="169">
        <v>1</v>
      </c>
      <c r="N135" s="397">
        <f>[17]Sheet1!C133</f>
        <v>1</v>
      </c>
      <c r="O135" s="117">
        <f>'CDM Activity'!C181</f>
        <v>352793.68805370823</v>
      </c>
      <c r="P135" s="94"/>
      <c r="Q135" s="122"/>
      <c r="R135" s="122"/>
      <c r="S135" s="97"/>
      <c r="T135" s="45"/>
      <c r="U135" s="61">
        <f t="shared" ref="U135:U149" si="29">$AB$21+J135*$AB$22+K135*$AB$23+L135*$AB$24+M135*$AB$25+N135*$AB$26+O135*$AB$27</f>
        <v>8889275.0372397937</v>
      </c>
      <c r="V135" s="217">
        <f t="shared" si="25"/>
        <v>438773.22723979317</v>
      </c>
      <c r="W135" s="218">
        <f t="shared" si="26"/>
        <v>5.192274223532687E-2</v>
      </c>
      <c r="X135" s="218">
        <f t="shared" si="27"/>
        <v>5.192274223532687E-2</v>
      </c>
      <c r="Y135" s="177"/>
      <c r="Z135" s="310"/>
      <c r="AJ135" s="45"/>
      <c r="AK135" s="45"/>
      <c r="AL135" s="45"/>
      <c r="AM135" s="45"/>
      <c r="AN135" s="45"/>
      <c r="AO135" s="45"/>
      <c r="AP135" s="45"/>
      <c r="AQ135" s="45"/>
      <c r="AR135" s="45"/>
      <c r="AS135" s="45"/>
    </row>
    <row r="136" spans="2:45">
      <c r="B136" s="57">
        <f t="shared" ref="B136:B149" si="30">EOMONTH(B135,1)</f>
        <v>42338</v>
      </c>
      <c r="C136" s="90">
        <f>[16]Sheet1!C82</f>
        <v>8788398.0199999996</v>
      </c>
      <c r="D136" s="68"/>
      <c r="E136" s="65">
        <f>[16]Sheet1!D82</f>
        <v>5620</v>
      </c>
      <c r="F136" s="92"/>
      <c r="G136" s="92"/>
      <c r="H136" s="67">
        <f t="shared" si="21"/>
        <v>8794018.0199999996</v>
      </c>
      <c r="I136" s="302"/>
      <c r="J136" s="418">
        <f>'HDD &amp; CDD'!V16</f>
        <v>429.00000000000006</v>
      </c>
      <c r="K136" s="418">
        <f>'HDD &amp; CDD'!V34</f>
        <v>0</v>
      </c>
      <c r="L136" s="397">
        <f t="shared" si="28"/>
        <v>30</v>
      </c>
      <c r="M136" s="169">
        <v>1</v>
      </c>
      <c r="N136" s="397">
        <f>[17]Sheet1!C134</f>
        <v>0</v>
      </c>
      <c r="O136" s="117">
        <f>'CDM Activity'!C182</f>
        <v>351103.10977392795</v>
      </c>
      <c r="P136" s="94"/>
      <c r="Q136" s="122"/>
      <c r="R136" s="122"/>
      <c r="S136" s="97"/>
      <c r="T136" s="45"/>
      <c r="U136" s="61">
        <f t="shared" si="29"/>
        <v>9186902.5123824999</v>
      </c>
      <c r="V136" s="217">
        <f t="shared" si="25"/>
        <v>392884.49238250032</v>
      </c>
      <c r="W136" s="218">
        <f t="shared" si="26"/>
        <v>4.467633469580954E-2</v>
      </c>
      <c r="X136" s="218">
        <f t="shared" si="27"/>
        <v>4.467633469580954E-2</v>
      </c>
      <c r="Y136" s="177"/>
      <c r="Z136" s="310"/>
      <c r="AJ136" s="45"/>
      <c r="AK136" s="45"/>
      <c r="AL136" s="45"/>
      <c r="AM136" s="45"/>
      <c r="AN136" s="45"/>
      <c r="AO136" s="45"/>
      <c r="AP136" s="45"/>
      <c r="AQ136" s="45"/>
      <c r="AR136" s="45"/>
      <c r="AS136" s="45"/>
    </row>
    <row r="137" spans="2:45">
      <c r="B137" s="57">
        <f t="shared" si="30"/>
        <v>42369</v>
      </c>
      <c r="C137" s="74">
        <f>[16]Sheet1!C83</f>
        <v>9419775.3499999996</v>
      </c>
      <c r="D137" s="82"/>
      <c r="E137" s="74">
        <f>[16]Sheet1!D83</f>
        <v>3629</v>
      </c>
      <c r="F137" s="92"/>
      <c r="G137" s="92"/>
      <c r="H137" s="74">
        <f t="shared" si="21"/>
        <v>9423404.3499999996</v>
      </c>
      <c r="I137" s="302"/>
      <c r="J137" s="375">
        <f>'HDD &amp; CDD'!V17</f>
        <v>519.90000000000009</v>
      </c>
      <c r="K137" s="375">
        <f>'HDD &amp; CDD'!V35</f>
        <v>0</v>
      </c>
      <c r="L137" s="398">
        <f t="shared" si="28"/>
        <v>31</v>
      </c>
      <c r="M137" s="118">
        <v>0</v>
      </c>
      <c r="N137" s="398">
        <f>[17]Sheet1!C135</f>
        <v>2</v>
      </c>
      <c r="O137" s="120">
        <f>'CDM Activity'!C183</f>
        <v>349412.53149414767</v>
      </c>
      <c r="P137" s="95"/>
      <c r="Q137" s="118"/>
      <c r="R137" s="118"/>
      <c r="S137" s="96"/>
      <c r="T137" s="77"/>
      <c r="U137" s="78">
        <f t="shared" si="29"/>
        <v>10008599.228551852</v>
      </c>
      <c r="V137" s="78">
        <f t="shared" si="25"/>
        <v>585194.87855185196</v>
      </c>
      <c r="W137" s="219">
        <f t="shared" si="26"/>
        <v>6.2100155826577894E-2</v>
      </c>
      <c r="X137" s="219">
        <f t="shared" si="27"/>
        <v>6.2100155826577894E-2</v>
      </c>
      <c r="Y137" s="177"/>
      <c r="Z137" s="310"/>
      <c r="AJ137" s="45"/>
      <c r="AK137" s="45"/>
      <c r="AL137" s="45"/>
      <c r="AM137" s="45"/>
      <c r="AN137" s="45"/>
      <c r="AO137" s="45"/>
      <c r="AP137" s="45"/>
      <c r="AQ137" s="45"/>
      <c r="AR137" s="45"/>
      <c r="AS137" s="45"/>
    </row>
    <row r="138" spans="2:45">
      <c r="B138" s="57">
        <f t="shared" si="30"/>
        <v>42400</v>
      </c>
      <c r="C138" s="91"/>
      <c r="D138" s="92"/>
      <c r="E138" s="92"/>
      <c r="F138" s="92"/>
      <c r="G138" s="92"/>
      <c r="H138" s="43"/>
      <c r="I138" s="302"/>
      <c r="J138" s="418">
        <f>'HDD &amp; CDD'!W6</f>
        <v>849.96</v>
      </c>
      <c r="K138" s="418">
        <f>'HDD &amp; CDD'!W24</f>
        <v>0</v>
      </c>
      <c r="L138" s="397">
        <f t="shared" si="28"/>
        <v>31</v>
      </c>
      <c r="M138" s="169">
        <v>0</v>
      </c>
      <c r="N138" s="397">
        <f>[17]Sheet1!C136</f>
        <v>1</v>
      </c>
      <c r="O138" s="117">
        <f>'CDM Activity'!C184</f>
        <v>347137.21011831553</v>
      </c>
      <c r="P138" s="93"/>
      <c r="Q138" s="116"/>
      <c r="R138" s="116"/>
      <c r="S138" s="97"/>
      <c r="T138" s="45"/>
      <c r="U138" s="61">
        <f t="shared" si="29"/>
        <v>11671175.319555338</v>
      </c>
      <c r="V138" s="79"/>
      <c r="W138" s="79"/>
      <c r="X138" s="79"/>
      <c r="Y138" s="177"/>
      <c r="Z138" s="310"/>
      <c r="AJ138" s="45"/>
      <c r="AK138" s="45"/>
      <c r="AL138" s="45"/>
      <c r="AM138" s="45"/>
      <c r="AN138" s="45"/>
      <c r="AO138" s="45"/>
      <c r="AP138" s="45"/>
      <c r="AQ138" s="45"/>
      <c r="AR138" s="45"/>
      <c r="AS138" s="45"/>
    </row>
    <row r="139" spans="2:45">
      <c r="B139" s="57">
        <f t="shared" si="30"/>
        <v>42429</v>
      </c>
      <c r="C139" s="91" t="s">
        <v>259</v>
      </c>
      <c r="D139" s="92"/>
      <c r="E139" s="92"/>
      <c r="F139" s="92"/>
      <c r="G139" s="92"/>
      <c r="H139" s="43"/>
      <c r="I139" s="302"/>
      <c r="J139" s="418">
        <f>'HDD &amp; CDD'!W7</f>
        <v>756.5</v>
      </c>
      <c r="K139" s="418">
        <f>'HDD &amp; CDD'!W25</f>
        <v>0</v>
      </c>
      <c r="L139" s="397">
        <f t="shared" si="28"/>
        <v>29</v>
      </c>
      <c r="M139" s="169">
        <v>0</v>
      </c>
      <c r="N139" s="397">
        <f>[17]Sheet1!C137</f>
        <v>1</v>
      </c>
      <c r="O139" s="117">
        <f>'CDM Activity'!C185</f>
        <v>344861.8887424834</v>
      </c>
      <c r="P139" s="94"/>
      <c r="Q139" s="122"/>
      <c r="R139" s="122"/>
      <c r="S139" s="97"/>
      <c r="T139" s="45"/>
      <c r="U139" s="61">
        <f t="shared" si="29"/>
        <v>10742396.953938095</v>
      </c>
      <c r="V139" s="79"/>
      <c r="W139" s="79"/>
      <c r="X139" s="79"/>
      <c r="Y139" s="177"/>
      <c r="Z139" s="310"/>
      <c r="AJ139" s="45"/>
      <c r="AK139" s="45"/>
      <c r="AL139" s="45"/>
      <c r="AM139" s="45"/>
      <c r="AN139" s="45"/>
      <c r="AO139" s="45"/>
      <c r="AP139" s="45"/>
      <c r="AQ139" s="45"/>
      <c r="AR139" s="45"/>
      <c r="AS139" s="45"/>
    </row>
    <row r="140" spans="2:45">
      <c r="B140" s="57">
        <f t="shared" si="30"/>
        <v>42460</v>
      </c>
      <c r="C140" s="91" t="s">
        <v>260</v>
      </c>
      <c r="D140" s="92"/>
      <c r="E140" s="92"/>
      <c r="F140" s="92"/>
      <c r="G140" s="92"/>
      <c r="H140" s="43"/>
      <c r="I140" s="302"/>
      <c r="J140" s="418">
        <f>'HDD &amp; CDD'!W8</f>
        <v>623.35</v>
      </c>
      <c r="K140" s="418">
        <f>'HDD &amp; CDD'!W26</f>
        <v>0</v>
      </c>
      <c r="L140" s="397">
        <f t="shared" si="28"/>
        <v>31</v>
      </c>
      <c r="M140" s="169">
        <v>1</v>
      </c>
      <c r="N140" s="397">
        <f>[17]Sheet1!C138</f>
        <v>2</v>
      </c>
      <c r="O140" s="117">
        <f>'CDM Activity'!C186</f>
        <v>342586.56736665126</v>
      </c>
      <c r="P140" s="94"/>
      <c r="Q140" s="122"/>
      <c r="R140" s="122"/>
      <c r="S140" s="97"/>
      <c r="T140" s="45"/>
      <c r="U140" s="61">
        <f t="shared" si="29"/>
        <v>10143838.372714179</v>
      </c>
      <c r="V140" s="79"/>
      <c r="W140" s="79"/>
      <c r="X140" s="79"/>
      <c r="Y140" s="177"/>
      <c r="Z140" s="310"/>
      <c r="AJ140" s="45"/>
      <c r="AK140" s="45"/>
      <c r="AL140" s="45"/>
      <c r="AM140" s="45"/>
      <c r="AN140" s="45"/>
      <c r="AO140" s="45"/>
      <c r="AP140" s="45"/>
      <c r="AQ140" s="45"/>
      <c r="AR140" s="45"/>
      <c r="AS140" s="45"/>
    </row>
    <row r="141" spans="2:45">
      <c r="B141" s="57">
        <f t="shared" si="30"/>
        <v>42490</v>
      </c>
      <c r="C141" s="91"/>
      <c r="D141" s="92"/>
      <c r="E141" s="92"/>
      <c r="F141" s="92"/>
      <c r="G141" s="92"/>
      <c r="H141" s="43"/>
      <c r="I141" s="302"/>
      <c r="J141" s="418">
        <f>'HDD &amp; CDD'!W9</f>
        <v>340.33</v>
      </c>
      <c r="K141" s="418">
        <f>'HDD &amp; CDD'!W27</f>
        <v>0.73</v>
      </c>
      <c r="L141" s="397">
        <f t="shared" si="28"/>
        <v>30</v>
      </c>
      <c r="M141" s="169">
        <v>1</v>
      </c>
      <c r="N141" s="397">
        <f>[17]Sheet1!C139</f>
        <v>0</v>
      </c>
      <c r="O141" s="117">
        <f>'CDM Activity'!C187</f>
        <v>340311.24599081912</v>
      </c>
      <c r="P141" s="94"/>
      <c r="Q141" s="122"/>
      <c r="R141" s="122"/>
      <c r="S141" s="97"/>
      <c r="T141" s="45"/>
      <c r="U141" s="61">
        <f t="shared" si="29"/>
        <v>8816643.0796762854</v>
      </c>
      <c r="V141" s="79"/>
      <c r="W141" s="79"/>
      <c r="X141" s="79"/>
      <c r="Y141" s="177"/>
      <c r="Z141" s="310"/>
      <c r="AJ141" s="45"/>
      <c r="AK141" s="45"/>
      <c r="AL141" s="45"/>
      <c r="AM141" s="45"/>
      <c r="AN141" s="45"/>
      <c r="AO141" s="45"/>
      <c r="AP141" s="45"/>
      <c r="AQ141" s="45"/>
      <c r="AR141" s="45"/>
      <c r="AS141" s="45"/>
    </row>
    <row r="142" spans="2:45">
      <c r="B142" s="57">
        <f t="shared" si="30"/>
        <v>42521</v>
      </c>
      <c r="C142" s="91"/>
      <c r="D142" s="92"/>
      <c r="E142" s="92"/>
      <c r="F142" s="92"/>
      <c r="G142" s="92"/>
      <c r="H142" s="43"/>
      <c r="I142" s="302"/>
      <c r="J142" s="418">
        <f>'HDD &amp; CDD'!W10</f>
        <v>135.26999999999998</v>
      </c>
      <c r="K142" s="418">
        <f>'HDD &amp; CDD'!W28</f>
        <v>16.27</v>
      </c>
      <c r="L142" s="397">
        <f t="shared" si="28"/>
        <v>31</v>
      </c>
      <c r="M142" s="169">
        <v>1</v>
      </c>
      <c r="N142" s="397">
        <f>[17]Sheet1!C140</f>
        <v>1</v>
      </c>
      <c r="O142" s="117">
        <f>'CDM Activity'!C188</f>
        <v>338035.92461498699</v>
      </c>
      <c r="P142" s="94"/>
      <c r="Q142" s="122"/>
      <c r="R142" s="122"/>
      <c r="S142" s="97"/>
      <c r="T142" s="45"/>
      <c r="U142" s="61">
        <f t="shared" si="29"/>
        <v>8217955.0509180687</v>
      </c>
      <c r="V142" s="79"/>
      <c r="W142" s="79"/>
      <c r="X142" s="79"/>
      <c r="Y142" s="177"/>
      <c r="Z142" s="310"/>
      <c r="AJ142" s="45"/>
      <c r="AK142" s="45"/>
      <c r="AL142" s="45"/>
      <c r="AM142" s="45"/>
      <c r="AN142" s="45"/>
      <c r="AO142" s="45"/>
      <c r="AP142" s="45"/>
      <c r="AQ142" s="45"/>
      <c r="AR142" s="45"/>
      <c r="AS142" s="45"/>
    </row>
    <row r="143" spans="2:45">
      <c r="B143" s="57">
        <f t="shared" si="30"/>
        <v>42551</v>
      </c>
      <c r="C143" s="91"/>
      <c r="D143" s="92"/>
      <c r="E143" s="92"/>
      <c r="F143" s="92"/>
      <c r="G143" s="92"/>
      <c r="H143" s="43"/>
      <c r="I143" s="302"/>
      <c r="J143" s="418">
        <f>'HDD &amp; CDD'!W11</f>
        <v>34.57</v>
      </c>
      <c r="K143" s="418">
        <f>'HDD &amp; CDD'!W29</f>
        <v>49.8</v>
      </c>
      <c r="L143" s="397">
        <f t="shared" si="28"/>
        <v>30</v>
      </c>
      <c r="M143" s="169">
        <v>0</v>
      </c>
      <c r="N143" s="397">
        <f>[17]Sheet1!C141</f>
        <v>0</v>
      </c>
      <c r="O143" s="117">
        <f>'CDM Activity'!C189</f>
        <v>335760.60323915485</v>
      </c>
      <c r="P143" s="94"/>
      <c r="Q143" s="122"/>
      <c r="R143" s="122"/>
      <c r="S143" s="97"/>
      <c r="T143" s="45"/>
      <c r="U143" s="61">
        <f t="shared" si="29"/>
        <v>8454221.9006821383</v>
      </c>
      <c r="V143" s="79"/>
      <c r="W143" s="79"/>
      <c r="X143" s="79"/>
      <c r="Y143" s="177"/>
      <c r="Z143" s="310"/>
      <c r="AJ143" s="45"/>
      <c r="AK143" s="45"/>
      <c r="AL143" s="45"/>
      <c r="AM143" s="45"/>
      <c r="AN143" s="45"/>
      <c r="AO143" s="45"/>
      <c r="AP143" s="45"/>
      <c r="AQ143" s="45"/>
      <c r="AR143" s="45"/>
      <c r="AS143" s="45"/>
    </row>
    <row r="144" spans="2:45">
      <c r="B144" s="57">
        <f t="shared" si="30"/>
        <v>42582</v>
      </c>
      <c r="C144" s="91"/>
      <c r="D144" s="92"/>
      <c r="E144" s="92"/>
      <c r="F144" s="92"/>
      <c r="G144" s="92"/>
      <c r="H144" s="43"/>
      <c r="I144" s="302"/>
      <c r="J144" s="418">
        <f>'HDD &amp; CDD'!W12</f>
        <v>5.58</v>
      </c>
      <c r="K144" s="418">
        <f>'HDD &amp; CDD'!W30</f>
        <v>102.57000000000001</v>
      </c>
      <c r="L144" s="397">
        <f t="shared" si="28"/>
        <v>31</v>
      </c>
      <c r="M144" s="169">
        <v>0</v>
      </c>
      <c r="N144" s="397">
        <f>[17]Sheet1!C142</f>
        <v>1</v>
      </c>
      <c r="O144" s="117">
        <f>'CDM Activity'!C190</f>
        <v>333485.28186332271</v>
      </c>
      <c r="P144" s="94"/>
      <c r="Q144" s="122"/>
      <c r="R144" s="122"/>
      <c r="S144" s="97"/>
      <c r="T144" s="45"/>
      <c r="U144" s="61">
        <f t="shared" si="29"/>
        <v>9195640.7115088478</v>
      </c>
      <c r="V144" s="79"/>
      <c r="W144" s="79"/>
      <c r="X144" s="79"/>
      <c r="Y144" s="177"/>
      <c r="Z144" s="310"/>
      <c r="AJ144" s="45"/>
      <c r="AK144" s="45"/>
      <c r="AL144" s="45"/>
      <c r="AM144" s="45"/>
      <c r="AN144" s="45"/>
      <c r="AO144" s="45"/>
      <c r="AP144" s="45"/>
      <c r="AQ144" s="45"/>
      <c r="AR144" s="45"/>
      <c r="AS144" s="45"/>
    </row>
    <row r="145" spans="2:45">
      <c r="B145" s="57">
        <f t="shared" si="30"/>
        <v>42613</v>
      </c>
      <c r="C145" s="91"/>
      <c r="D145" s="92"/>
      <c r="E145" s="92"/>
      <c r="F145" s="92"/>
      <c r="G145" s="92"/>
      <c r="H145" s="43"/>
      <c r="I145" s="302"/>
      <c r="J145" s="418">
        <f>'HDD &amp; CDD'!W13</f>
        <v>14.460000000000003</v>
      </c>
      <c r="K145" s="418">
        <f>'HDD &amp; CDD'!W31</f>
        <v>73.23</v>
      </c>
      <c r="L145" s="397">
        <f t="shared" si="28"/>
        <v>31</v>
      </c>
      <c r="M145" s="169">
        <v>0</v>
      </c>
      <c r="N145" s="397">
        <f>[17]Sheet1!C143</f>
        <v>1</v>
      </c>
      <c r="O145" s="117">
        <f>'CDM Activity'!C191</f>
        <v>331209.96048749058</v>
      </c>
      <c r="P145" s="94"/>
      <c r="Q145" s="122"/>
      <c r="R145" s="122"/>
      <c r="S145" s="97"/>
      <c r="T145" s="45"/>
      <c r="U145" s="61">
        <f t="shared" si="29"/>
        <v>8836319.0646824781</v>
      </c>
      <c r="V145" s="79"/>
      <c r="W145" s="79"/>
      <c r="X145" s="79"/>
      <c r="Y145" s="177"/>
      <c r="Z145" s="310"/>
      <c r="AJ145" s="45"/>
      <c r="AK145" s="45"/>
      <c r="AL145" s="45"/>
      <c r="AM145" s="45"/>
      <c r="AN145" s="45"/>
      <c r="AO145" s="45"/>
      <c r="AP145" s="45"/>
      <c r="AQ145" s="45"/>
      <c r="AR145" s="45"/>
      <c r="AS145" s="45"/>
    </row>
    <row r="146" spans="2:45">
      <c r="B146" s="57">
        <f t="shared" si="30"/>
        <v>42643</v>
      </c>
      <c r="C146" s="91"/>
      <c r="D146" s="92"/>
      <c r="E146" s="92"/>
      <c r="F146" s="92"/>
      <c r="G146" s="92"/>
      <c r="H146" s="43"/>
      <c r="I146" s="302"/>
      <c r="J146" s="418">
        <f>'HDD &amp; CDD'!W14</f>
        <v>98.549999999999983</v>
      </c>
      <c r="K146" s="418">
        <f>'HDD &amp; CDD'!W32</f>
        <v>21.889999999999997</v>
      </c>
      <c r="L146" s="397">
        <f t="shared" si="28"/>
        <v>30</v>
      </c>
      <c r="M146" s="169">
        <v>1</v>
      </c>
      <c r="N146" s="397">
        <f>[17]Sheet1!C144</f>
        <v>1</v>
      </c>
      <c r="O146" s="117">
        <f>'CDM Activity'!C192</f>
        <v>328934.63911165844</v>
      </c>
      <c r="P146" s="94"/>
      <c r="Q146" s="122"/>
      <c r="R146" s="122"/>
      <c r="S146" s="97"/>
      <c r="T146" s="45"/>
      <c r="U146" s="61">
        <f t="shared" si="29"/>
        <v>7903403.3014254021</v>
      </c>
      <c r="V146" s="79"/>
      <c r="W146" s="79"/>
      <c r="X146" s="79"/>
      <c r="Y146" s="177"/>
      <c r="Z146" s="310"/>
      <c r="AJ146" s="45"/>
      <c r="AK146" s="45"/>
      <c r="AL146" s="45"/>
      <c r="AM146" s="45"/>
      <c r="AN146" s="45"/>
      <c r="AO146" s="45"/>
      <c r="AP146" s="45"/>
      <c r="AQ146" s="45"/>
      <c r="AR146" s="45"/>
      <c r="AS146" s="45"/>
    </row>
    <row r="147" spans="2:45">
      <c r="B147" s="57">
        <f t="shared" si="30"/>
        <v>42674</v>
      </c>
      <c r="C147" s="91"/>
      <c r="D147" s="92"/>
      <c r="E147" s="92"/>
      <c r="F147" s="92"/>
      <c r="G147" s="92"/>
      <c r="H147" s="43"/>
      <c r="I147" s="302"/>
      <c r="J147" s="418">
        <f>'HDD &amp; CDD'!W15</f>
        <v>293.08595782569017</v>
      </c>
      <c r="K147" s="418">
        <f>'HDD &amp; CDD'!W33</f>
        <v>0.71</v>
      </c>
      <c r="L147" s="397">
        <f t="shared" si="28"/>
        <v>31</v>
      </c>
      <c r="M147" s="169">
        <v>1</v>
      </c>
      <c r="N147" s="397">
        <f>[17]Sheet1!C145</f>
        <v>1</v>
      </c>
      <c r="O147" s="117">
        <f>'CDM Activity'!C193</f>
        <v>326659.31773582631</v>
      </c>
      <c r="P147" s="94"/>
      <c r="Q147" s="122"/>
      <c r="R147" s="122"/>
      <c r="S147" s="97"/>
      <c r="T147" s="45"/>
      <c r="U147" s="61">
        <f t="shared" si="29"/>
        <v>8774454.0406132601</v>
      </c>
      <c r="V147" s="79"/>
      <c r="W147" s="79"/>
      <c r="X147" s="79"/>
      <c r="Y147" s="177"/>
      <c r="Z147" s="310"/>
      <c r="AJ147" s="45"/>
      <c r="AK147" s="45"/>
      <c r="AL147" s="45"/>
      <c r="AM147" s="45"/>
      <c r="AN147" s="45"/>
      <c r="AO147" s="45"/>
      <c r="AP147" s="45"/>
      <c r="AQ147" s="45"/>
      <c r="AR147" s="45"/>
      <c r="AS147" s="45"/>
    </row>
    <row r="148" spans="2:45">
      <c r="B148" s="57">
        <f t="shared" si="30"/>
        <v>42704</v>
      </c>
      <c r="C148" s="98"/>
      <c r="D148" s="99"/>
      <c r="E148" s="99"/>
      <c r="F148" s="99"/>
      <c r="G148" s="99"/>
      <c r="J148" s="418">
        <f>'HDD &amp; CDD'!W16</f>
        <v>478.11</v>
      </c>
      <c r="K148" s="418">
        <f>'HDD &amp; CDD'!W34</f>
        <v>0</v>
      </c>
      <c r="L148" s="397">
        <f t="shared" si="28"/>
        <v>30</v>
      </c>
      <c r="M148" s="169">
        <v>1</v>
      </c>
      <c r="N148" s="397">
        <f>[17]Sheet1!C146</f>
        <v>0</v>
      </c>
      <c r="O148" s="117">
        <f>'CDM Activity'!C194</f>
        <v>324383.99635999417</v>
      </c>
      <c r="P148" s="94"/>
      <c r="Q148" s="122"/>
      <c r="R148" s="122"/>
      <c r="S148" s="97"/>
      <c r="U148" s="61">
        <f t="shared" si="29"/>
        <v>9499987.8917645421</v>
      </c>
      <c r="V148" s="100"/>
      <c r="W148" s="100"/>
      <c r="X148" s="100"/>
      <c r="Y148" s="178"/>
      <c r="Z148" s="310"/>
      <c r="AJ148" s="45"/>
      <c r="AK148" s="45"/>
      <c r="AL148" s="45"/>
      <c r="AM148" s="45"/>
      <c r="AN148" s="45"/>
      <c r="AO148" s="45"/>
      <c r="AP148" s="45"/>
      <c r="AQ148" s="45"/>
      <c r="AR148" s="45"/>
      <c r="AS148" s="45"/>
    </row>
    <row r="149" spans="2:45">
      <c r="B149" s="57">
        <f t="shared" si="30"/>
        <v>42735</v>
      </c>
      <c r="C149" s="98"/>
      <c r="D149" s="99"/>
      <c r="E149" s="99"/>
      <c r="F149" s="99"/>
      <c r="G149" s="99"/>
      <c r="J149" s="119">
        <f>'HDD &amp; CDD'!W17</f>
        <v>715.1</v>
      </c>
      <c r="K149" s="119">
        <f>'HDD &amp; CDD'!W35</f>
        <v>0</v>
      </c>
      <c r="L149" s="398">
        <f t="shared" si="28"/>
        <v>31</v>
      </c>
      <c r="M149" s="118">
        <v>0</v>
      </c>
      <c r="N149" s="398">
        <f>[17]Sheet1!C147</f>
        <v>2</v>
      </c>
      <c r="O149" s="120">
        <f>'CDM Activity'!C195</f>
        <v>322108.67498416203</v>
      </c>
      <c r="P149" s="95"/>
      <c r="Q149" s="118"/>
      <c r="R149" s="118"/>
      <c r="S149" s="96"/>
      <c r="T149" s="170"/>
      <c r="U149" s="78">
        <f t="shared" si="29"/>
        <v>11005949.223424967</v>
      </c>
      <c r="V149" s="171"/>
      <c r="W149" s="171"/>
      <c r="X149" s="171"/>
      <c r="Y149" s="178"/>
      <c r="Z149" s="310"/>
      <c r="AJ149" s="45"/>
      <c r="AK149" s="45"/>
      <c r="AL149" s="45"/>
      <c r="AM149" s="45"/>
      <c r="AN149" s="45"/>
      <c r="AO149" s="45"/>
      <c r="AP149" s="45"/>
      <c r="AQ149" s="45"/>
      <c r="AR149" s="45"/>
      <c r="AS149" s="45"/>
    </row>
    <row r="150" spans="2:45">
      <c r="B150" s="101"/>
      <c r="C150" s="98"/>
      <c r="D150" s="99"/>
      <c r="E150" s="99"/>
      <c r="F150" s="99"/>
      <c r="G150" s="99"/>
      <c r="V150" s="89">
        <f>SUM(V6:V149)</f>
        <v>2811.7231515171006</v>
      </c>
      <c r="X150" s="220">
        <f>AVERAGE(X6:X125)</f>
        <v>2.0948361884006214E-2</v>
      </c>
      <c r="AJ150" s="45"/>
      <c r="AK150" s="45"/>
      <c r="AL150" s="45"/>
      <c r="AM150" s="45"/>
      <c r="AN150" s="45"/>
      <c r="AO150" s="45"/>
      <c r="AP150" s="45"/>
      <c r="AQ150" s="45"/>
      <c r="AR150" s="45"/>
      <c r="AS150" s="45"/>
    </row>
    <row r="151" spans="2:45">
      <c r="H151" s="89">
        <f>SUM(H6:H150)</f>
        <v>1315678771.95</v>
      </c>
      <c r="I151" s="307"/>
      <c r="J151" s="89"/>
      <c r="K151" s="89"/>
      <c r="L151" s="89"/>
      <c r="M151" s="89"/>
      <c r="N151" s="89"/>
      <c r="O151" s="89"/>
      <c r="P151" s="89"/>
      <c r="Q151" s="89"/>
      <c r="R151" s="89"/>
      <c r="S151" s="89"/>
      <c r="T151" s="89"/>
      <c r="U151" s="89">
        <f>SUM(U6:U150)</f>
        <v>1428943568.5840542</v>
      </c>
      <c r="V151" s="89"/>
      <c r="W151" s="89"/>
      <c r="X151" s="89"/>
      <c r="AJ151" s="45"/>
      <c r="AK151" s="45"/>
      <c r="AL151" s="45"/>
      <c r="AM151" s="45"/>
      <c r="AN151" s="45"/>
      <c r="AO151" s="45"/>
      <c r="AP151" s="45"/>
      <c r="AQ151" s="45"/>
      <c r="AR151" s="45"/>
      <c r="AS151" s="45"/>
    </row>
    <row r="152" spans="2:45">
      <c r="M152" s="378" t="s">
        <v>214</v>
      </c>
      <c r="AJ152" s="45"/>
      <c r="AK152" s="45"/>
      <c r="AL152" s="45"/>
      <c r="AM152" s="45"/>
      <c r="AN152" s="45"/>
      <c r="AO152" s="45"/>
      <c r="AP152" s="45"/>
      <c r="AQ152" s="45"/>
      <c r="AR152" s="45"/>
      <c r="AS152" s="45"/>
    </row>
    <row r="153" spans="2:45">
      <c r="B153" s="57">
        <f t="shared" ref="B153:B164" si="31">B138</f>
        <v>42400</v>
      </c>
      <c r="E153" s="102"/>
      <c r="J153" s="380">
        <f>'HDD &amp; CDD'!X6</f>
        <v>872.09315789473703</v>
      </c>
      <c r="K153" s="380">
        <f>'HDD &amp; CDD'!X24</f>
        <v>0</v>
      </c>
      <c r="L153" s="458">
        <f t="shared" ref="L153:O164" si="32">L138</f>
        <v>31</v>
      </c>
      <c r="M153" s="376">
        <f t="shared" si="32"/>
        <v>0</v>
      </c>
      <c r="N153" s="376">
        <f t="shared" si="32"/>
        <v>1</v>
      </c>
      <c r="O153" s="377">
        <f t="shared" si="32"/>
        <v>347137.21011831553</v>
      </c>
      <c r="U153" s="61">
        <f>$AB$21+J153*$AB$22+K153*$AB$23+L153*$AB$24+M153*$AB$25+N153*$AB$26+O153*$AB$27</f>
        <v>11774566.416798018</v>
      </c>
      <c r="AJ153" s="45"/>
      <c r="AK153" s="45"/>
      <c r="AL153" s="45"/>
      <c r="AM153" s="45"/>
      <c r="AN153" s="45"/>
      <c r="AO153" s="45"/>
      <c r="AP153" s="45"/>
      <c r="AQ153" s="45"/>
      <c r="AR153" s="45"/>
      <c r="AS153" s="45"/>
    </row>
    <row r="154" spans="2:45">
      <c r="B154" s="57">
        <f t="shared" si="31"/>
        <v>42429</v>
      </c>
      <c r="E154" s="102"/>
      <c r="J154" s="380">
        <f>'HDD &amp; CDD'!X7</f>
        <v>783.32578947368529</v>
      </c>
      <c r="K154" s="380">
        <f>'HDD &amp; CDD'!X25</f>
        <v>0</v>
      </c>
      <c r="L154" s="458">
        <f t="shared" si="32"/>
        <v>29</v>
      </c>
      <c r="M154" s="376">
        <f t="shared" si="32"/>
        <v>0</v>
      </c>
      <c r="N154" s="376">
        <f t="shared" si="32"/>
        <v>1</v>
      </c>
      <c r="O154" s="377">
        <f t="shared" si="32"/>
        <v>344861.8887424834</v>
      </c>
      <c r="S154" s="38">
        <v>1</v>
      </c>
      <c r="U154" s="61">
        <f t="shared" ref="U154:U164" si="33">$AB$21+J154*$AB$22+K154*$AB$23+L154*$AB$24+M154*$AB$25+N154*$AB$26+O154*$AB$27</f>
        <v>10867708.842159202</v>
      </c>
      <c r="AJ154" s="45"/>
      <c r="AK154" s="45"/>
      <c r="AL154" s="45"/>
      <c r="AM154" s="45"/>
      <c r="AN154" s="45"/>
      <c r="AO154" s="45"/>
      <c r="AP154" s="45"/>
      <c r="AQ154" s="45"/>
      <c r="AR154" s="45"/>
      <c r="AS154" s="45"/>
    </row>
    <row r="155" spans="2:45">
      <c r="B155" s="57">
        <f t="shared" si="31"/>
        <v>42460</v>
      </c>
      <c r="E155" s="102"/>
      <c r="J155" s="380">
        <f>'HDD &amp; CDD'!X8</f>
        <v>629.83105263157893</v>
      </c>
      <c r="K155" s="380">
        <f>'HDD &amp; CDD'!X26</f>
        <v>0</v>
      </c>
      <c r="L155" s="458">
        <f t="shared" si="32"/>
        <v>31</v>
      </c>
      <c r="M155" s="376">
        <f t="shared" si="32"/>
        <v>1</v>
      </c>
      <c r="N155" s="376">
        <f t="shared" si="32"/>
        <v>2</v>
      </c>
      <c r="O155" s="377">
        <f t="shared" si="32"/>
        <v>342586.56736665126</v>
      </c>
      <c r="S155" s="38">
        <v>0</v>
      </c>
      <c r="U155" s="61">
        <f t="shared" si="33"/>
        <v>10174113.453480029</v>
      </c>
    </row>
    <row r="156" spans="2:45">
      <c r="B156" s="57">
        <f t="shared" si="31"/>
        <v>42490</v>
      </c>
      <c r="E156" s="102"/>
      <c r="J156" s="380">
        <f>'HDD &amp; CDD'!X9</f>
        <v>340.60052631578992</v>
      </c>
      <c r="K156" s="380">
        <f>'HDD &amp; CDD'!X27</f>
        <v>0.94105263157894736</v>
      </c>
      <c r="L156" s="458">
        <f t="shared" si="32"/>
        <v>30</v>
      </c>
      <c r="M156" s="376">
        <f t="shared" si="32"/>
        <v>1</v>
      </c>
      <c r="N156" s="376">
        <f t="shared" si="32"/>
        <v>0</v>
      </c>
      <c r="O156" s="377">
        <f t="shared" si="32"/>
        <v>340311.24599081912</v>
      </c>
      <c r="S156" s="38">
        <v>1</v>
      </c>
      <c r="U156" s="61">
        <f t="shared" si="33"/>
        <v>8820841.1650672816</v>
      </c>
    </row>
    <row r="157" spans="2:45">
      <c r="B157" s="57">
        <f t="shared" si="31"/>
        <v>42521</v>
      </c>
      <c r="E157" s="102"/>
      <c r="J157" s="380">
        <f>'HDD &amp; CDD'!X10</f>
        <v>125.29631578947419</v>
      </c>
      <c r="K157" s="380">
        <f>'HDD &amp; CDD'!X28</f>
        <v>17.31894736842105</v>
      </c>
      <c r="L157" s="458">
        <f t="shared" si="32"/>
        <v>31</v>
      </c>
      <c r="M157" s="376">
        <f t="shared" si="32"/>
        <v>1</v>
      </c>
      <c r="N157" s="376">
        <f t="shared" si="32"/>
        <v>1</v>
      </c>
      <c r="O157" s="377">
        <f t="shared" si="32"/>
        <v>338035.92461498699</v>
      </c>
      <c r="S157" s="38">
        <v>1</v>
      </c>
      <c r="U157" s="61">
        <f t="shared" si="33"/>
        <v>8185948.8033755887</v>
      </c>
    </row>
    <row r="158" spans="2:45">
      <c r="B158" s="57">
        <f t="shared" si="31"/>
        <v>42551</v>
      </c>
      <c r="E158" s="102"/>
      <c r="J158" s="380">
        <f>'HDD &amp; CDD'!X11</f>
        <v>38.073157894736937</v>
      </c>
      <c r="K158" s="380">
        <f>'HDD &amp; CDD'!X29</f>
        <v>42.206842105263149</v>
      </c>
      <c r="L158" s="458">
        <f t="shared" si="32"/>
        <v>30</v>
      </c>
      <c r="M158" s="376">
        <f t="shared" si="32"/>
        <v>0</v>
      </c>
      <c r="N158" s="376">
        <f t="shared" si="32"/>
        <v>0</v>
      </c>
      <c r="O158" s="377">
        <f t="shared" si="32"/>
        <v>335760.60323915485</v>
      </c>
      <c r="S158" s="38">
        <v>1</v>
      </c>
      <c r="U158" s="61">
        <f t="shared" si="33"/>
        <v>8365014.8168474715</v>
      </c>
    </row>
    <row r="159" spans="2:45">
      <c r="B159" s="57">
        <f t="shared" si="31"/>
        <v>42582</v>
      </c>
      <c r="E159" s="102"/>
      <c r="J159" s="380">
        <f>'HDD &amp; CDD'!X12</f>
        <v>5.3968421052631612</v>
      </c>
      <c r="K159" s="380">
        <f>'HDD &amp; CDD'!X30</f>
        <v>109.42263157894718</v>
      </c>
      <c r="L159" s="458">
        <f t="shared" si="32"/>
        <v>31</v>
      </c>
      <c r="M159" s="376">
        <f t="shared" si="32"/>
        <v>0</v>
      </c>
      <c r="N159" s="376">
        <f t="shared" si="32"/>
        <v>1</v>
      </c>
      <c r="O159" s="377">
        <f t="shared" si="32"/>
        <v>333485.28186332271</v>
      </c>
      <c r="S159" s="38">
        <v>1</v>
      </c>
      <c r="U159" s="61">
        <f t="shared" si="33"/>
        <v>9290060.6762050353</v>
      </c>
    </row>
    <row r="160" spans="2:45">
      <c r="B160" s="57">
        <f t="shared" si="31"/>
        <v>42613</v>
      </c>
      <c r="E160" s="102"/>
      <c r="J160" s="380">
        <f>'HDD &amp; CDD'!X13</f>
        <v>13.854736842105266</v>
      </c>
      <c r="K160" s="380">
        <f>'HDD &amp; CDD'!X31</f>
        <v>75.163684210526412</v>
      </c>
      <c r="L160" s="458">
        <f t="shared" si="32"/>
        <v>31</v>
      </c>
      <c r="M160" s="376">
        <f t="shared" si="32"/>
        <v>0</v>
      </c>
      <c r="N160" s="376">
        <f t="shared" si="32"/>
        <v>1</v>
      </c>
      <c r="O160" s="377">
        <f t="shared" si="32"/>
        <v>331209.96048749058</v>
      </c>
      <c r="S160" s="38">
        <v>0</v>
      </c>
      <c r="U160" s="61">
        <f t="shared" si="33"/>
        <v>8860376.6617244631</v>
      </c>
    </row>
    <row r="161" spans="2:63">
      <c r="B161" s="57">
        <f t="shared" si="31"/>
        <v>42643</v>
      </c>
      <c r="E161" s="102"/>
      <c r="J161" s="380">
        <f>'HDD &amp; CDD'!X14</f>
        <v>95.356315789473797</v>
      </c>
      <c r="K161" s="380">
        <f>'HDD &amp; CDD'!X32</f>
        <v>24.180526315789479</v>
      </c>
      <c r="L161" s="458">
        <f t="shared" si="32"/>
        <v>30</v>
      </c>
      <c r="M161" s="376">
        <f t="shared" si="32"/>
        <v>1</v>
      </c>
      <c r="N161" s="376">
        <f t="shared" si="32"/>
        <v>1</v>
      </c>
      <c r="O161" s="377">
        <f t="shared" si="32"/>
        <v>328934.63911165844</v>
      </c>
      <c r="S161" s="38">
        <v>2</v>
      </c>
      <c r="U161" s="61">
        <f t="shared" si="33"/>
        <v>7920330.9051868515</v>
      </c>
    </row>
    <row r="162" spans="2:63">
      <c r="B162" s="57">
        <f t="shared" si="31"/>
        <v>42674</v>
      </c>
      <c r="E162" s="102"/>
      <c r="J162" s="380">
        <f>'HDD &amp; CDD'!X15</f>
        <v>283.99593562868495</v>
      </c>
      <c r="K162" s="380">
        <f>'HDD &amp; CDD'!X33</f>
        <v>1.2684210526315809</v>
      </c>
      <c r="L162" s="458">
        <f t="shared" si="32"/>
        <v>31</v>
      </c>
      <c r="M162" s="376">
        <f t="shared" si="32"/>
        <v>1</v>
      </c>
      <c r="N162" s="376">
        <f t="shared" si="32"/>
        <v>1</v>
      </c>
      <c r="O162" s="377">
        <f t="shared" si="32"/>
        <v>326659.31773582631</v>
      </c>
      <c r="U162" s="61">
        <f t="shared" si="33"/>
        <v>8739755.6304851584</v>
      </c>
      <c r="AZ162" s="36"/>
    </row>
    <row r="163" spans="2:63">
      <c r="B163" s="57">
        <f t="shared" si="31"/>
        <v>42704</v>
      </c>
      <c r="E163" s="102"/>
      <c r="J163" s="380">
        <f>'HDD &amp; CDD'!X16</f>
        <v>473.58526315789436</v>
      </c>
      <c r="K163" s="380">
        <f>'HDD &amp; CDD'!X34</f>
        <v>0</v>
      </c>
      <c r="L163" s="458">
        <f t="shared" si="32"/>
        <v>30</v>
      </c>
      <c r="M163" s="376">
        <f t="shared" si="32"/>
        <v>1</v>
      </c>
      <c r="N163" s="376">
        <f t="shared" si="32"/>
        <v>0</v>
      </c>
      <c r="O163" s="377">
        <f t="shared" si="32"/>
        <v>324383.99635999417</v>
      </c>
      <c r="U163" s="61">
        <f t="shared" si="33"/>
        <v>9478851.391086936</v>
      </c>
      <c r="AY163" s="36"/>
      <c r="AZ163" s="36"/>
      <c r="BA163" s="36"/>
      <c r="BB163" s="36"/>
      <c r="BC163" s="36"/>
      <c r="BD163" s="36"/>
      <c r="BE163" s="36"/>
      <c r="BF163" s="36"/>
      <c r="BG163" s="36"/>
      <c r="BH163" s="36"/>
      <c r="BI163" s="36"/>
      <c r="BJ163" s="36"/>
      <c r="BK163" s="36"/>
    </row>
    <row r="164" spans="2:63" s="36" customFormat="1">
      <c r="B164" s="57">
        <f t="shared" si="31"/>
        <v>42735</v>
      </c>
      <c r="C164" s="37"/>
      <c r="E164" s="102"/>
      <c r="I164" s="102"/>
      <c r="J164" s="380">
        <f>'HDD &amp; CDD'!X17</f>
        <v>715.94894736842127</v>
      </c>
      <c r="K164" s="380">
        <f>'HDD &amp; CDD'!X35</f>
        <v>0</v>
      </c>
      <c r="L164" s="458">
        <f t="shared" si="32"/>
        <v>31</v>
      </c>
      <c r="M164" s="376">
        <f t="shared" si="32"/>
        <v>0</v>
      </c>
      <c r="N164" s="376">
        <f t="shared" si="32"/>
        <v>2</v>
      </c>
      <c r="O164" s="377">
        <f t="shared" si="32"/>
        <v>322108.67498416203</v>
      </c>
      <c r="P164" s="38"/>
      <c r="Q164" s="38"/>
      <c r="R164" s="38"/>
      <c r="S164" s="38"/>
      <c r="T164" s="39"/>
      <c r="U164" s="61">
        <f t="shared" si="33"/>
        <v>11009914.929554198</v>
      </c>
      <c r="V164" s="39"/>
      <c r="W164" s="39"/>
      <c r="X164" s="39"/>
      <c r="Y164" s="17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row>
    <row r="165" spans="2:63" s="36" customFormat="1" ht="14.25">
      <c r="B165" s="105"/>
      <c r="C165" s="106"/>
      <c r="D165" s="107"/>
      <c r="E165" s="102"/>
      <c r="I165" s="102"/>
      <c r="J165" s="38"/>
      <c r="K165" s="38"/>
      <c r="L165" s="38"/>
      <c r="M165" s="38"/>
      <c r="N165" s="38"/>
      <c r="O165" s="38"/>
      <c r="P165" s="38"/>
      <c r="Q165" s="38"/>
      <c r="R165" s="38"/>
      <c r="S165" s="38"/>
      <c r="T165" s="39"/>
      <c r="V165" s="39"/>
      <c r="W165" s="39"/>
      <c r="X165" s="39"/>
      <c r="Y165" s="17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row>
    <row r="166" spans="2:63" s="36" customFormat="1" ht="14.25">
      <c r="B166" s="105"/>
      <c r="C166" s="106"/>
      <c r="D166" s="107"/>
      <c r="E166" s="102"/>
      <c r="I166" s="102"/>
      <c r="J166" s="459"/>
      <c r="K166" s="38"/>
      <c r="L166" s="38"/>
      <c r="M166" s="38"/>
      <c r="N166" s="38"/>
      <c r="P166" s="38"/>
      <c r="Q166" s="38"/>
      <c r="R166" s="38"/>
      <c r="S166" s="38"/>
      <c r="T166" s="39"/>
      <c r="U166" s="379">
        <f>SUM(U153:U165)</f>
        <v>113487483.69197023</v>
      </c>
      <c r="V166" s="39"/>
      <c r="W166" s="39"/>
      <c r="X166" s="39"/>
      <c r="Y166" s="17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row>
    <row r="167" spans="2:63" s="36" customFormat="1" ht="14.25">
      <c r="B167" s="105"/>
      <c r="C167" s="106"/>
      <c r="D167" s="107"/>
      <c r="E167" s="102"/>
      <c r="I167" s="102"/>
      <c r="J167" s="459"/>
      <c r="K167" s="38"/>
      <c r="L167" s="38"/>
      <c r="M167" s="38"/>
      <c r="N167" s="38"/>
      <c r="O167" s="38"/>
      <c r="P167" s="38"/>
      <c r="Q167" s="38"/>
      <c r="R167" s="38"/>
      <c r="S167" s="38"/>
      <c r="T167" s="39"/>
      <c r="V167" s="39"/>
      <c r="W167" s="39"/>
      <c r="X167" s="39"/>
      <c r="Y167" s="17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Z167" s="39"/>
    </row>
    <row r="168" spans="2:63" s="36" customFormat="1">
      <c r="B168" s="104"/>
      <c r="C168" s="103"/>
      <c r="D168" s="104"/>
      <c r="E168" s="102"/>
      <c r="I168" s="102"/>
      <c r="J168" s="38"/>
      <c r="K168" s="38"/>
      <c r="L168" s="38"/>
      <c r="M168" s="38"/>
      <c r="N168" s="38"/>
      <c r="O168" s="38"/>
      <c r="P168" s="38"/>
      <c r="Q168" s="38"/>
      <c r="R168" s="38"/>
      <c r="S168" s="38"/>
      <c r="T168" s="39"/>
      <c r="V168" s="39"/>
      <c r="W168" s="39"/>
      <c r="X168" s="39"/>
      <c r="Y168" s="17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Y168" s="39"/>
      <c r="AZ168" s="39"/>
      <c r="BA168" s="39"/>
      <c r="BB168" s="39"/>
      <c r="BC168" s="39"/>
      <c r="BD168" s="39"/>
      <c r="BE168" s="39"/>
      <c r="BF168" s="39"/>
      <c r="BG168" s="39"/>
      <c r="BH168" s="39"/>
      <c r="BI168" s="39"/>
      <c r="BJ168" s="39"/>
      <c r="BK168" s="39"/>
    </row>
    <row r="169" spans="2:63">
      <c r="AV169" s="36"/>
      <c r="AW169" s="36"/>
      <c r="AX169" s="36"/>
    </row>
    <row r="170" spans="2:63">
      <c r="AV170" s="36"/>
      <c r="AW170" s="36"/>
      <c r="AX170" s="36"/>
    </row>
    <row r="171" spans="2:63">
      <c r="AV171" s="36"/>
      <c r="AW171" s="36"/>
      <c r="AX171" s="36"/>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T86"/>
  <sheetViews>
    <sheetView zoomScaleNormal="100" workbookViewId="0">
      <pane xSplit="1" ySplit="2" topLeftCell="B24" activePane="bottomRight" state="frozenSplit"/>
      <selection pane="topRight" activeCell="B1" sqref="B1"/>
      <selection pane="bottomLeft" activeCell="A3" sqref="A3"/>
      <selection pane="bottomRight" activeCell="C59" sqref="C59"/>
    </sheetView>
  </sheetViews>
  <sheetFormatPr defaultRowHeight="12.75"/>
  <cols>
    <col min="1" max="1" width="22.140625" style="180" customWidth="1"/>
    <col min="2" max="2" width="16" style="192" customWidth="1"/>
    <col min="3" max="3" width="11.28515625" style="192" customWidth="1"/>
    <col min="4" max="4" width="14.140625" style="185" customWidth="1"/>
    <col min="5" max="5" width="15" style="185" customWidth="1"/>
    <col min="6" max="6" width="16.7109375" style="185" customWidth="1"/>
    <col min="7" max="7" width="15.42578125" style="185" customWidth="1"/>
    <col min="8" max="8" width="14.140625" style="185" customWidth="1"/>
    <col min="9" max="9" width="14.7109375" style="185" customWidth="1"/>
    <col min="10" max="10" width="16.42578125" style="185" customWidth="1"/>
    <col min="11" max="15" width="12.7109375" style="185" bestFit="1" customWidth="1"/>
    <col min="16" max="16" width="12.7109375" style="180" bestFit="1" customWidth="1"/>
    <col min="17" max="17" width="11.7109375" style="180" bestFit="1" customWidth="1"/>
    <col min="18" max="19" width="10.140625" style="180" bestFit="1" customWidth="1"/>
    <col min="20" max="16384" width="9.140625" style="180"/>
  </cols>
  <sheetData>
    <row r="1" spans="1:19" ht="22.5" customHeight="1" thickBot="1">
      <c r="B1" s="181" t="s">
        <v>160</v>
      </c>
      <c r="C1" s="181" t="s">
        <v>0</v>
      </c>
      <c r="D1" s="182"/>
      <c r="E1" s="183" t="s">
        <v>130</v>
      </c>
      <c r="F1" s="184"/>
      <c r="G1" s="184"/>
      <c r="H1" s="184"/>
      <c r="I1" s="184"/>
      <c r="J1" s="184"/>
    </row>
    <row r="2" spans="1:19" ht="29.25" customHeight="1">
      <c r="B2" s="180"/>
      <c r="C2" s="180"/>
      <c r="D2" s="249" t="s">
        <v>12</v>
      </c>
      <c r="E2" s="249" t="s">
        <v>1</v>
      </c>
      <c r="F2" s="286" t="s">
        <v>95</v>
      </c>
      <c r="G2" s="286" t="s">
        <v>227</v>
      </c>
      <c r="H2" s="249" t="s">
        <v>159</v>
      </c>
      <c r="I2" s="249" t="s">
        <v>132</v>
      </c>
      <c r="J2" s="249" t="s">
        <v>2</v>
      </c>
      <c r="K2" s="180"/>
      <c r="L2" s="180"/>
      <c r="M2" s="180"/>
      <c r="N2" s="180"/>
      <c r="O2" s="180"/>
    </row>
    <row r="3" spans="1:19">
      <c r="A3" s="180">
        <v>2005</v>
      </c>
      <c r="B3" s="238">
        <f>'Purchased Power Model'!AC34</f>
        <v>129569190</v>
      </c>
      <c r="C3" s="187">
        <f t="shared" ref="C3:C13" si="0">B3/D3</f>
        <v>1.0255898252874609</v>
      </c>
      <c r="D3" s="188">
        <f>SUM(E3:J3)</f>
        <v>126336267</v>
      </c>
      <c r="E3" s="234">
        <f>'[18]2005-2014'!I8</f>
        <v>46438361</v>
      </c>
      <c r="F3" s="235">
        <f>'[18]2005-2014'!L8</f>
        <v>23490754</v>
      </c>
      <c r="G3" s="235">
        <f>'[18]2005-2014'!O8</f>
        <v>54683320</v>
      </c>
      <c r="H3" s="235">
        <f>'[18]2005-2014'!U8</f>
        <v>1359556</v>
      </c>
      <c r="I3" s="235">
        <f>'[18]2005-2014'!R8</f>
        <v>94884</v>
      </c>
      <c r="J3" s="236">
        <f>'[18]2005-2014'!X8</f>
        <v>269392</v>
      </c>
      <c r="L3" s="189" t="s">
        <v>133</v>
      </c>
      <c r="M3" s="481">
        <f>SUM(N3:S3)</f>
        <v>1</v>
      </c>
      <c r="N3" s="481">
        <f t="shared" ref="N3:S3" si="1">E3/$D3</f>
        <v>0.36757743522689335</v>
      </c>
      <c r="O3" s="481">
        <f t="shared" si="1"/>
        <v>0.1859383260073689</v>
      </c>
      <c r="P3" s="481">
        <f t="shared" si="1"/>
        <v>0.43283944744069414</v>
      </c>
      <c r="Q3" s="481">
        <f t="shared" si="1"/>
        <v>1.0761407094607283E-2</v>
      </c>
      <c r="R3" s="481">
        <f t="shared" si="1"/>
        <v>7.5104324556304956E-4</v>
      </c>
      <c r="S3" s="481">
        <f t="shared" si="1"/>
        <v>2.13234098487333E-3</v>
      </c>
    </row>
    <row r="4" spans="1:19">
      <c r="A4" s="180">
        <v>2006</v>
      </c>
      <c r="B4" s="238">
        <f>'Purchased Power Model'!AC35</f>
        <v>125693570</v>
      </c>
      <c r="C4" s="187">
        <f t="shared" si="0"/>
        <v>1.0760105974916543</v>
      </c>
      <c r="D4" s="188">
        <f t="shared" ref="D4:D13" si="2">SUM(E4:J4)</f>
        <v>116814435</v>
      </c>
      <c r="E4" s="237">
        <f>'[18]2005-2014'!I9</f>
        <v>44440685</v>
      </c>
      <c r="F4" s="238">
        <f>'[18]2005-2014'!L9</f>
        <v>22220025</v>
      </c>
      <c r="G4" s="238">
        <f>'[18]2005-2014'!O9</f>
        <v>48405425</v>
      </c>
      <c r="H4" s="238">
        <f>'[18]2005-2014'!U9</f>
        <v>1341413</v>
      </c>
      <c r="I4" s="238">
        <f>'[18]2005-2014'!R9</f>
        <v>102394</v>
      </c>
      <c r="J4" s="239">
        <f>'[18]2005-2014'!X9</f>
        <v>304493</v>
      </c>
      <c r="L4" s="191">
        <f t="shared" ref="L4:L14" si="3">D4/D3</f>
        <v>0.92463104834338661</v>
      </c>
      <c r="M4" s="481">
        <f t="shared" ref="M4:M13" si="4">SUM(N4:S4)</f>
        <v>1</v>
      </c>
      <c r="N4" s="481">
        <f t="shared" ref="N4:N13" si="5">E4/D4</f>
        <v>0.38043829942763496</v>
      </c>
      <c r="O4" s="481">
        <f t="shared" ref="O4:O13" si="6">F4/$D4</f>
        <v>0.1902164317278083</v>
      </c>
      <c r="P4" s="481">
        <f t="shared" ref="P4:P13" si="7">G4/$D4</f>
        <v>0.41437879659307514</v>
      </c>
      <c r="Q4" s="481">
        <f t="shared" ref="Q4:Q13" si="8">H4/$D4</f>
        <v>1.1483281154422396E-2</v>
      </c>
      <c r="R4" s="481">
        <f t="shared" ref="R4:R13" si="9">I4/$D4</f>
        <v>8.765526281062781E-4</v>
      </c>
      <c r="S4" s="481">
        <f t="shared" ref="S4:S13" si="10">J4/$D4</f>
        <v>2.6066384689529165E-3</v>
      </c>
    </row>
    <row r="5" spans="1:19">
      <c r="A5" s="180">
        <v>2007</v>
      </c>
      <c r="B5" s="238">
        <f>'Purchased Power Model'!AC36</f>
        <v>125561560</v>
      </c>
      <c r="C5" s="187">
        <f t="shared" si="0"/>
        <v>1.101430100970306</v>
      </c>
      <c r="D5" s="188">
        <f t="shared" si="2"/>
        <v>113998664</v>
      </c>
      <c r="E5" s="237">
        <f>'[18]2005-2014'!I10</f>
        <v>45086486</v>
      </c>
      <c r="F5" s="238">
        <f>'[18]2005-2014'!L10</f>
        <v>22360087</v>
      </c>
      <c r="G5" s="238">
        <f>'[18]2005-2014'!O10</f>
        <v>44734117</v>
      </c>
      <c r="H5" s="238">
        <f>'[18]2005-2014'!U10</f>
        <v>1392325</v>
      </c>
      <c r="I5" s="238">
        <f>'[18]2005-2014'!R10</f>
        <v>102933</v>
      </c>
      <c r="J5" s="239">
        <f>'[18]2005-2014'!X10</f>
        <v>322716</v>
      </c>
      <c r="L5" s="191">
        <f t="shared" si="3"/>
        <v>0.97589535060457211</v>
      </c>
      <c r="M5" s="481">
        <f t="shared" si="4"/>
        <v>1</v>
      </c>
      <c r="N5" s="481">
        <f t="shared" si="5"/>
        <v>0.39550012621200542</v>
      </c>
      <c r="O5" s="481">
        <f t="shared" si="6"/>
        <v>0.19614341269824004</v>
      </c>
      <c r="P5" s="481">
        <f t="shared" si="7"/>
        <v>0.39240913384739318</v>
      </c>
      <c r="Q5" s="481">
        <f t="shared" si="8"/>
        <v>1.2213520326869795E-2</v>
      </c>
      <c r="R5" s="481">
        <f t="shared" si="9"/>
        <v>9.0293163435669743E-4</v>
      </c>
      <c r="S5" s="481">
        <f t="shared" si="10"/>
        <v>2.8308752811348737E-3</v>
      </c>
    </row>
    <row r="6" spans="1:19">
      <c r="A6" s="180">
        <v>2008</v>
      </c>
      <c r="B6" s="238">
        <f>'Purchased Power Model'!AC37</f>
        <v>121334640</v>
      </c>
      <c r="C6" s="187">
        <f t="shared" si="0"/>
        <v>1.0854276060712418</v>
      </c>
      <c r="D6" s="188">
        <f t="shared" si="2"/>
        <v>111785106</v>
      </c>
      <c r="E6" s="237">
        <f>'[18]2005-2014'!I11</f>
        <v>44465236</v>
      </c>
      <c r="F6" s="238">
        <f>'[18]2005-2014'!L11</f>
        <v>21119955</v>
      </c>
      <c r="G6" s="238">
        <f>'[18]2005-2014'!O11</f>
        <v>44381852</v>
      </c>
      <c r="H6" s="238">
        <f>'[18]2005-2014'!U11</f>
        <v>1394217</v>
      </c>
      <c r="I6" s="238">
        <f>'[18]2005-2014'!R11</f>
        <v>100161</v>
      </c>
      <c r="J6" s="239">
        <f>'[18]2005-2014'!X11</f>
        <v>323685</v>
      </c>
      <c r="L6" s="191">
        <f t="shared" si="3"/>
        <v>0.9805825970030666</v>
      </c>
      <c r="M6" s="481">
        <f t="shared" si="4"/>
        <v>1</v>
      </c>
      <c r="N6" s="481">
        <f t="shared" si="5"/>
        <v>0.39777424373511799</v>
      </c>
      <c r="O6" s="481">
        <f t="shared" si="6"/>
        <v>0.18893353288048947</v>
      </c>
      <c r="P6" s="481">
        <f t="shared" si="7"/>
        <v>0.39702831251955872</v>
      </c>
      <c r="Q6" s="481">
        <f t="shared" si="8"/>
        <v>1.2472296622414081E-2</v>
      </c>
      <c r="R6" s="481">
        <f t="shared" si="9"/>
        <v>8.960138213761679E-4</v>
      </c>
      <c r="S6" s="481">
        <f t="shared" si="10"/>
        <v>2.8956004210435693E-3</v>
      </c>
    </row>
    <row r="7" spans="1:19">
      <c r="A7" s="180">
        <v>2009</v>
      </c>
      <c r="B7" s="238">
        <f>'Purchased Power Model'!AC38</f>
        <v>118414830</v>
      </c>
      <c r="C7" s="187">
        <f t="shared" si="0"/>
        <v>1.0796335435033315</v>
      </c>
      <c r="D7" s="188">
        <f t="shared" si="2"/>
        <v>109680577</v>
      </c>
      <c r="E7" s="237">
        <f>'[18]2005-2014'!I12</f>
        <v>44337599</v>
      </c>
      <c r="F7" s="238">
        <f>'[18]2005-2014'!L12</f>
        <v>20399815</v>
      </c>
      <c r="G7" s="238">
        <f>'[18]2005-2014'!O12</f>
        <v>43092665</v>
      </c>
      <c r="H7" s="238">
        <f>'[18]2005-2014'!U12</f>
        <v>1393923</v>
      </c>
      <c r="I7" s="238">
        <f>'[18]2005-2014'!R12</f>
        <v>108556</v>
      </c>
      <c r="J7" s="239">
        <f>'[18]2005-2014'!X12</f>
        <v>348019</v>
      </c>
      <c r="L7" s="191">
        <f t="shared" si="3"/>
        <v>0.98117344004665519</v>
      </c>
      <c r="M7" s="481">
        <f t="shared" si="4"/>
        <v>1</v>
      </c>
      <c r="N7" s="481">
        <f t="shared" si="5"/>
        <v>0.40424294084448514</v>
      </c>
      <c r="O7" s="481">
        <f t="shared" si="6"/>
        <v>0.18599295844331673</v>
      </c>
      <c r="P7" s="481">
        <f t="shared" si="7"/>
        <v>0.39289239880639942</v>
      </c>
      <c r="Q7" s="481">
        <f t="shared" si="8"/>
        <v>1.2708932047284908E-2</v>
      </c>
      <c r="R7" s="481">
        <f t="shared" si="9"/>
        <v>9.8974679901620141E-4</v>
      </c>
      <c r="S7" s="481">
        <f t="shared" si="10"/>
        <v>3.173023059497581E-3</v>
      </c>
    </row>
    <row r="8" spans="1:19">
      <c r="A8" s="180">
        <v>2010</v>
      </c>
      <c r="B8" s="238">
        <f>'Purchased Power Model'!AC39</f>
        <v>116592701</v>
      </c>
      <c r="C8" s="187">
        <f t="shared" si="0"/>
        <v>1.0811683120293523</v>
      </c>
      <c r="D8" s="188">
        <f t="shared" si="2"/>
        <v>107839547</v>
      </c>
      <c r="E8" s="237">
        <f>'[18]2005-2014'!I13</f>
        <v>44191614</v>
      </c>
      <c r="F8" s="238">
        <f>'[18]2005-2014'!L13</f>
        <v>20418777</v>
      </c>
      <c r="G8" s="238">
        <f>'[18]2005-2014'!O13</f>
        <v>41354016</v>
      </c>
      <c r="H8" s="238">
        <f>'[18]2005-2014'!U13</f>
        <v>1429699</v>
      </c>
      <c r="I8" s="238">
        <f>'[18]2005-2014'!R13</f>
        <v>108277</v>
      </c>
      <c r="J8" s="239">
        <f>'[18]2005-2014'!X13</f>
        <v>337164</v>
      </c>
      <c r="L8" s="191">
        <f t="shared" si="3"/>
        <v>0.98321462149127825</v>
      </c>
      <c r="M8" s="481">
        <f t="shared" si="4"/>
        <v>1</v>
      </c>
      <c r="N8" s="481">
        <f t="shared" si="5"/>
        <v>0.4097904268830061</v>
      </c>
      <c r="O8" s="481">
        <f t="shared" si="6"/>
        <v>0.18934405390260031</v>
      </c>
      <c r="P8" s="481">
        <f t="shared" si="7"/>
        <v>0.38347727851638697</v>
      </c>
      <c r="Q8" s="481">
        <f t="shared" si="8"/>
        <v>1.3257650275552438E-2</v>
      </c>
      <c r="R8" s="481">
        <f t="shared" si="9"/>
        <v>1.0040565174110013E-3</v>
      </c>
      <c r="S8" s="481">
        <f t="shared" si="10"/>
        <v>3.1265339050432026E-3</v>
      </c>
    </row>
    <row r="9" spans="1:19">
      <c r="A9" s="180">
        <v>2011</v>
      </c>
      <c r="B9" s="238">
        <f>'Purchased Power Model'!AC40</f>
        <v>118002442</v>
      </c>
      <c r="C9" s="187">
        <f t="shared" si="0"/>
        <v>1.0844748144207903</v>
      </c>
      <c r="D9" s="188">
        <f t="shared" si="2"/>
        <v>108810680</v>
      </c>
      <c r="E9" s="237">
        <f>'[18]2005-2014'!I14</f>
        <v>43287278</v>
      </c>
      <c r="F9" s="238">
        <f>'[18]2005-2014'!L14</f>
        <v>20434679</v>
      </c>
      <c r="G9" s="238">
        <f>'[18]2005-2014'!O14</f>
        <v>43031208</v>
      </c>
      <c r="H9" s="238">
        <f>'[18]2005-2014'!U14</f>
        <v>1453874</v>
      </c>
      <c r="I9" s="238">
        <f>'[18]2005-2014'!R14</f>
        <v>108262</v>
      </c>
      <c r="J9" s="239">
        <f>'[18]2005-2014'!X14</f>
        <v>495379</v>
      </c>
      <c r="L9" s="191">
        <f t="shared" si="3"/>
        <v>1.0090053512557875</v>
      </c>
      <c r="M9" s="481">
        <f t="shared" si="4"/>
        <v>1</v>
      </c>
      <c r="N9" s="481">
        <f t="shared" si="5"/>
        <v>0.39782196012376725</v>
      </c>
      <c r="O9" s="481">
        <f t="shared" si="6"/>
        <v>0.18780030599937433</v>
      </c>
      <c r="P9" s="481">
        <f t="shared" si="7"/>
        <v>0.39546860657428112</v>
      </c>
      <c r="Q9" s="481">
        <f t="shared" si="8"/>
        <v>1.3361500911491409E-2</v>
      </c>
      <c r="R9" s="481">
        <f t="shared" si="9"/>
        <v>9.9495748027675227E-4</v>
      </c>
      <c r="S9" s="481">
        <f t="shared" si="10"/>
        <v>4.5526689108091227E-3</v>
      </c>
    </row>
    <row r="10" spans="1:19">
      <c r="A10" s="180">
        <v>2012</v>
      </c>
      <c r="B10" s="238">
        <f>'Purchased Power Model'!AC41</f>
        <v>115281047</v>
      </c>
      <c r="C10" s="187">
        <f t="shared" si="0"/>
        <v>1.0834939346930714</v>
      </c>
      <c r="D10" s="188">
        <f>SUM(E10:J10)</f>
        <v>106397501</v>
      </c>
      <c r="E10" s="237">
        <f>'[18]2005-2014'!I15</f>
        <v>42116982</v>
      </c>
      <c r="F10" s="238">
        <f>'[18]2005-2014'!L15</f>
        <v>19669183</v>
      </c>
      <c r="G10" s="238">
        <f>'[18]2005-2014'!O15</f>
        <v>42549997</v>
      </c>
      <c r="H10" s="238">
        <f>'[18]2005-2014'!U15</f>
        <v>1453808</v>
      </c>
      <c r="I10" s="238">
        <f>'[18]2005-2014'!R15</f>
        <v>108266</v>
      </c>
      <c r="J10" s="239">
        <f>'[18]2005-2014'!X15</f>
        <v>499265</v>
      </c>
      <c r="L10" s="191">
        <f t="shared" si="3"/>
        <v>0.97782222296561327</v>
      </c>
      <c r="M10" s="481">
        <f t="shared" si="4"/>
        <v>1</v>
      </c>
      <c r="N10" s="481">
        <f t="shared" si="5"/>
        <v>0.39584559415544918</v>
      </c>
      <c r="O10" s="481">
        <f t="shared" si="6"/>
        <v>0.18486508437825058</v>
      </c>
      <c r="P10" s="481">
        <f t="shared" si="7"/>
        <v>0.39991537959148121</v>
      </c>
      <c r="Q10" s="481">
        <f t="shared" si="8"/>
        <v>1.3663929945121549E-2</v>
      </c>
      <c r="R10" s="481">
        <f t="shared" si="9"/>
        <v>1.0175614932910878E-3</v>
      </c>
      <c r="S10" s="481">
        <f t="shared" si="10"/>
        <v>4.6924504364063962E-3</v>
      </c>
    </row>
    <row r="11" spans="1:19">
      <c r="A11" s="180">
        <v>2013</v>
      </c>
      <c r="B11" s="238">
        <f>'Purchased Power Model'!AC42</f>
        <v>116595466</v>
      </c>
      <c r="C11" s="187">
        <f t="shared" si="0"/>
        <v>1.0877151768064881</v>
      </c>
      <c r="D11" s="188">
        <f t="shared" si="2"/>
        <v>107193012</v>
      </c>
      <c r="E11" s="237">
        <f>'[18]2005-2014'!I16</f>
        <v>42764838</v>
      </c>
      <c r="F11" s="238">
        <f>'[18]2005-2014'!L16</f>
        <v>20094189</v>
      </c>
      <c r="G11" s="238">
        <f>'[18]2005-2014'!O16</f>
        <v>42246503</v>
      </c>
      <c r="H11" s="238">
        <f>'[18]2005-2014'!U16</f>
        <v>1447303</v>
      </c>
      <c r="I11" s="238">
        <f>'[18]2005-2014'!R16</f>
        <v>108281</v>
      </c>
      <c r="J11" s="239">
        <f>'[18]2005-2014'!X16</f>
        <v>531898</v>
      </c>
      <c r="L11" s="191">
        <f t="shared" si="3"/>
        <v>1.0074767827488731</v>
      </c>
      <c r="M11" s="481">
        <f t="shared" si="4"/>
        <v>0.99999999999999989</v>
      </c>
      <c r="N11" s="481">
        <f t="shared" si="5"/>
        <v>0.3989517339059378</v>
      </c>
      <c r="O11" s="481">
        <f t="shared" si="6"/>
        <v>0.18745801265478015</v>
      </c>
      <c r="P11" s="481">
        <f t="shared" si="7"/>
        <v>0.39411620414211329</v>
      </c>
      <c r="Q11" s="481">
        <f t="shared" si="8"/>
        <v>1.3501840959558073E-2</v>
      </c>
      <c r="R11" s="481">
        <f t="shared" si="9"/>
        <v>1.0101498034218873E-3</v>
      </c>
      <c r="S11" s="481">
        <f t="shared" si="10"/>
        <v>4.9620585341887775E-3</v>
      </c>
    </row>
    <row r="12" spans="1:19">
      <c r="A12" s="180">
        <v>2014</v>
      </c>
      <c r="B12" s="474">
        <f>'Purchased Power Model'!AC43</f>
        <v>115948548</v>
      </c>
      <c r="C12" s="475">
        <f t="shared" si="0"/>
        <v>1.0776588339607704</v>
      </c>
      <c r="D12" s="476">
        <f t="shared" si="2"/>
        <v>107593001</v>
      </c>
      <c r="E12" s="477">
        <f>'[18]2005-2014'!I17</f>
        <v>42272228</v>
      </c>
      <c r="F12" s="474">
        <f>'[18]2005-2014'!L17</f>
        <v>20739791</v>
      </c>
      <c r="G12" s="474">
        <f>'[18]2005-2014'!O17</f>
        <v>42584416</v>
      </c>
      <c r="H12" s="474">
        <f>'[18]2005-2014'!U17</f>
        <v>1321505</v>
      </c>
      <c r="I12" s="474">
        <f>'[18]2005-2014'!R17</f>
        <v>109302</v>
      </c>
      <c r="J12" s="478">
        <f>'[18]2005-2014'!X17</f>
        <v>565759</v>
      </c>
      <c r="L12" s="191">
        <f t="shared" si="3"/>
        <v>1.0037314839142686</v>
      </c>
      <c r="M12" s="481">
        <f t="shared" si="4"/>
        <v>1</v>
      </c>
      <c r="N12" s="481">
        <f t="shared" si="5"/>
        <v>0.39289012860604194</v>
      </c>
      <c r="O12" s="481">
        <f t="shared" si="6"/>
        <v>0.19276152544532149</v>
      </c>
      <c r="P12" s="481">
        <f t="shared" si="7"/>
        <v>0.39579169280723009</v>
      </c>
      <c r="Q12" s="481">
        <f t="shared" si="8"/>
        <v>1.2282443911012389E-2</v>
      </c>
      <c r="R12" s="481">
        <f t="shared" si="9"/>
        <v>1.0158839235277024E-3</v>
      </c>
      <c r="S12" s="481">
        <f t="shared" si="10"/>
        <v>5.2583253068663825E-3</v>
      </c>
    </row>
    <row r="13" spans="1:19">
      <c r="A13" s="180">
        <v>2015</v>
      </c>
      <c r="B13" s="235">
        <f>'Purchased Power Model'!AC44</f>
        <v>112684777.95</v>
      </c>
      <c r="C13" s="187">
        <f t="shared" si="0"/>
        <v>1.0812693363318981</v>
      </c>
      <c r="D13" s="188">
        <f t="shared" si="2"/>
        <v>104215271.962</v>
      </c>
      <c r="E13" s="471">
        <f>'[18]2005-2014'!$D$109</f>
        <v>40938310.960000001</v>
      </c>
      <c r="F13" s="472">
        <f>'[18]2005-2014'!$D$110</f>
        <v>20653133.002</v>
      </c>
      <c r="G13" s="472">
        <f>'[18]2005-2014'!$D$111</f>
        <v>40918077</v>
      </c>
      <c r="H13" s="472">
        <f>'[18]2005-2014'!$D$112</f>
        <v>1052678</v>
      </c>
      <c r="I13" s="472">
        <f>'[18]2005-2014'!$D$113</f>
        <v>109502</v>
      </c>
      <c r="J13" s="473">
        <f>'[18]2005-2014'!$D$114</f>
        <v>543571</v>
      </c>
      <c r="L13" s="191">
        <f t="shared" si="3"/>
        <v>0.96860642414835141</v>
      </c>
      <c r="M13" s="481">
        <f t="shared" si="4"/>
        <v>1</v>
      </c>
      <c r="N13" s="481">
        <f t="shared" si="5"/>
        <v>0.39282448905307593</v>
      </c>
      <c r="O13" s="481">
        <f t="shared" si="6"/>
        <v>0.19817760500141238</v>
      </c>
      <c r="P13" s="481">
        <f t="shared" si="7"/>
        <v>0.39263033363209909</v>
      </c>
      <c r="Q13" s="481">
        <f t="shared" si="8"/>
        <v>1.0100995566022586E-2</v>
      </c>
      <c r="R13" s="481">
        <f t="shared" si="9"/>
        <v>1.0507289185017691E-3</v>
      </c>
      <c r="S13" s="481">
        <f t="shared" si="10"/>
        <v>5.2158478288882862E-3</v>
      </c>
    </row>
    <row r="14" spans="1:19">
      <c r="A14" s="180">
        <v>2016</v>
      </c>
      <c r="B14" s="435">
        <f>'Purchased Power Model'!AC60</f>
        <v>113261984.91090359</v>
      </c>
      <c r="C14" s="440">
        <f>C16</f>
        <v>1.083</v>
      </c>
      <c r="D14" s="441">
        <f>B14/C14</f>
        <v>104581703.51883988</v>
      </c>
      <c r="E14" s="194"/>
      <c r="H14" s="189"/>
      <c r="L14" s="191">
        <f t="shared" si="3"/>
        <v>1.0035161022942347</v>
      </c>
      <c r="M14" s="191"/>
      <c r="N14" s="481"/>
    </row>
    <row r="15" spans="1:19">
      <c r="B15" s="185"/>
      <c r="D15" s="195"/>
      <c r="H15" s="189"/>
    </row>
    <row r="16" spans="1:19">
      <c r="A16" s="196" t="s">
        <v>49</v>
      </c>
      <c r="B16" s="185"/>
      <c r="C16" s="231">
        <f>C18</f>
        <v>1.083</v>
      </c>
      <c r="D16" s="232" t="str">
        <f>D18</f>
        <v xml:space="preserve">5 year average from Appendix </v>
      </c>
      <c r="F16" s="436"/>
      <c r="H16" s="189"/>
    </row>
    <row r="17" spans="1:10">
      <c r="A17" s="196" t="s">
        <v>8</v>
      </c>
      <c r="C17" s="198"/>
      <c r="D17" s="198"/>
      <c r="E17" s="198"/>
    </row>
    <row r="18" spans="1:10">
      <c r="A18" s="196"/>
      <c r="C18" s="437">
        <f>ROUND('App.2-R_Loss Factors'!$H$27,4)</f>
        <v>1.083</v>
      </c>
      <c r="D18" s="198" t="s">
        <v>134</v>
      </c>
      <c r="E18" s="198"/>
    </row>
    <row r="21" spans="1:10">
      <c r="A21" s="199" t="s">
        <v>10</v>
      </c>
      <c r="B21" s="200"/>
      <c r="D21" s="191"/>
      <c r="E21" s="195"/>
      <c r="F21" s="195"/>
      <c r="G21" s="195"/>
      <c r="H21" s="195"/>
      <c r="I21" s="195"/>
      <c r="J21" s="195"/>
    </row>
    <row r="22" spans="1:10">
      <c r="A22" s="180">
        <f t="shared" ref="A22:A33" si="11">A3</f>
        <v>2005</v>
      </c>
      <c r="D22" s="191"/>
      <c r="E22" s="188">
        <f>E3/'Rate Class Customer Model'!B4</f>
        <v>9417.6355708781175</v>
      </c>
      <c r="F22" s="188">
        <f>F3/'Rate Class Customer Model'!C4</f>
        <v>30507.472727272729</v>
      </c>
      <c r="G22" s="188">
        <f>G3/'Rate Class Customer Model'!D4</f>
        <v>816168.95522388059</v>
      </c>
      <c r="H22" s="188">
        <f>H3/'Rate Class Customer Model'!E4</f>
        <v>832.55113288426207</v>
      </c>
      <c r="I22" s="188">
        <f>I3/'Rate Class Customer Model'!F4</f>
        <v>1694.3571428571429</v>
      </c>
      <c r="J22" s="188">
        <f>J3/'Rate Class Customer Model'!G4</f>
        <v>5497.7959183673465</v>
      </c>
    </row>
    <row r="23" spans="1:10">
      <c r="A23" s="180">
        <f t="shared" si="11"/>
        <v>2006</v>
      </c>
      <c r="D23" s="191"/>
      <c r="E23" s="188">
        <f>E4/'Rate Class Customer Model'!B5</f>
        <v>8956.204151551794</v>
      </c>
      <c r="F23" s="188">
        <f>F4/'Rate Class Customer Model'!C5</f>
        <v>28819.747081712063</v>
      </c>
      <c r="G23" s="188">
        <f>G4/'Rate Class Customer Model'!D5</f>
        <v>744698.84615384613</v>
      </c>
      <c r="H23" s="188">
        <f>H4/'Rate Class Customer Model'!E5</f>
        <v>817.43631931748939</v>
      </c>
      <c r="I23" s="188">
        <f>I4/'Rate Class Customer Model'!F5</f>
        <v>1528.2686567164178</v>
      </c>
      <c r="J23" s="188">
        <f>J4/'Rate Class Customer Model'!G5</f>
        <v>6089.86</v>
      </c>
    </row>
    <row r="24" spans="1:10">
      <c r="A24" s="180">
        <f t="shared" si="11"/>
        <v>2007</v>
      </c>
      <c r="C24" s="185"/>
      <c r="D24" s="191"/>
      <c r="E24" s="188">
        <f>E5/'Rate Class Customer Model'!B6</f>
        <v>9077.2067646466676</v>
      </c>
      <c r="F24" s="188">
        <f>F5/'Rate Class Customer Model'!C6</f>
        <v>28520.519132653062</v>
      </c>
      <c r="G24" s="188">
        <f>G5/'Rate Class Customer Model'!D6</f>
        <v>688217.18461538467</v>
      </c>
      <c r="H24" s="188">
        <f>H5/'Rate Class Customer Model'!E6</f>
        <v>846.91301703163015</v>
      </c>
      <c r="I24" s="188">
        <f>I5/'Rate Class Customer Model'!F6</f>
        <v>1536.313432835821</v>
      </c>
      <c r="J24" s="188">
        <f>J5/'Rate Class Customer Model'!G6</f>
        <v>6723.25</v>
      </c>
    </row>
    <row r="25" spans="1:10">
      <c r="A25" s="180">
        <f t="shared" si="11"/>
        <v>2008</v>
      </c>
      <c r="D25" s="191"/>
      <c r="E25" s="188">
        <f>E6/'Rate Class Customer Model'!B7</f>
        <v>8953.9339508658886</v>
      </c>
      <c r="F25" s="188">
        <f>F6/'Rate Class Customer Model'!C7</f>
        <v>27146.471722365037</v>
      </c>
      <c r="G25" s="188">
        <f>G6/'Rate Class Customer Model'!D7</f>
        <v>672452.30303030298</v>
      </c>
      <c r="H25" s="188">
        <f>H6/'Rate Class Customer Model'!E7</f>
        <v>851.69028711056808</v>
      </c>
      <c r="I25" s="188">
        <f>I6/'Rate Class Customer Model'!F7</f>
        <v>1494.9402985074628</v>
      </c>
      <c r="J25" s="188">
        <f>J6/'Rate Class Customer Model'!G7</f>
        <v>6605.8163265306121</v>
      </c>
    </row>
    <row r="26" spans="1:10">
      <c r="A26" s="180">
        <f t="shared" si="11"/>
        <v>2009</v>
      </c>
      <c r="D26" s="191"/>
      <c r="E26" s="188">
        <f>E7/'Rate Class Customer Model'!B8</f>
        <v>8913.871934057097</v>
      </c>
      <c r="F26" s="188">
        <f>F7/'Rate Class Customer Model'!C8</f>
        <v>26356.350129198967</v>
      </c>
      <c r="G26" s="188">
        <f>G7/'Rate Class Customer Model'!D8</f>
        <v>652919.16666666663</v>
      </c>
      <c r="H26" s="188">
        <f>H7/'Rate Class Customer Model'!E8</f>
        <v>849.95304878048785</v>
      </c>
      <c r="I26" s="188">
        <f>I7/'Rate Class Customer Model'!F8</f>
        <v>1447.4133333333334</v>
      </c>
      <c r="J26" s="188">
        <f>J7/'Rate Class Customer Model'!G8</f>
        <v>7102.4285714285716</v>
      </c>
    </row>
    <row r="27" spans="1:10">
      <c r="A27" s="180">
        <f t="shared" si="11"/>
        <v>2010</v>
      </c>
      <c r="D27" s="191"/>
      <c r="E27" s="188">
        <f>E8/'Rate Class Customer Model'!B9</f>
        <v>8870.2557205941393</v>
      </c>
      <c r="F27" s="188">
        <f>F8/'Rate Class Customer Model'!C9</f>
        <v>26517.892207792207</v>
      </c>
      <c r="G27" s="188">
        <f>G8/'Rate Class Customer Model'!D9</f>
        <v>626576</v>
      </c>
      <c r="H27" s="188">
        <f>H8/'Rate Class Customer Model'!E9</f>
        <v>840.50499706055257</v>
      </c>
      <c r="I27" s="188">
        <f>I8/'Rate Class Customer Model'!F9</f>
        <v>1443.6933333333334</v>
      </c>
      <c r="J27" s="188">
        <f>J8/'Rate Class Customer Model'!G9</f>
        <v>7024.25</v>
      </c>
    </row>
    <row r="28" spans="1:10">
      <c r="A28" s="180">
        <f t="shared" si="11"/>
        <v>2011</v>
      </c>
      <c r="D28" s="191"/>
      <c r="E28" s="188">
        <f>E9/'Rate Class Customer Model'!B10</f>
        <v>8650.5351718625097</v>
      </c>
      <c r="F28" s="188">
        <f>F9/'Rate Class Customer Model'!C10</f>
        <v>26573.054616384914</v>
      </c>
      <c r="G28" s="188">
        <f>G9/'Rate Class Customer Model'!D10</f>
        <v>651988</v>
      </c>
      <c r="H28" s="188">
        <f>H9/'Rate Class Customer Model'!E10</f>
        <v>853.71344685848499</v>
      </c>
      <c r="I28" s="188">
        <f>I9/'Rate Class Customer Model'!F10</f>
        <v>1443.4933333333333</v>
      </c>
      <c r="J28" s="188">
        <f>J9/'Rate Class Customer Model'!G10</f>
        <v>8396.2542372881362</v>
      </c>
    </row>
    <row r="29" spans="1:10">
      <c r="A29" s="180">
        <f t="shared" si="11"/>
        <v>2012</v>
      </c>
      <c r="D29" s="191"/>
      <c r="E29" s="188">
        <f>E10/'Rate Class Customer Model'!B11</f>
        <v>8381.4889552238801</v>
      </c>
      <c r="F29" s="188">
        <f>F10/'Rate Class Customer Model'!C11</f>
        <v>25544.393506493507</v>
      </c>
      <c r="G29" s="188">
        <f>G10/'Rate Class Customer Model'!D11</f>
        <v>635074.58208955219</v>
      </c>
      <c r="H29" s="188">
        <f>H10/'Rate Class Customer Model'!E11</f>
        <v>853.67469172049323</v>
      </c>
      <c r="I29" s="188">
        <f>I10/'Rate Class Customer Model'!F11</f>
        <v>1443.5466666666666</v>
      </c>
      <c r="J29" s="188">
        <f>J10/'Rate Class Customer Model'!G11</f>
        <v>8321.0833333333339</v>
      </c>
    </row>
    <row r="30" spans="1:10">
      <c r="A30" s="180">
        <f t="shared" si="11"/>
        <v>2013</v>
      </c>
      <c r="D30" s="191"/>
      <c r="E30" s="188">
        <f>E11/'Rate Class Customer Model'!B12</f>
        <v>8493.5130089374379</v>
      </c>
      <c r="F30" s="188">
        <f>F11/'Rate Class Customer Model'!C12</f>
        <v>26474.557312252964</v>
      </c>
      <c r="G30" s="188">
        <f>G11/'Rate Class Customer Model'!D12</f>
        <v>649946.19999999995</v>
      </c>
      <c r="H30" s="188">
        <f>H11/'Rate Class Customer Model'!E12</f>
        <v>847.86350322202691</v>
      </c>
      <c r="I30" s="188">
        <f>I11/'Rate Class Customer Model'!F12</f>
        <v>1443.7466666666667</v>
      </c>
      <c r="J30" s="188">
        <f>J11/'Rate Class Customer Model'!G12</f>
        <v>8719.6393442622957</v>
      </c>
    </row>
    <row r="31" spans="1:10">
      <c r="A31" s="180">
        <f t="shared" si="11"/>
        <v>2014</v>
      </c>
      <c r="D31" s="191"/>
      <c r="E31" s="476">
        <f>E12/'Rate Class Customer Model'!B13</f>
        <v>8387.3468253968258</v>
      </c>
      <c r="F31" s="476">
        <f>F12/'Rate Class Customer Model'!C13</f>
        <v>27506.354111405835</v>
      </c>
      <c r="G31" s="476">
        <f>G12/'Rate Class Customer Model'!D13</f>
        <v>665381.5</v>
      </c>
      <c r="H31" s="476">
        <f>H12/'Rate Class Customer Model'!E13</f>
        <v>774.1681312243702</v>
      </c>
      <c r="I31" s="476">
        <f>I12/'Rate Class Customer Model'!F13</f>
        <v>1457.36</v>
      </c>
      <c r="J31" s="476">
        <f>J12/'Rate Class Customer Model'!G13</f>
        <v>9274.7377049180323</v>
      </c>
    </row>
    <row r="32" spans="1:10">
      <c r="A32" s="180">
        <f t="shared" si="11"/>
        <v>2015</v>
      </c>
      <c r="D32" s="191"/>
      <c r="E32" s="188">
        <f>E13/'Rate Class Customer Model'!B14</f>
        <v>8100.1802453502178</v>
      </c>
      <c r="F32" s="188">
        <f>F13/'Rate Class Customer Model'!C14</f>
        <v>27834.411053908356</v>
      </c>
      <c r="G32" s="188">
        <f>G13/'Rate Class Customer Model'!D14</f>
        <v>639344.953125</v>
      </c>
      <c r="H32" s="188">
        <f>H13/'Rate Class Customer Model'!E14</f>
        <v>615.24137931034488</v>
      </c>
      <c r="I32" s="188">
        <f>I13/'Rate Class Customer Model'!F14</f>
        <v>1460.0266666666666</v>
      </c>
      <c r="J32" s="188">
        <f>J13/'Rate Class Customer Model'!G14</f>
        <v>9213.0677966101703</v>
      </c>
    </row>
    <row r="33" spans="1:20">
      <c r="A33" s="180">
        <f t="shared" si="11"/>
        <v>2016</v>
      </c>
      <c r="D33" s="191"/>
      <c r="E33" s="230">
        <f t="shared" ref="E33:J33" si="12">E32*E47</f>
        <v>7979.0275228097989</v>
      </c>
      <c r="F33" s="230">
        <f t="shared" si="12"/>
        <v>27580.340084511441</v>
      </c>
      <c r="G33" s="230">
        <f t="shared" si="12"/>
        <v>623922.65911587118</v>
      </c>
      <c r="H33" s="230">
        <f t="shared" si="12"/>
        <v>596.91019870640162</v>
      </c>
      <c r="I33" s="230">
        <f t="shared" si="12"/>
        <v>1438.4553010466518</v>
      </c>
      <c r="J33" s="230">
        <f t="shared" si="12"/>
        <v>9701.2083586504959</v>
      </c>
    </row>
    <row r="35" spans="1:20">
      <c r="A35" s="201" t="s">
        <v>135</v>
      </c>
    </row>
    <row r="36" spans="1:20">
      <c r="A36" s="202">
        <v>2006</v>
      </c>
      <c r="E36" s="190">
        <f t="shared" ref="E36:J45" si="13">E23/E22</f>
        <v>0.95100347472000357</v>
      </c>
      <c r="F36" s="190">
        <f t="shared" si="13"/>
        <v>0.94467828716431523</v>
      </c>
      <c r="G36" s="190">
        <f t="shared" si="13"/>
        <v>0.9124322131923901</v>
      </c>
      <c r="H36" s="190">
        <f t="shared" si="13"/>
        <v>0.98184518287254086</v>
      </c>
      <c r="I36" s="190">
        <f t="shared" si="13"/>
        <v>0.90197551511444918</v>
      </c>
      <c r="J36" s="190">
        <f t="shared" si="13"/>
        <v>1.107691171230029</v>
      </c>
      <c r="L36" s="203"/>
      <c r="M36" s="203"/>
      <c r="N36" s="203"/>
      <c r="O36" s="203"/>
      <c r="P36" s="203"/>
      <c r="Q36" s="203"/>
      <c r="R36" s="203"/>
      <c r="S36" s="203"/>
      <c r="T36" s="203"/>
    </row>
    <row r="37" spans="1:20">
      <c r="A37" s="202">
        <v>2007</v>
      </c>
      <c r="E37" s="190">
        <f t="shared" ref="E37:E45" si="14">E24/E23</f>
        <v>1.0135104795566667</v>
      </c>
      <c r="F37" s="190">
        <f t="shared" si="13"/>
        <v>0.9896172597139522</v>
      </c>
      <c r="G37" s="190">
        <f t="shared" si="13"/>
        <v>0.92415503014383216</v>
      </c>
      <c r="H37" s="190">
        <f t="shared" si="13"/>
        <v>1.03605993154152</v>
      </c>
      <c r="I37" s="190">
        <f t="shared" si="13"/>
        <v>1.0052639803113466</v>
      </c>
      <c r="J37" s="190">
        <f t="shared" si="13"/>
        <v>1.1040073170811808</v>
      </c>
      <c r="L37" s="203"/>
      <c r="M37" s="203"/>
      <c r="N37" s="203"/>
      <c r="O37" s="203"/>
      <c r="P37" s="203"/>
      <c r="Q37" s="203"/>
      <c r="R37" s="203"/>
      <c r="S37" s="203"/>
      <c r="T37" s="203"/>
    </row>
    <row r="38" spans="1:20">
      <c r="A38" s="202">
        <v>2008</v>
      </c>
      <c r="E38" s="190">
        <f t="shared" si="14"/>
        <v>0.98641952122751086</v>
      </c>
      <c r="F38" s="190">
        <f t="shared" si="13"/>
        <v>0.9518224965016544</v>
      </c>
      <c r="G38" s="190">
        <f t="shared" si="13"/>
        <v>0.97709315905284755</v>
      </c>
      <c r="H38" s="190">
        <f t="shared" si="13"/>
        <v>1.0056408036986868</v>
      </c>
      <c r="I38" s="190">
        <f t="shared" si="13"/>
        <v>0.97306986097752912</v>
      </c>
      <c r="J38" s="190">
        <f t="shared" si="13"/>
        <v>0.98253319845768228</v>
      </c>
      <c r="L38" s="203"/>
      <c r="M38" s="203"/>
      <c r="N38" s="203"/>
      <c r="O38" s="203"/>
      <c r="P38" s="203"/>
      <c r="Q38" s="203"/>
      <c r="R38" s="203"/>
      <c r="S38" s="203"/>
      <c r="T38" s="203"/>
    </row>
    <row r="39" spans="1:20">
      <c r="A39" s="202">
        <v>2009</v>
      </c>
      <c r="E39" s="190">
        <f t="shared" si="14"/>
        <v>0.99552576364437917</v>
      </c>
      <c r="F39" s="190">
        <f t="shared" si="13"/>
        <v>0.9708941330848857</v>
      </c>
      <c r="G39" s="190">
        <f t="shared" si="13"/>
        <v>0.97095238387077676</v>
      </c>
      <c r="H39" s="190">
        <f t="shared" si="13"/>
        <v>0.99796024639898862</v>
      </c>
      <c r="I39" s="190">
        <f t="shared" si="13"/>
        <v>0.96820811826292996</v>
      </c>
      <c r="J39" s="190">
        <f t="shared" si="13"/>
        <v>1.0751780280210699</v>
      </c>
      <c r="L39" s="203"/>
      <c r="M39" s="203"/>
      <c r="N39" s="203"/>
      <c r="O39" s="203"/>
      <c r="P39" s="203"/>
      <c r="Q39" s="203"/>
      <c r="R39" s="203"/>
      <c r="S39" s="203"/>
      <c r="T39" s="203"/>
    </row>
    <row r="40" spans="1:20">
      <c r="A40" s="202">
        <v>2010</v>
      </c>
      <c r="E40" s="190">
        <f t="shared" si="14"/>
        <v>0.99510692841611137</v>
      </c>
      <c r="F40" s="190">
        <f t="shared" si="13"/>
        <v>1.0061291520943287</v>
      </c>
      <c r="G40" s="190">
        <f t="shared" si="13"/>
        <v>0.95965324957275222</v>
      </c>
      <c r="H40" s="190">
        <f t="shared" si="13"/>
        <v>0.98888403102560629</v>
      </c>
      <c r="I40" s="190">
        <f t="shared" si="13"/>
        <v>0.99742989793286407</v>
      </c>
      <c r="J40" s="190">
        <f t="shared" si="13"/>
        <v>0.98899269867449768</v>
      </c>
      <c r="L40" s="203"/>
      <c r="M40" s="203"/>
      <c r="N40" s="203"/>
      <c r="O40" s="203"/>
      <c r="P40" s="203"/>
      <c r="Q40" s="203"/>
      <c r="R40" s="203"/>
      <c r="S40" s="203"/>
      <c r="T40" s="203"/>
    </row>
    <row r="41" spans="1:20">
      <c r="A41" s="202">
        <v>2011</v>
      </c>
      <c r="E41" s="190">
        <f t="shared" si="14"/>
        <v>0.97522951359547583</v>
      </c>
      <c r="F41" s="190">
        <f t="shared" si="13"/>
        <v>1.0020801958225207</v>
      </c>
      <c r="G41" s="190">
        <f t="shared" si="13"/>
        <v>1.0405569316411736</v>
      </c>
      <c r="H41" s="190">
        <f t="shared" si="13"/>
        <v>1.0157148974058756</v>
      </c>
      <c r="I41" s="190">
        <f t="shared" si="13"/>
        <v>0.99986146642407892</v>
      </c>
      <c r="J41" s="190">
        <f t="shared" si="13"/>
        <v>1.1953239473663575</v>
      </c>
      <c r="L41" s="203"/>
      <c r="M41" s="203"/>
      <c r="N41" s="203"/>
      <c r="O41" s="203"/>
      <c r="P41" s="203"/>
      <c r="Q41" s="203"/>
      <c r="R41" s="203"/>
      <c r="S41" s="203"/>
      <c r="T41" s="203"/>
    </row>
    <row r="42" spans="1:20">
      <c r="A42" s="202">
        <v>2012</v>
      </c>
      <c r="E42" s="190">
        <f t="shared" si="14"/>
        <v>0.96889831538819093</v>
      </c>
      <c r="F42" s="190">
        <f t="shared" si="13"/>
        <v>0.96128931638679072</v>
      </c>
      <c r="G42" s="190">
        <f t="shared" si="13"/>
        <v>0.97405869753669116</v>
      </c>
      <c r="H42" s="190">
        <f t="shared" si="13"/>
        <v>0.99995460404409187</v>
      </c>
      <c r="I42" s="190">
        <f t="shared" si="13"/>
        <v>1.0000369474053685</v>
      </c>
      <c r="J42" s="190">
        <f t="shared" si="13"/>
        <v>0.99104709054414231</v>
      </c>
      <c r="L42" s="203"/>
      <c r="M42" s="203"/>
      <c r="N42" s="203"/>
      <c r="O42" s="203"/>
      <c r="P42" s="203"/>
      <c r="Q42" s="203"/>
      <c r="R42" s="203"/>
      <c r="S42" s="203"/>
      <c r="T42" s="203"/>
    </row>
    <row r="43" spans="1:20">
      <c r="A43" s="202">
        <v>2013</v>
      </c>
      <c r="E43" s="190">
        <f t="shared" si="14"/>
        <v>1.0133656506990607</v>
      </c>
      <c r="F43" s="190">
        <f t="shared" si="13"/>
        <v>1.0364136187270605</v>
      </c>
      <c r="G43" s="190">
        <f t="shared" si="13"/>
        <v>1.023417120334932</v>
      </c>
      <c r="H43" s="190">
        <f t="shared" si="13"/>
        <v>0.99319273658358731</v>
      </c>
      <c r="I43" s="190">
        <f t="shared" si="13"/>
        <v>1.0001385476511555</v>
      </c>
      <c r="J43" s="190">
        <f t="shared" si="13"/>
        <v>1.0478971300927118</v>
      </c>
      <c r="L43" s="203"/>
      <c r="M43" s="203"/>
      <c r="N43" s="203"/>
      <c r="O43" s="203"/>
      <c r="P43" s="203"/>
      <c r="Q43" s="190"/>
      <c r="R43" s="203"/>
      <c r="S43" s="203"/>
      <c r="T43" s="203"/>
    </row>
    <row r="44" spans="1:20">
      <c r="A44" s="202">
        <v>2014</v>
      </c>
      <c r="E44" s="479">
        <f t="shared" si="14"/>
        <v>0.98750032131240661</v>
      </c>
      <c r="F44" s="479">
        <f t="shared" si="13"/>
        <v>1.0389731464433338</v>
      </c>
      <c r="G44" s="479">
        <f t="shared" si="13"/>
        <v>1.0237485810363998</v>
      </c>
      <c r="H44" s="479">
        <f t="shared" si="13"/>
        <v>0.91308108944706123</v>
      </c>
      <c r="I44" s="479">
        <f t="shared" si="13"/>
        <v>1.0094291703992389</v>
      </c>
      <c r="J44" s="479">
        <f t="shared" si="13"/>
        <v>1.0636607018638911</v>
      </c>
      <c r="K44" s="198"/>
      <c r="L44" s="203"/>
      <c r="M44" s="203"/>
      <c r="N44" s="203"/>
      <c r="O44" s="203"/>
      <c r="P44" s="203"/>
      <c r="Q44" s="203"/>
      <c r="R44" s="203"/>
      <c r="S44" s="203"/>
      <c r="T44" s="203"/>
    </row>
    <row r="45" spans="1:20">
      <c r="A45" s="202">
        <v>2015</v>
      </c>
      <c r="E45" s="190">
        <f t="shared" si="14"/>
        <v>0.96576192853059684</v>
      </c>
      <c r="F45" s="190">
        <f t="shared" si="13"/>
        <v>1.0119265876231298</v>
      </c>
      <c r="G45" s="190">
        <f t="shared" si="13"/>
        <v>0.96086974634100886</v>
      </c>
      <c r="H45" s="190">
        <f t="shared" si="13"/>
        <v>0.79471287243162814</v>
      </c>
      <c r="I45" s="190">
        <f t="shared" si="13"/>
        <v>1.0018297926844888</v>
      </c>
      <c r="J45" s="190">
        <f t="shared" si="13"/>
        <v>0.99335076524318733</v>
      </c>
      <c r="K45" s="198"/>
      <c r="L45" s="203"/>
      <c r="M45" s="203"/>
      <c r="N45" s="203"/>
      <c r="O45" s="203"/>
      <c r="P45" s="203"/>
      <c r="Q45" s="203"/>
      <c r="R45" s="203"/>
      <c r="S45" s="203"/>
      <c r="T45" s="203"/>
    </row>
    <row r="46" spans="1:20">
      <c r="C46" s="185"/>
      <c r="K46" s="198"/>
    </row>
    <row r="47" spans="1:20">
      <c r="A47" s="201" t="s">
        <v>13</v>
      </c>
      <c r="D47" s="230" t="str">
        <f t="shared" ref="D47:J47" si="15">D49</f>
        <v>11 year</v>
      </c>
      <c r="E47" s="439">
        <f t="shared" si="15"/>
        <v>0.98504320658667255</v>
      </c>
      <c r="F47" s="439">
        <f t="shared" si="15"/>
        <v>0.9908720551369008</v>
      </c>
      <c r="G47" s="439">
        <f t="shared" si="15"/>
        <v>0.97587797646052021</v>
      </c>
      <c r="H47" s="439">
        <f t="shared" si="15"/>
        <v>0.97020489645138686</v>
      </c>
      <c r="I47" s="439">
        <f t="shared" si="15"/>
        <v>0.98522536189748944</v>
      </c>
      <c r="J47" s="439">
        <f t="shared" si="15"/>
        <v>1.0529834983109461</v>
      </c>
      <c r="K47" s="198"/>
    </row>
    <row r="48" spans="1:20">
      <c r="A48" s="204"/>
      <c r="E48" s="200"/>
      <c r="F48" s="200"/>
      <c r="I48" s="189"/>
      <c r="J48" s="189"/>
      <c r="K48" s="198"/>
    </row>
    <row r="49" spans="1:20">
      <c r="A49" s="180" t="s">
        <v>9</v>
      </c>
      <c r="D49" s="189" t="s">
        <v>250</v>
      </c>
      <c r="E49" s="190">
        <f t="shared" ref="E49:J49" si="16">GEOMEAN(E36:E45)</f>
        <v>0.98504320658667255</v>
      </c>
      <c r="F49" s="190">
        <f t="shared" si="16"/>
        <v>0.9908720551369008</v>
      </c>
      <c r="G49" s="190">
        <f t="shared" si="16"/>
        <v>0.97587797646052021</v>
      </c>
      <c r="H49" s="190">
        <f t="shared" si="16"/>
        <v>0.97020489645138686</v>
      </c>
      <c r="I49" s="190">
        <f t="shared" si="16"/>
        <v>0.98522536189748944</v>
      </c>
      <c r="J49" s="190">
        <f t="shared" si="16"/>
        <v>1.0529834983109461</v>
      </c>
      <c r="K49" s="198"/>
      <c r="M49" s="203"/>
      <c r="N49" s="203"/>
      <c r="O49" s="203"/>
      <c r="P49" s="203"/>
      <c r="Q49" s="203"/>
      <c r="R49" s="203"/>
      <c r="S49" s="203"/>
      <c r="T49" s="203"/>
    </row>
    <row r="50" spans="1:20">
      <c r="D50" s="189" t="s">
        <v>136</v>
      </c>
      <c r="E50" s="190">
        <f t="shared" ref="E50:J50" si="17">GEOMEAN(E41:E45)</f>
        <v>0.98200049912036169</v>
      </c>
      <c r="F50" s="190">
        <f t="shared" si="17"/>
        <v>1.0097377826678109</v>
      </c>
      <c r="G50" s="190">
        <f t="shared" si="17"/>
        <v>1.004042963942974</v>
      </c>
      <c r="H50" s="190">
        <f t="shared" si="17"/>
        <v>0.93950922216911259</v>
      </c>
      <c r="I50" s="190">
        <f t="shared" si="17"/>
        <v>1.0022525442775554</v>
      </c>
      <c r="J50" s="190">
        <f t="shared" si="17"/>
        <v>1.0557494439965973</v>
      </c>
      <c r="K50" s="198"/>
    </row>
    <row r="51" spans="1:20" ht="26.25" customHeight="1">
      <c r="A51" s="205" t="s">
        <v>137</v>
      </c>
    </row>
    <row r="52" spans="1:20">
      <c r="A52" s="651">
        <v>2015</v>
      </c>
      <c r="B52" s="180"/>
      <c r="C52" s="197"/>
      <c r="D52" s="646">
        <f>SUM(E52:J52)</f>
        <v>104215271.962</v>
      </c>
      <c r="E52" s="646">
        <f>E32*'Rate Class Customer Model'!B14</f>
        <v>40938310.960000001</v>
      </c>
      <c r="F52" s="646">
        <f>F32*'Rate Class Customer Model'!C14</f>
        <v>20653133.002</v>
      </c>
      <c r="G52" s="646">
        <f>G32*'Rate Class Customer Model'!D14</f>
        <v>40918077</v>
      </c>
      <c r="H52" s="646">
        <f>H32*'Rate Class Customer Model'!E14</f>
        <v>1052678</v>
      </c>
      <c r="I52" s="646">
        <f>I32*'Rate Class Customer Model'!F14</f>
        <v>109502</v>
      </c>
      <c r="J52" s="646">
        <f>J32*'Rate Class Customer Model'!G14</f>
        <v>543571</v>
      </c>
    </row>
    <row r="53" spans="1:20">
      <c r="A53" s="180">
        <v>2016</v>
      </c>
      <c r="C53" s="197"/>
      <c r="D53" s="246">
        <f>SUM(E53:J53)</f>
        <v>102436243.72714968</v>
      </c>
      <c r="E53" s="186">
        <f>E33*'Rate Class Customer Model'!B15</f>
        <v>40421753.430554442</v>
      </c>
      <c r="F53" s="186">
        <f>F33*'Rate Class Customer Model'!C15</f>
        <v>20381871.322453953</v>
      </c>
      <c r="G53" s="186">
        <f>G33*'Rate Class Customer Model'!D15</f>
        <v>39931050.183415756</v>
      </c>
      <c r="H53" s="186">
        <f>H33*'Rate Class Customer Model'!E15</f>
        <v>1021313.3499866532</v>
      </c>
      <c r="I53" s="186">
        <f>I33*'Rate Class Customer Model'!F15</f>
        <v>107884.14757849889</v>
      </c>
      <c r="J53" s="186">
        <f>J33*'Rate Class Customer Model'!G15</f>
        <v>572371.29316037928</v>
      </c>
    </row>
    <row r="54" spans="1:20">
      <c r="D54" s="186"/>
      <c r="E54" s="186"/>
      <c r="F54" s="186"/>
      <c r="G54" s="186"/>
      <c r="H54" s="186"/>
      <c r="I54" s="186"/>
      <c r="J54" s="186"/>
    </row>
    <row r="55" spans="1:20" ht="25.5">
      <c r="A55" s="205" t="s">
        <v>155</v>
      </c>
      <c r="D55" s="186"/>
      <c r="E55" s="186"/>
      <c r="F55" s="186"/>
      <c r="G55" s="186"/>
      <c r="H55" s="186"/>
      <c r="I55" s="186"/>
      <c r="J55" s="186"/>
      <c r="K55" s="186" t="s">
        <v>12</v>
      </c>
      <c r="L55" s="189" t="s">
        <v>11</v>
      </c>
    </row>
    <row r="56" spans="1:20">
      <c r="A56" s="651">
        <v>2015</v>
      </c>
      <c r="D56" s="646">
        <f t="shared" ref="D56:J57" si="18">D52+D72</f>
        <v>104215271.962</v>
      </c>
      <c r="E56" s="646">
        <f t="shared" si="18"/>
        <v>40938310.960000001</v>
      </c>
      <c r="F56" s="646">
        <f t="shared" si="18"/>
        <v>20653133.002</v>
      </c>
      <c r="G56" s="646">
        <f t="shared" si="18"/>
        <v>40918077</v>
      </c>
      <c r="H56" s="646">
        <f t="shared" si="18"/>
        <v>1052678</v>
      </c>
      <c r="I56" s="646">
        <f t="shared" si="18"/>
        <v>109502</v>
      </c>
      <c r="J56" s="646">
        <f t="shared" si="18"/>
        <v>543571</v>
      </c>
      <c r="K56" s="646">
        <f>SUM(E56:J56)</f>
        <v>104215271.962</v>
      </c>
      <c r="L56" s="650">
        <f>D56-K56</f>
        <v>0</v>
      </c>
    </row>
    <row r="57" spans="1:20">
      <c r="A57" s="180">
        <v>2016</v>
      </c>
      <c r="D57" s="207">
        <f t="shared" si="18"/>
        <v>104581703.51883988</v>
      </c>
      <c r="E57" s="207">
        <f t="shared" si="18"/>
        <v>41503574.46996738</v>
      </c>
      <c r="F57" s="207">
        <f t="shared" si="18"/>
        <v>20927358.228585318</v>
      </c>
      <c r="G57" s="207">
        <f t="shared" si="18"/>
        <v>40449202.029561654</v>
      </c>
      <c r="H57" s="207">
        <f t="shared" si="18"/>
        <v>1021313.3499866532</v>
      </c>
      <c r="I57" s="207">
        <f t="shared" si="18"/>
        <v>107884.14757849889</v>
      </c>
      <c r="J57" s="207">
        <f t="shared" si="18"/>
        <v>572371.29316037928</v>
      </c>
      <c r="K57" s="247">
        <f>SUM(E57:J57)</f>
        <v>104581703.51883988</v>
      </c>
      <c r="L57" s="185">
        <f>D57-K57</f>
        <v>0</v>
      </c>
    </row>
    <row r="58" spans="1:20">
      <c r="D58" s="206"/>
      <c r="E58" s="206"/>
      <c r="F58" s="206"/>
      <c r="G58" s="206"/>
      <c r="H58" s="206"/>
      <c r="I58" s="206"/>
      <c r="J58" s="206"/>
      <c r="K58" s="247"/>
    </row>
    <row r="59" spans="1:20" ht="28.5" customHeight="1">
      <c r="A59" s="245" t="s">
        <v>154</v>
      </c>
      <c r="D59" s="206"/>
      <c r="E59" s="206"/>
      <c r="F59" s="206"/>
      <c r="G59" s="206"/>
      <c r="H59" s="206"/>
      <c r="I59" s="206"/>
      <c r="J59" s="206"/>
      <c r="K59" s="247"/>
      <c r="L59" s="189" t="s">
        <v>11</v>
      </c>
    </row>
    <row r="60" spans="1:20">
      <c r="A60" s="652">
        <v>2015</v>
      </c>
      <c r="D60" s="646">
        <f t="shared" ref="D60:J61" si="19">D56-D78</f>
        <v>103798605.29533333</v>
      </c>
      <c r="E60" s="646">
        <f t="shared" si="19"/>
        <v>40910878.409628324</v>
      </c>
      <c r="F60" s="646">
        <f t="shared" si="19"/>
        <v>20632697.316243794</v>
      </c>
      <c r="G60" s="646">
        <f t="shared" si="19"/>
        <v>40831410.422605969</v>
      </c>
      <c r="H60" s="646">
        <f t="shared" si="19"/>
        <v>770546.14685524988</v>
      </c>
      <c r="I60" s="646">
        <f t="shared" si="19"/>
        <v>109502</v>
      </c>
      <c r="J60" s="646">
        <f t="shared" si="19"/>
        <v>543571</v>
      </c>
      <c r="K60" s="646">
        <f>SUM(E60:J60)</f>
        <v>103798605.29533334</v>
      </c>
      <c r="L60" s="650">
        <f>D60-K60</f>
        <v>0</v>
      </c>
    </row>
    <row r="61" spans="1:20">
      <c r="A61" s="245">
        <v>2016</v>
      </c>
      <c r="D61" s="615">
        <f t="shared" si="19"/>
        <v>103331703.51883988</v>
      </c>
      <c r="E61" s="193">
        <f t="shared" si="19"/>
        <v>41307918.062203318</v>
      </c>
      <c r="F61" s="193">
        <f t="shared" si="19"/>
        <v>20781605.361604974</v>
      </c>
      <c r="G61" s="193">
        <f t="shared" si="19"/>
        <v>39831072.436199859</v>
      </c>
      <c r="H61" s="193">
        <f t="shared" si="19"/>
        <v>730852.21809285553</v>
      </c>
      <c r="I61" s="193">
        <f t="shared" si="19"/>
        <v>107884.14757849889</v>
      </c>
      <c r="J61" s="193">
        <f t="shared" si="19"/>
        <v>572371.29316037928</v>
      </c>
      <c r="K61" s="247">
        <f>SUM(E61:J61)</f>
        <v>103331703.51883988</v>
      </c>
      <c r="L61" s="185">
        <f>D61-K61</f>
        <v>0</v>
      </c>
    </row>
    <row r="62" spans="1:20" s="367" customFormat="1">
      <c r="A62" s="365"/>
      <c r="B62" s="366"/>
      <c r="C62" s="366"/>
      <c r="D62" s="195"/>
      <c r="E62" s="195"/>
      <c r="F62" s="195"/>
      <c r="G62" s="195"/>
      <c r="H62" s="195"/>
      <c r="I62" s="195"/>
      <c r="J62" s="195"/>
      <c r="K62" s="247"/>
      <c r="L62" s="195"/>
      <c r="M62" s="195"/>
      <c r="N62" s="195"/>
      <c r="O62" s="195"/>
    </row>
    <row r="63" spans="1:20" s="367" customFormat="1">
      <c r="A63" s="365"/>
      <c r="B63" s="366"/>
      <c r="C63" s="366"/>
      <c r="D63" s="646">
        <v>103490140.13157745</v>
      </c>
      <c r="E63" s="646">
        <v>40870245.793643892</v>
      </c>
      <c r="F63" s="646">
        <v>19973822.611695666</v>
      </c>
      <c r="G63" s="646">
        <v>40849005.042765364</v>
      </c>
      <c r="H63" s="646">
        <v>1089972.9814921229</v>
      </c>
      <c r="I63" s="646">
        <v>107487.31322816703</v>
      </c>
      <c r="J63" s="646">
        <v>599606.38875225838</v>
      </c>
      <c r="K63" s="646">
        <v>103490140.13157745</v>
      </c>
      <c r="L63" s="195"/>
      <c r="M63" s="195"/>
      <c r="N63" s="195"/>
      <c r="O63" s="195"/>
    </row>
    <row r="64" spans="1:20" s="367" customFormat="1">
      <c r="A64" s="365"/>
      <c r="B64" s="366"/>
      <c r="C64" s="366"/>
      <c r="D64" s="371">
        <v>103763127.19387966</v>
      </c>
      <c r="E64" s="371">
        <v>41757807.879400752</v>
      </c>
      <c r="F64" s="371">
        <v>20294755.553804349</v>
      </c>
      <c r="G64" s="371">
        <v>39888774.537230372</v>
      </c>
      <c r="H64" s="371">
        <v>1080607.7198628157</v>
      </c>
      <c r="I64" s="371">
        <v>105702.75479872365</v>
      </c>
      <c r="J64" s="371">
        <v>635478.74878265208</v>
      </c>
      <c r="K64" s="247">
        <v>103763127.19387966</v>
      </c>
      <c r="L64" s="195"/>
      <c r="M64" s="195"/>
      <c r="N64" s="195"/>
      <c r="O64" s="195"/>
    </row>
    <row r="65" spans="1:15">
      <c r="D65" s="192"/>
      <c r="E65" s="186"/>
      <c r="F65" s="186"/>
      <c r="G65" s="186"/>
      <c r="H65" s="186"/>
      <c r="I65" s="186"/>
      <c r="J65" s="186"/>
      <c r="K65" s="186"/>
      <c r="L65" s="186"/>
    </row>
    <row r="66" spans="1:15">
      <c r="D66" s="297"/>
      <c r="E66" s="658" t="s">
        <v>138</v>
      </c>
      <c r="F66" s="658"/>
      <c r="G66" s="658"/>
      <c r="H66" s="658"/>
      <c r="I66" s="658"/>
      <c r="J66" s="659"/>
      <c r="K66" s="186"/>
      <c r="N66" s="190"/>
    </row>
    <row r="67" spans="1:15">
      <c r="A67" s="298" t="s">
        <v>35</v>
      </c>
      <c r="D67" s="290"/>
      <c r="E67" s="362">
        <f>(1+G67)/2</f>
        <v>0.66</v>
      </c>
      <c r="F67" s="362">
        <f>(1+G67)/2</f>
        <v>0.66</v>
      </c>
      <c r="G67" s="362">
        <v>0.32</v>
      </c>
      <c r="H67" s="363">
        <v>0</v>
      </c>
      <c r="I67" s="363">
        <v>0</v>
      </c>
      <c r="J67" s="364">
        <v>0</v>
      </c>
      <c r="K67" s="186" t="s">
        <v>5</v>
      </c>
    </row>
    <row r="68" spans="1:15">
      <c r="A68" s="651">
        <v>2015</v>
      </c>
      <c r="E68" s="643">
        <f t="shared" ref="E68:J68" si="20">E52*E67</f>
        <v>27019285.233600002</v>
      </c>
      <c r="F68" s="643">
        <f t="shared" si="20"/>
        <v>13631067.78132</v>
      </c>
      <c r="G68" s="643">
        <f t="shared" si="20"/>
        <v>13093784.640000001</v>
      </c>
      <c r="H68" s="643">
        <f t="shared" si="20"/>
        <v>0</v>
      </c>
      <c r="I68" s="643">
        <f t="shared" si="20"/>
        <v>0</v>
      </c>
      <c r="J68" s="644">
        <f t="shared" si="20"/>
        <v>0</v>
      </c>
      <c r="K68" s="645">
        <f>SUM(E68:J68)</f>
        <v>53744137.654920004</v>
      </c>
    </row>
    <row r="69" spans="1:15">
      <c r="A69" s="180">
        <v>2016</v>
      </c>
      <c r="E69" s="292">
        <f t="shared" ref="E69:J69" si="21">E53*E67</f>
        <v>26678357.264165934</v>
      </c>
      <c r="F69" s="292">
        <f t="shared" si="21"/>
        <v>13452035.072819609</v>
      </c>
      <c r="G69" s="292">
        <f t="shared" si="21"/>
        <v>12777936.058693042</v>
      </c>
      <c r="H69" s="292">
        <f t="shared" si="21"/>
        <v>0</v>
      </c>
      <c r="I69" s="292">
        <f t="shared" si="21"/>
        <v>0</v>
      </c>
      <c r="J69" s="213">
        <f t="shared" si="21"/>
        <v>0</v>
      </c>
      <c r="K69" s="291">
        <f>SUM(E69:J69)</f>
        <v>52908328.395678587</v>
      </c>
    </row>
    <row r="70" spans="1:15" ht="12" customHeight="1">
      <c r="D70" s="186"/>
      <c r="E70" s="186"/>
      <c r="F70" s="186"/>
      <c r="G70" s="186"/>
      <c r="H70" s="186"/>
      <c r="I70" s="186"/>
      <c r="J70" s="186"/>
      <c r="K70" s="186"/>
    </row>
    <row r="71" spans="1:15" ht="25.5">
      <c r="A71" s="205" t="s">
        <v>36</v>
      </c>
      <c r="D71" s="186"/>
      <c r="E71" s="186"/>
      <c r="F71" s="186"/>
      <c r="G71" s="186"/>
      <c r="H71" s="186"/>
      <c r="I71" s="186"/>
      <c r="J71" s="186"/>
      <c r="K71" s="186"/>
      <c r="L71" s="185" t="s">
        <v>11</v>
      </c>
    </row>
    <row r="72" spans="1:15">
      <c r="A72" s="651">
        <v>2015</v>
      </c>
      <c r="B72" s="180"/>
      <c r="C72" s="197"/>
      <c r="D72" s="295">
        <f>D13-D52</f>
        <v>0</v>
      </c>
      <c r="E72" s="295">
        <f t="shared" ref="E72:J72" si="22">E68/$K$68*$D72</f>
        <v>0</v>
      </c>
      <c r="F72" s="295">
        <f t="shared" si="22"/>
        <v>0</v>
      </c>
      <c r="G72" s="295">
        <f t="shared" si="22"/>
        <v>0</v>
      </c>
      <c r="H72" s="295">
        <f t="shared" si="22"/>
        <v>0</v>
      </c>
      <c r="I72" s="295">
        <f t="shared" si="22"/>
        <v>0</v>
      </c>
      <c r="J72" s="295">
        <f t="shared" si="22"/>
        <v>0</v>
      </c>
      <c r="K72" s="186">
        <f>SUM(E72:J72)</f>
        <v>0</v>
      </c>
      <c r="L72" s="185">
        <f>D72-K72</f>
        <v>0</v>
      </c>
    </row>
    <row r="73" spans="1:15">
      <c r="A73" s="180">
        <v>2016</v>
      </c>
      <c r="C73" s="197"/>
      <c r="D73" s="295">
        <f>D14-D53</f>
        <v>2145459.7916902006</v>
      </c>
      <c r="E73" s="295">
        <f t="shared" ref="E73:J73" si="23">E69/$K$69*$D73</f>
        <v>1081821.0394129404</v>
      </c>
      <c r="F73" s="295">
        <f t="shared" si="23"/>
        <v>545486.90613136266</v>
      </c>
      <c r="G73" s="295">
        <f t="shared" si="23"/>
        <v>518151.84614589758</v>
      </c>
      <c r="H73" s="295">
        <f t="shared" si="23"/>
        <v>0</v>
      </c>
      <c r="I73" s="295">
        <f t="shared" si="23"/>
        <v>0</v>
      </c>
      <c r="J73" s="295">
        <f t="shared" si="23"/>
        <v>0</v>
      </c>
      <c r="K73" s="186">
        <f>SUM(E73:J73)</f>
        <v>2145459.7916902006</v>
      </c>
      <c r="L73" s="185">
        <f>D73-K73</f>
        <v>0</v>
      </c>
    </row>
    <row r="76" spans="1:15">
      <c r="A76" s="201" t="s">
        <v>65</v>
      </c>
      <c r="C76" s="208"/>
      <c r="D76" s="293"/>
      <c r="E76" s="296" t="s">
        <v>139</v>
      </c>
      <c r="F76" s="294"/>
      <c r="G76" s="267"/>
      <c r="H76" s="267"/>
      <c r="I76" s="267"/>
      <c r="J76" s="268"/>
      <c r="K76" s="289"/>
      <c r="L76" s="209"/>
      <c r="O76" s="180"/>
    </row>
    <row r="77" spans="1:15">
      <c r="A77" s="180" t="s">
        <v>153</v>
      </c>
      <c r="C77" s="208"/>
      <c r="D77" s="210"/>
      <c r="E77" s="361">
        <f>'[19]CDM Allocation'!$G$18</f>
        <v>0.20390670380056908</v>
      </c>
      <c r="F77" s="361">
        <f>'[19]CDM Allocation'!$H$18</f>
        <v>0.15189886707560737</v>
      </c>
      <c r="G77" s="361">
        <f>'[19]CDM Allocation'!$I$18</f>
        <v>0.64419442912382352</v>
      </c>
      <c r="H77" s="209"/>
      <c r="I77" s="209"/>
      <c r="J77" s="209"/>
      <c r="K77" s="210"/>
      <c r="L77" s="209" t="s">
        <v>11</v>
      </c>
    </row>
    <row r="78" spans="1:15">
      <c r="A78" s="651">
        <v>2015</v>
      </c>
      <c r="C78" s="211"/>
      <c r="D78" s="646">
        <f>'CDM Activity'!B57</f>
        <v>416666.66666666669</v>
      </c>
      <c r="E78" s="646">
        <f>($D$78-$H$78)*E77</f>
        <v>27432.550371678237</v>
      </c>
      <c r="F78" s="646">
        <f>($D$78-$H$78)*F77</f>
        <v>20435.685756207229</v>
      </c>
      <c r="G78" s="646">
        <f>($D$78-$H$78)*G77</f>
        <v>86666.577394031105</v>
      </c>
      <c r="H78" s="646">
        <f>'[19]Streetlighting CDM'!$G$56</f>
        <v>282131.85314475012</v>
      </c>
      <c r="I78" s="647"/>
      <c r="J78" s="647"/>
      <c r="K78" s="648">
        <f>SUM(E78:J78)</f>
        <v>416666.66666666669</v>
      </c>
      <c r="L78" s="649">
        <f>D78-K78</f>
        <v>0</v>
      </c>
    </row>
    <row r="79" spans="1:15">
      <c r="A79" s="180">
        <v>2016</v>
      </c>
      <c r="C79" s="208"/>
      <c r="D79" s="288">
        <f>'CDM Activity'!B58</f>
        <v>1250000</v>
      </c>
      <c r="E79" s="212">
        <f>($D$79-$H$79)*E77</f>
        <v>195656.40776406473</v>
      </c>
      <c r="F79" s="212">
        <f>($D$79-$H$79)*F77</f>
        <v>145752.86698034278</v>
      </c>
      <c r="G79" s="212">
        <f>($D$79-$H$79)*G77</f>
        <v>618129.59336179483</v>
      </c>
      <c r="H79" s="287">
        <f>'[19]Streetlighting CDM'!$K$56</f>
        <v>290461.13189379766</v>
      </c>
      <c r="I79" s="212"/>
      <c r="J79" s="212"/>
      <c r="K79" s="290">
        <f>SUM(E79:J79)</f>
        <v>1250000</v>
      </c>
      <c r="L79" s="209">
        <f>D79-K79</f>
        <v>0</v>
      </c>
    </row>
    <row r="80" spans="1:15">
      <c r="C80" s="208"/>
      <c r="D80" s="209"/>
      <c r="E80" s="209"/>
      <c r="F80" s="209"/>
      <c r="G80" s="209"/>
      <c r="H80" s="209"/>
      <c r="I80" s="209"/>
      <c r="J80" s="209"/>
      <c r="K80" s="209"/>
      <c r="L80" s="209"/>
    </row>
    <row r="81" spans="3:12">
      <c r="C81" s="214"/>
      <c r="D81" s="209"/>
      <c r="E81" s="198"/>
      <c r="F81" s="209"/>
      <c r="G81" s="209"/>
      <c r="H81" s="209"/>
      <c r="I81" s="209"/>
      <c r="J81" s="209"/>
      <c r="K81" s="209"/>
      <c r="L81" s="209"/>
    </row>
    <row r="82" spans="3:12">
      <c r="C82" s="214"/>
      <c r="D82" s="209"/>
      <c r="E82" s="215"/>
      <c r="F82" s="209"/>
      <c r="G82" s="216"/>
      <c r="H82" s="209"/>
      <c r="I82" s="209"/>
      <c r="J82" s="209"/>
      <c r="K82" s="209"/>
      <c r="L82" s="209"/>
    </row>
    <row r="83" spans="3:12">
      <c r="E83" s="198"/>
      <c r="G83" s="195"/>
    </row>
    <row r="84" spans="3:12">
      <c r="E84" s="215"/>
    </row>
    <row r="86" spans="3:12">
      <c r="D86" s="189"/>
    </row>
  </sheetData>
  <mergeCells count="1">
    <mergeCell ref="E66:J66"/>
  </mergeCells>
  <pageMargins left="0.38" right="0.75" top="0.73" bottom="0.74" header="0.5" footer="0.5"/>
  <pageSetup scale="65" orientation="portrait"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U64"/>
  <sheetViews>
    <sheetView zoomScaleNormal="100" workbookViewId="0">
      <pane xSplit="1" ySplit="2" topLeftCell="B39" activePane="bottomRight" state="frozen"/>
      <selection activeCell="M35" sqref="M35"/>
      <selection pane="topRight" activeCell="M35" sqref="M35"/>
      <selection pane="bottomLeft" activeCell="M35" sqref="M35"/>
      <selection pane="bottomRight" activeCell="L33" sqref="L33"/>
    </sheetView>
  </sheetViews>
  <sheetFormatPr defaultRowHeight="12.75"/>
  <cols>
    <col min="1" max="1" width="11" customWidth="1"/>
    <col min="2" max="2" width="15" style="4" customWidth="1"/>
    <col min="3" max="3" width="14.140625" style="4" bestFit="1" customWidth="1"/>
    <col min="4" max="4" width="16.5703125" style="4" customWidth="1"/>
    <col min="5" max="5" width="17.5703125" style="4" customWidth="1"/>
    <col min="6" max="7" width="12.5703125" style="4" customWidth="1"/>
    <col min="8" max="8" width="12.7109375" style="4" bestFit="1" customWidth="1"/>
    <col min="9" max="9" width="8.7109375" style="4" customWidth="1"/>
    <col min="10" max="10" width="12.5703125" style="4" customWidth="1"/>
    <col min="11" max="11" width="6.5703125" style="4" customWidth="1"/>
    <col min="12" max="12" width="10.85546875" style="4" customWidth="1"/>
  </cols>
  <sheetData>
    <row r="1" spans="1:21" ht="13.5" thickBot="1">
      <c r="B1" s="4" t="s">
        <v>232</v>
      </c>
      <c r="C1" s="248" t="s">
        <v>254</v>
      </c>
      <c r="J1" s="374" t="s">
        <v>211</v>
      </c>
    </row>
    <row r="2" spans="1:21" ht="39" thickTop="1">
      <c r="A2" s="523"/>
      <c r="B2" s="608" t="s">
        <v>1</v>
      </c>
      <c r="C2" s="608" t="s">
        <v>95</v>
      </c>
      <c r="D2" s="608" t="s">
        <v>227</v>
      </c>
      <c r="E2" s="608" t="s">
        <v>159</v>
      </c>
      <c r="F2" s="608" t="s">
        <v>132</v>
      </c>
      <c r="G2" s="608" t="s">
        <v>2</v>
      </c>
      <c r="H2" s="609" t="s">
        <v>5</v>
      </c>
      <c r="J2" s="13" t="s">
        <v>236</v>
      </c>
      <c r="L2" s="13" t="s">
        <v>237</v>
      </c>
    </row>
    <row r="3" spans="1:21">
      <c r="A3" s="610"/>
      <c r="B3" s="518"/>
      <c r="C3" s="518"/>
      <c r="D3" s="518"/>
      <c r="E3" s="518"/>
      <c r="F3" s="518"/>
      <c r="G3" s="518"/>
      <c r="H3" s="494"/>
      <c r="I3" s="11"/>
    </row>
    <row r="4" spans="1:21">
      <c r="A4" s="611">
        <v>2005</v>
      </c>
      <c r="B4" s="233">
        <f>'[18]2005-2014'!K8</f>
        <v>4931</v>
      </c>
      <c r="C4" s="233">
        <f>'[18]2005-2014'!N8</f>
        <v>770</v>
      </c>
      <c r="D4" s="233">
        <f>'[18]2005-2014'!Q8</f>
        <v>67</v>
      </c>
      <c r="E4" s="233">
        <f>'[18]2005-2014'!W8</f>
        <v>1633</v>
      </c>
      <c r="F4" s="233">
        <f>'[18]2005-2014'!T8</f>
        <v>56</v>
      </c>
      <c r="G4" s="233">
        <f>'[18]2005-2014'!Z8</f>
        <v>49</v>
      </c>
      <c r="H4" s="519">
        <f t="shared" ref="H4:H15" si="0">SUM(B4:G4)</f>
        <v>7506</v>
      </c>
      <c r="J4" s="233">
        <f>E4+24+36</f>
        <v>1693</v>
      </c>
      <c r="L4" s="233">
        <f>G4-2+10</f>
        <v>57</v>
      </c>
      <c r="M4" s="482"/>
      <c r="O4" s="21"/>
      <c r="P4" s="21"/>
      <c r="Q4" s="21"/>
      <c r="R4" s="21"/>
      <c r="S4" s="21"/>
      <c r="T4" s="21"/>
      <c r="U4" s="21"/>
    </row>
    <row r="5" spans="1:21">
      <c r="A5" s="611">
        <v>2006</v>
      </c>
      <c r="B5" s="233">
        <f>'[18]2005-2014'!K9</f>
        <v>4962</v>
      </c>
      <c r="C5" s="233">
        <f>'[18]2005-2014'!N9</f>
        <v>771</v>
      </c>
      <c r="D5" s="233">
        <f>'[18]2005-2014'!Q9</f>
        <v>65</v>
      </c>
      <c r="E5" s="233">
        <f>'[18]2005-2014'!W9</f>
        <v>1641</v>
      </c>
      <c r="F5" s="233">
        <f>'[18]2005-2014'!T9</f>
        <v>67</v>
      </c>
      <c r="G5" s="233">
        <f>'[18]2005-2014'!Z9</f>
        <v>50</v>
      </c>
      <c r="H5" s="519">
        <f t="shared" si="0"/>
        <v>7556</v>
      </c>
      <c r="I5" s="9">
        <f>H5/H4</f>
        <v>1.0066613375965894</v>
      </c>
      <c r="J5" s="233">
        <f>E5+24+36</f>
        <v>1701</v>
      </c>
      <c r="L5" s="233">
        <f>G5-2+10</f>
        <v>58</v>
      </c>
      <c r="M5" s="482"/>
      <c r="O5" s="21"/>
      <c r="P5" s="21"/>
      <c r="Q5" s="21"/>
      <c r="R5" s="21"/>
      <c r="S5" s="21"/>
      <c r="T5" s="21"/>
      <c r="U5" s="21"/>
    </row>
    <row r="6" spans="1:21">
      <c r="A6" s="611">
        <v>2007</v>
      </c>
      <c r="B6" s="233">
        <f>'[18]2005-2014'!K10</f>
        <v>4967</v>
      </c>
      <c r="C6" s="233">
        <f>'[18]2005-2014'!N10</f>
        <v>784</v>
      </c>
      <c r="D6" s="233">
        <f>'[18]2005-2014'!Q10</f>
        <v>65</v>
      </c>
      <c r="E6" s="233">
        <f>'[18]2005-2014'!W10</f>
        <v>1644</v>
      </c>
      <c r="F6" s="233">
        <f>'[18]2005-2014'!T10</f>
        <v>67</v>
      </c>
      <c r="G6" s="233">
        <f>'[18]2005-2014'!Z10</f>
        <v>48</v>
      </c>
      <c r="H6" s="519">
        <f t="shared" si="0"/>
        <v>7575</v>
      </c>
      <c r="I6" s="9">
        <f t="shared" ref="I6:I15" si="1">H6/H5</f>
        <v>1.0025145579671784</v>
      </c>
      <c r="J6" s="233">
        <f>E6+24+36</f>
        <v>1704</v>
      </c>
      <c r="L6" s="233">
        <f>G6-2+10</f>
        <v>56</v>
      </c>
      <c r="M6" s="482"/>
      <c r="O6" s="21"/>
      <c r="P6" s="21"/>
      <c r="Q6" s="21"/>
      <c r="R6" s="21"/>
      <c r="S6" s="21"/>
      <c r="T6" s="21"/>
      <c r="U6" s="21"/>
    </row>
    <row r="7" spans="1:21">
      <c r="A7" s="611">
        <v>2008</v>
      </c>
      <c r="B7" s="233">
        <f>'[18]2005-2014'!K11</f>
        <v>4966</v>
      </c>
      <c r="C7" s="233">
        <f>'[18]2005-2014'!N11</f>
        <v>778</v>
      </c>
      <c r="D7" s="233">
        <f>'[18]2005-2014'!Q11</f>
        <v>66</v>
      </c>
      <c r="E7" s="233">
        <f>'[18]2005-2014'!W11</f>
        <v>1637</v>
      </c>
      <c r="F7" s="233">
        <f>'[18]2005-2014'!T11</f>
        <v>67</v>
      </c>
      <c r="G7" s="233">
        <f>'[18]2005-2014'!Z11</f>
        <v>49</v>
      </c>
      <c r="H7" s="519">
        <f t="shared" si="0"/>
        <v>7563</v>
      </c>
      <c r="I7" s="9">
        <f t="shared" si="1"/>
        <v>0.99841584158415841</v>
      </c>
      <c r="J7" s="233">
        <f>E7+24+36</f>
        <v>1697</v>
      </c>
      <c r="L7" s="233">
        <f>G7-2+10</f>
        <v>57</v>
      </c>
      <c r="M7" s="482"/>
      <c r="O7" s="21"/>
      <c r="P7" s="21"/>
      <c r="Q7" s="21"/>
      <c r="R7" s="21"/>
      <c r="S7" s="21"/>
      <c r="T7" s="21"/>
      <c r="U7" s="21"/>
    </row>
    <row r="8" spans="1:21">
      <c r="A8" s="611">
        <v>2009</v>
      </c>
      <c r="B8" s="233">
        <f>'[18]2005-2014'!K12</f>
        <v>4974</v>
      </c>
      <c r="C8" s="233">
        <f>'[18]2005-2014'!N12</f>
        <v>774</v>
      </c>
      <c r="D8" s="233">
        <f>'[18]2005-2014'!Q12</f>
        <v>66</v>
      </c>
      <c r="E8" s="233">
        <f>'[18]2005-2014'!W12</f>
        <v>1640</v>
      </c>
      <c r="F8" s="233">
        <f>'[18]2005-2014'!T12</f>
        <v>75</v>
      </c>
      <c r="G8" s="233">
        <f>'[18]2005-2014'!Z12</f>
        <v>49</v>
      </c>
      <c r="H8" s="519">
        <f t="shared" si="0"/>
        <v>7578</v>
      </c>
      <c r="I8" s="9">
        <f t="shared" si="1"/>
        <v>1.0019833399444664</v>
      </c>
      <c r="J8" s="233">
        <f>E8+24+36</f>
        <v>1700</v>
      </c>
      <c r="L8" s="233">
        <f>G8-2+10</f>
        <v>57</v>
      </c>
      <c r="M8" s="482"/>
      <c r="O8" s="21"/>
      <c r="P8" s="21"/>
      <c r="Q8" s="21"/>
      <c r="R8" s="21"/>
      <c r="S8" s="21"/>
      <c r="T8" s="21"/>
      <c r="U8" s="21"/>
    </row>
    <row r="9" spans="1:21">
      <c r="A9" s="611">
        <v>2010</v>
      </c>
      <c r="B9" s="233">
        <f>'[18]2005-2014'!K13</f>
        <v>4982</v>
      </c>
      <c r="C9" s="233">
        <f>'[18]2005-2014'!N13</f>
        <v>770</v>
      </c>
      <c r="D9" s="233">
        <f>'[18]2005-2014'!Q13</f>
        <v>66</v>
      </c>
      <c r="E9" s="233">
        <f>'[18]2005-2014'!W13</f>
        <v>1701</v>
      </c>
      <c r="F9" s="233">
        <f>'[18]2005-2014'!T13</f>
        <v>75</v>
      </c>
      <c r="G9" s="233">
        <f>'[18]2005-2014'!Z13</f>
        <v>48</v>
      </c>
      <c r="H9" s="519">
        <f t="shared" si="0"/>
        <v>7642</v>
      </c>
      <c r="I9" s="9">
        <f t="shared" si="1"/>
        <v>1.008445500131961</v>
      </c>
      <c r="J9" s="4">
        <f t="shared" ref="J9:J14" si="2">E9</f>
        <v>1701</v>
      </c>
      <c r="L9" s="233">
        <f>G9+10</f>
        <v>58</v>
      </c>
      <c r="M9" s="482"/>
      <c r="O9" s="21"/>
      <c r="P9" s="21"/>
      <c r="Q9" s="21"/>
      <c r="R9" s="21"/>
      <c r="S9" s="21"/>
      <c r="T9" s="21"/>
      <c r="U9" s="21"/>
    </row>
    <row r="10" spans="1:21">
      <c r="A10" s="611">
        <v>2011</v>
      </c>
      <c r="B10" s="233">
        <f>'[18]2005-2014'!K14</f>
        <v>5004</v>
      </c>
      <c r="C10" s="233">
        <f>'[18]2005-2014'!N14</f>
        <v>769</v>
      </c>
      <c r="D10" s="233">
        <f>'[18]2005-2014'!Q14</f>
        <v>66</v>
      </c>
      <c r="E10" s="233">
        <f>'[18]2005-2014'!W14</f>
        <v>1703</v>
      </c>
      <c r="F10" s="233">
        <f>'[18]2005-2014'!T14</f>
        <v>75</v>
      </c>
      <c r="G10" s="233">
        <f>'[18]2005-2014'!Z14</f>
        <v>59</v>
      </c>
      <c r="H10" s="519">
        <f t="shared" si="0"/>
        <v>7676</v>
      </c>
      <c r="I10" s="9">
        <f t="shared" si="1"/>
        <v>1.0044490970950013</v>
      </c>
      <c r="J10" s="4">
        <f t="shared" si="2"/>
        <v>1703</v>
      </c>
      <c r="L10" s="4">
        <f>G10</f>
        <v>59</v>
      </c>
      <c r="M10" s="482"/>
    </row>
    <row r="11" spans="1:21">
      <c r="A11" s="611">
        <v>2012</v>
      </c>
      <c r="B11" s="233">
        <f>'[18]2005-2014'!K15</f>
        <v>5025</v>
      </c>
      <c r="C11" s="233">
        <f>'[18]2005-2014'!N15</f>
        <v>770</v>
      </c>
      <c r="D11" s="233">
        <f>'[18]2005-2014'!Q15</f>
        <v>67</v>
      </c>
      <c r="E11" s="233">
        <f>'[18]2005-2014'!W15</f>
        <v>1703</v>
      </c>
      <c r="F11" s="233">
        <f>'[18]2005-2014'!T15</f>
        <v>75</v>
      </c>
      <c r="G11" s="233">
        <f>'[18]2005-2014'!Z15</f>
        <v>60</v>
      </c>
      <c r="H11" s="519">
        <f t="shared" si="0"/>
        <v>7700</v>
      </c>
      <c r="I11" s="9">
        <f t="shared" si="1"/>
        <v>1.0031266284523188</v>
      </c>
      <c r="J11" s="4">
        <f t="shared" si="2"/>
        <v>1703</v>
      </c>
      <c r="L11" s="4">
        <f>G11</f>
        <v>60</v>
      </c>
      <c r="M11" s="482"/>
      <c r="N11" t="s">
        <v>239</v>
      </c>
    </row>
    <row r="12" spans="1:21">
      <c r="A12" s="611">
        <v>2013</v>
      </c>
      <c r="B12" s="233">
        <f>'[18]2005-2014'!K16</f>
        <v>5035</v>
      </c>
      <c r="C12" s="233">
        <f>'[18]2005-2014'!N16</f>
        <v>759</v>
      </c>
      <c r="D12" s="233">
        <f>'[18]2005-2014'!Q16</f>
        <v>65</v>
      </c>
      <c r="E12" s="233">
        <f>'[18]2005-2014'!W16</f>
        <v>1707</v>
      </c>
      <c r="F12" s="233">
        <f>'[18]2005-2014'!T16</f>
        <v>75</v>
      </c>
      <c r="G12" s="233">
        <f>'[18]2005-2014'!Z16</f>
        <v>61</v>
      </c>
      <c r="H12" s="519">
        <f t="shared" si="0"/>
        <v>7702</v>
      </c>
      <c r="I12" s="9">
        <f t="shared" si="1"/>
        <v>1.0002597402597402</v>
      </c>
      <c r="J12" s="4">
        <f t="shared" si="2"/>
        <v>1707</v>
      </c>
      <c r="L12" s="4">
        <f>G12</f>
        <v>61</v>
      </c>
      <c r="M12" s="482"/>
    </row>
    <row r="13" spans="1:21">
      <c r="A13" s="611">
        <v>2014</v>
      </c>
      <c r="B13" s="233">
        <f>'[18]2005-2014'!K17</f>
        <v>5040</v>
      </c>
      <c r="C13" s="233">
        <f>'[18]2005-2014'!N17</f>
        <v>754</v>
      </c>
      <c r="D13" s="233">
        <f>'[18]2005-2014'!Q17</f>
        <v>64</v>
      </c>
      <c r="E13" s="233">
        <f>'[18]2005-2014'!W17</f>
        <v>1707</v>
      </c>
      <c r="F13" s="233">
        <f>'[18]2005-2014'!T17</f>
        <v>75</v>
      </c>
      <c r="G13" s="233">
        <f>'[18]2005-2014'!Z17</f>
        <v>61</v>
      </c>
      <c r="H13" s="519">
        <f t="shared" si="0"/>
        <v>7701</v>
      </c>
      <c r="I13" s="9">
        <f t="shared" si="1"/>
        <v>0.99987016359387171</v>
      </c>
      <c r="J13" s="4">
        <f t="shared" si="2"/>
        <v>1707</v>
      </c>
      <c r="L13" s="4">
        <f>G13</f>
        <v>61</v>
      </c>
      <c r="M13" s="482"/>
    </row>
    <row r="14" spans="1:21">
      <c r="A14" s="611">
        <v>2015</v>
      </c>
      <c r="B14" s="233">
        <v>5054</v>
      </c>
      <c r="C14" s="233">
        <v>742</v>
      </c>
      <c r="D14" s="233">
        <v>64</v>
      </c>
      <c r="E14" s="233">
        <v>1711</v>
      </c>
      <c r="F14" s="233">
        <v>75</v>
      </c>
      <c r="G14" s="233">
        <v>59</v>
      </c>
      <c r="H14" s="519">
        <f t="shared" si="0"/>
        <v>7705</v>
      </c>
      <c r="I14" s="9">
        <f t="shared" si="1"/>
        <v>1.0005194130632384</v>
      </c>
      <c r="J14" s="301">
        <f t="shared" si="2"/>
        <v>1711</v>
      </c>
      <c r="K14" s="195"/>
      <c r="L14" s="301">
        <f>G14</f>
        <v>59</v>
      </c>
      <c r="M14" s="482"/>
    </row>
    <row r="15" spans="1:21">
      <c r="A15" s="612">
        <v>2016</v>
      </c>
      <c r="B15" s="520">
        <f t="shared" ref="B15:G15" si="3">ROUND(B14*B31,0)</f>
        <v>5066</v>
      </c>
      <c r="C15" s="520">
        <f t="shared" si="3"/>
        <v>739</v>
      </c>
      <c r="D15" s="520">
        <f t="shared" si="3"/>
        <v>64</v>
      </c>
      <c r="E15" s="520">
        <f t="shared" si="3"/>
        <v>1711</v>
      </c>
      <c r="F15" s="520">
        <f t="shared" si="3"/>
        <v>75</v>
      </c>
      <c r="G15" s="520">
        <f t="shared" si="3"/>
        <v>59</v>
      </c>
      <c r="H15" s="521">
        <f t="shared" si="0"/>
        <v>7714</v>
      </c>
      <c r="I15" s="460">
        <f t="shared" si="1"/>
        <v>1.0011680726800778</v>
      </c>
      <c r="J15" s="195">
        <f>J14*J31</f>
        <v>1712.8104922897467</v>
      </c>
      <c r="K15" s="195"/>
      <c r="L15" s="195">
        <f>L14*L31</f>
        <v>59.203819684895272</v>
      </c>
      <c r="M15" s="21"/>
    </row>
    <row r="16" spans="1:21">
      <c r="A16" s="7"/>
      <c r="M16" s="21"/>
    </row>
    <row r="17" spans="1:13" ht="13.5" thickBot="1">
      <c r="A17" s="6" t="s">
        <v>257</v>
      </c>
      <c r="B17" s="3"/>
      <c r="C17" s="3"/>
      <c r="D17" s="522"/>
      <c r="E17" s="20"/>
      <c r="F17" s="3"/>
      <c r="G17" s="3"/>
      <c r="M17" s="21"/>
    </row>
    <row r="18" spans="1:13" ht="26.25" thickTop="1">
      <c r="A18" s="613"/>
      <c r="B18" s="608" t="s">
        <v>1</v>
      </c>
      <c r="C18" s="608" t="s">
        <v>95</v>
      </c>
      <c r="D18" s="608" t="s">
        <v>227</v>
      </c>
      <c r="E18" s="608" t="s">
        <v>159</v>
      </c>
      <c r="F18" s="608" t="s">
        <v>132</v>
      </c>
      <c r="G18" s="608" t="s">
        <v>2</v>
      </c>
      <c r="M18" s="21"/>
    </row>
    <row r="19" spans="1:13">
      <c r="A19" s="611">
        <v>2005</v>
      </c>
      <c r="B19" s="240"/>
      <c r="C19" s="240"/>
      <c r="D19" s="240"/>
      <c r="E19" s="240"/>
      <c r="F19" s="240"/>
      <c r="G19" s="240"/>
      <c r="J19" s="4" t="s">
        <v>131</v>
      </c>
      <c r="L19" s="4" t="s">
        <v>2</v>
      </c>
      <c r="M19" s="21"/>
    </row>
    <row r="20" spans="1:13">
      <c r="A20" s="611">
        <v>2006</v>
      </c>
      <c r="B20" s="240">
        <f t="shared" ref="B20:G29" si="4">B5/B4</f>
        <v>1.0062867572500507</v>
      </c>
      <c r="C20" s="240">
        <f t="shared" si="4"/>
        <v>1.0012987012987014</v>
      </c>
      <c r="D20" s="240">
        <f t="shared" si="4"/>
        <v>0.97014925373134331</v>
      </c>
      <c r="E20" s="240">
        <f t="shared" si="4"/>
        <v>1.0048989589712187</v>
      </c>
      <c r="F20" s="240">
        <f t="shared" si="4"/>
        <v>1.1964285714285714</v>
      </c>
      <c r="G20" s="240">
        <f t="shared" si="4"/>
        <v>1.0204081632653061</v>
      </c>
      <c r="J20" s="240">
        <f t="shared" ref="J20:J29" si="5">J5/J4</f>
        <v>1.0047253396337861</v>
      </c>
      <c r="L20" s="240">
        <f t="shared" ref="L20:L29" si="6">L5/L4</f>
        <v>1.0175438596491229</v>
      </c>
      <c r="M20" s="21"/>
    </row>
    <row r="21" spans="1:13">
      <c r="A21" s="611">
        <v>2007</v>
      </c>
      <c r="B21" s="240">
        <f t="shared" si="4"/>
        <v>1.0010076582023377</v>
      </c>
      <c r="C21" s="240">
        <f t="shared" si="4"/>
        <v>1.0168612191958495</v>
      </c>
      <c r="D21" s="240">
        <f t="shared" si="4"/>
        <v>1</v>
      </c>
      <c r="E21" s="240">
        <f t="shared" si="4"/>
        <v>1.0018281535648994</v>
      </c>
      <c r="F21" s="240">
        <f t="shared" si="4"/>
        <v>1</v>
      </c>
      <c r="G21" s="240">
        <f t="shared" si="4"/>
        <v>0.96</v>
      </c>
      <c r="J21" s="240">
        <f t="shared" si="5"/>
        <v>1.001763668430335</v>
      </c>
      <c r="L21" s="240">
        <f t="shared" si="6"/>
        <v>0.96551724137931039</v>
      </c>
      <c r="M21" s="21"/>
    </row>
    <row r="22" spans="1:13">
      <c r="A22" s="611">
        <v>2008</v>
      </c>
      <c r="B22" s="240">
        <f t="shared" si="4"/>
        <v>0.99979867123011879</v>
      </c>
      <c r="C22" s="240">
        <f t="shared" si="4"/>
        <v>0.99234693877551017</v>
      </c>
      <c r="D22" s="240">
        <f t="shared" si="4"/>
        <v>1.0153846153846153</v>
      </c>
      <c r="E22" s="240">
        <f t="shared" si="4"/>
        <v>0.99574209245742096</v>
      </c>
      <c r="F22" s="240">
        <f t="shared" si="4"/>
        <v>1</v>
      </c>
      <c r="G22" s="240">
        <f t="shared" si="4"/>
        <v>1.0208333333333333</v>
      </c>
      <c r="J22" s="240">
        <f t="shared" si="5"/>
        <v>0.99589201877934275</v>
      </c>
      <c r="L22" s="240">
        <f t="shared" si="6"/>
        <v>1.0178571428571428</v>
      </c>
      <c r="M22" s="21"/>
    </row>
    <row r="23" spans="1:13">
      <c r="A23" s="611">
        <v>2009</v>
      </c>
      <c r="B23" s="240">
        <f t="shared" si="4"/>
        <v>1.0016109544905356</v>
      </c>
      <c r="C23" s="240">
        <f t="shared" si="4"/>
        <v>0.99485861182519275</v>
      </c>
      <c r="D23" s="240">
        <f t="shared" si="4"/>
        <v>1</v>
      </c>
      <c r="E23" s="410">
        <f t="shared" si="4"/>
        <v>1.0018326206475259</v>
      </c>
      <c r="F23" s="240">
        <f t="shared" si="4"/>
        <v>1.1194029850746268</v>
      </c>
      <c r="G23" s="240">
        <f t="shared" si="4"/>
        <v>1</v>
      </c>
      <c r="J23" s="240">
        <f t="shared" si="5"/>
        <v>1.0017678255745432</v>
      </c>
      <c r="L23" s="240">
        <f t="shared" si="6"/>
        <v>1</v>
      </c>
      <c r="M23" s="21"/>
    </row>
    <row r="24" spans="1:13">
      <c r="A24" s="611">
        <v>2010</v>
      </c>
      <c r="B24" s="240">
        <f t="shared" si="4"/>
        <v>1.0016083634901487</v>
      </c>
      <c r="C24" s="240">
        <f t="shared" si="4"/>
        <v>0.9948320413436692</v>
      </c>
      <c r="D24" s="240">
        <f t="shared" si="4"/>
        <v>1</v>
      </c>
      <c r="E24" s="410">
        <f t="shared" si="4"/>
        <v>1.0371951219512194</v>
      </c>
      <c r="F24" s="453">
        <f t="shared" si="4"/>
        <v>1</v>
      </c>
      <c r="G24" s="240">
        <f t="shared" si="4"/>
        <v>0.97959183673469385</v>
      </c>
      <c r="J24" s="240">
        <f t="shared" si="5"/>
        <v>1.0005882352941176</v>
      </c>
      <c r="L24" s="240">
        <f t="shared" si="6"/>
        <v>1.0175438596491229</v>
      </c>
      <c r="M24" s="21"/>
    </row>
    <row r="25" spans="1:13">
      <c r="A25" s="611">
        <v>2011</v>
      </c>
      <c r="B25" s="240">
        <f t="shared" si="4"/>
        <v>1.0044158972300281</v>
      </c>
      <c r="C25" s="240">
        <f t="shared" si="4"/>
        <v>0.99870129870129876</v>
      </c>
      <c r="D25" s="240">
        <f t="shared" si="4"/>
        <v>1</v>
      </c>
      <c r="E25" s="240">
        <f t="shared" si="4"/>
        <v>1.0011757789535567</v>
      </c>
      <c r="F25" s="240">
        <f t="shared" si="4"/>
        <v>1</v>
      </c>
      <c r="G25" s="240">
        <f t="shared" si="4"/>
        <v>1.2291666666666667</v>
      </c>
      <c r="J25" s="240">
        <f t="shared" si="5"/>
        <v>1.0011757789535567</v>
      </c>
      <c r="L25" s="240">
        <f t="shared" si="6"/>
        <v>1.0172413793103448</v>
      </c>
      <c r="M25" s="21"/>
    </row>
    <row r="26" spans="1:13">
      <c r="A26" s="611">
        <v>2012</v>
      </c>
      <c r="B26" s="240">
        <f t="shared" si="4"/>
        <v>1.0041966426858513</v>
      </c>
      <c r="C26" s="240">
        <f t="shared" si="4"/>
        <v>1.0013003901170352</v>
      </c>
      <c r="D26" s="240">
        <f t="shared" si="4"/>
        <v>1.0151515151515151</v>
      </c>
      <c r="E26" s="240">
        <f t="shared" si="4"/>
        <v>1</v>
      </c>
      <c r="F26" s="240">
        <f t="shared" si="4"/>
        <v>1</v>
      </c>
      <c r="G26" s="240">
        <f t="shared" si="4"/>
        <v>1.0169491525423728</v>
      </c>
      <c r="J26" s="240">
        <f t="shared" si="5"/>
        <v>1</v>
      </c>
      <c r="L26" s="240">
        <f t="shared" si="6"/>
        <v>1.0169491525423728</v>
      </c>
      <c r="M26" s="21"/>
    </row>
    <row r="27" spans="1:13">
      <c r="A27" s="611">
        <v>2013</v>
      </c>
      <c r="B27" s="240">
        <f t="shared" si="4"/>
        <v>1.0019900497512437</v>
      </c>
      <c r="C27" s="240">
        <f t="shared" si="4"/>
        <v>0.98571428571428577</v>
      </c>
      <c r="D27" s="240">
        <f t="shared" si="4"/>
        <v>0.97014925373134331</v>
      </c>
      <c r="E27" s="240">
        <f t="shared" si="4"/>
        <v>1.002348796241926</v>
      </c>
      <c r="F27" s="240">
        <f t="shared" si="4"/>
        <v>1</v>
      </c>
      <c r="G27" s="240">
        <f t="shared" si="4"/>
        <v>1.0166666666666666</v>
      </c>
      <c r="J27" s="240">
        <f t="shared" si="5"/>
        <v>1.002348796241926</v>
      </c>
      <c r="L27" s="240">
        <f t="shared" si="6"/>
        <v>1.0166666666666666</v>
      </c>
      <c r="M27" s="21"/>
    </row>
    <row r="28" spans="1:13">
      <c r="A28" s="611">
        <v>2014</v>
      </c>
      <c r="B28" s="240">
        <f t="shared" si="4"/>
        <v>1.0009930486593843</v>
      </c>
      <c r="C28" s="240">
        <f t="shared" si="4"/>
        <v>0.99341238471673254</v>
      </c>
      <c r="D28" s="240">
        <f t="shared" si="4"/>
        <v>0.98461538461538467</v>
      </c>
      <c r="E28" s="240">
        <f t="shared" si="4"/>
        <v>1</v>
      </c>
      <c r="F28" s="240">
        <f t="shared" si="4"/>
        <v>1</v>
      </c>
      <c r="G28" s="240">
        <f t="shared" si="4"/>
        <v>1</v>
      </c>
      <c r="J28" s="240">
        <f t="shared" si="5"/>
        <v>1</v>
      </c>
      <c r="L28" s="240">
        <f t="shared" si="6"/>
        <v>1</v>
      </c>
      <c r="M28" s="21"/>
    </row>
    <row r="29" spans="1:13">
      <c r="A29" s="611">
        <v>2015</v>
      </c>
      <c r="B29" s="240">
        <f t="shared" si="4"/>
        <v>1.0027777777777778</v>
      </c>
      <c r="C29" s="240">
        <f t="shared" si="4"/>
        <v>0.98408488063660482</v>
      </c>
      <c r="D29" s="240">
        <f t="shared" si="4"/>
        <v>1</v>
      </c>
      <c r="E29" s="240">
        <f t="shared" si="4"/>
        <v>1.0023432923257176</v>
      </c>
      <c r="F29" s="240">
        <f t="shared" si="4"/>
        <v>1</v>
      </c>
      <c r="G29" s="240">
        <f t="shared" si="4"/>
        <v>0.96721311475409832</v>
      </c>
      <c r="J29" s="240">
        <f t="shared" si="5"/>
        <v>1.0023432923257176</v>
      </c>
      <c r="L29" s="240">
        <f t="shared" si="6"/>
        <v>0.96721311475409832</v>
      </c>
      <c r="M29" s="21"/>
    </row>
    <row r="30" spans="1:13">
      <c r="A30" s="614"/>
      <c r="B30" s="241"/>
      <c r="C30" s="241"/>
      <c r="D30" s="241"/>
      <c r="E30" s="241"/>
      <c r="F30" s="241"/>
      <c r="G30" s="241"/>
      <c r="M30" s="21"/>
    </row>
    <row r="31" spans="1:13">
      <c r="A31" s="614" t="s">
        <v>49</v>
      </c>
      <c r="B31" s="438">
        <f>B33</f>
        <v>1.0024668578715914</v>
      </c>
      <c r="C31" s="438">
        <f>C33</f>
        <v>0.99630272464839298</v>
      </c>
      <c r="D31" s="438">
        <f>D33</f>
        <v>0.99542952296117082</v>
      </c>
      <c r="E31" s="438">
        <v>1</v>
      </c>
      <c r="F31" s="438">
        <v>1</v>
      </c>
      <c r="G31" s="438">
        <f>L31</f>
        <v>1.0034545709304283</v>
      </c>
      <c r="J31" s="9">
        <f>J33</f>
        <v>1.0010581486205417</v>
      </c>
      <c r="K31" s="9"/>
      <c r="L31" s="9">
        <f>L33</f>
        <v>1.0034545709304283</v>
      </c>
      <c r="M31" s="21"/>
    </row>
    <row r="32" spans="1:13">
      <c r="A32" s="614"/>
      <c r="B32" s="242"/>
      <c r="C32" s="242"/>
      <c r="D32" s="242"/>
      <c r="E32" s="242"/>
      <c r="F32" s="242"/>
      <c r="G32" s="242"/>
      <c r="M32" s="21"/>
    </row>
    <row r="33" spans="1:13">
      <c r="A33" s="614" t="s">
        <v>9</v>
      </c>
      <c r="B33" s="242">
        <f t="shared" ref="B33:G33" si="7">GEOMEAN(B20:B29)</f>
        <v>1.0024668578715914</v>
      </c>
      <c r="C33" s="242">
        <f t="shared" si="7"/>
        <v>0.99630272464839298</v>
      </c>
      <c r="D33" s="242">
        <f t="shared" si="7"/>
        <v>0.99542952296117082</v>
      </c>
      <c r="E33" s="242">
        <f t="shared" si="7"/>
        <v>1.0046768204378831</v>
      </c>
      <c r="F33" s="242">
        <f t="shared" si="7"/>
        <v>1.0296445465874009</v>
      </c>
      <c r="G33" s="242">
        <f t="shared" si="7"/>
        <v>1.0187452414365608</v>
      </c>
      <c r="H33" s="9" t="s">
        <v>250</v>
      </c>
      <c r="J33" s="242">
        <f>GEOMEAN(J20:J29)</f>
        <v>1.0010581486205417</v>
      </c>
      <c r="K33" s="9"/>
      <c r="L33" s="242">
        <f>GEOMEAN(L20:L29)</f>
        <v>1.0034545709304283</v>
      </c>
      <c r="M33" s="21"/>
    </row>
    <row r="34" spans="1:13">
      <c r="A34" s="2"/>
      <c r="B34" s="242"/>
      <c r="C34" s="9"/>
      <c r="D34" s="9"/>
      <c r="E34" s="9"/>
      <c r="F34" s="9"/>
      <c r="G34" s="9"/>
      <c r="I34" s="9"/>
      <c r="M34" s="21"/>
    </row>
    <row r="35" spans="1:13">
      <c r="A35" s="2"/>
      <c r="B35" s="242"/>
      <c r="C35" s="9"/>
      <c r="D35" s="9"/>
      <c r="E35" s="9"/>
      <c r="F35" s="9"/>
      <c r="G35" s="9"/>
      <c r="I35" s="9"/>
    </row>
    <row r="36" spans="1:13">
      <c r="A36" s="2"/>
      <c r="B36" s="242"/>
      <c r="C36" s="9"/>
      <c r="D36" s="9"/>
      <c r="E36" s="9"/>
      <c r="F36" s="9"/>
      <c r="G36" s="9"/>
      <c r="I36" s="9"/>
    </row>
    <row r="37" spans="1:13">
      <c r="A37" s="2"/>
      <c r="B37" s="414" t="s">
        <v>233</v>
      </c>
      <c r="C37" s="9"/>
      <c r="D37" s="9"/>
      <c r="E37" s="9" t="s">
        <v>267</v>
      </c>
      <c r="F37" s="9"/>
      <c r="G37" s="9"/>
      <c r="I37" s="9"/>
    </row>
    <row r="38" spans="1:13">
      <c r="A38" s="2">
        <v>2005</v>
      </c>
      <c r="B38" s="242"/>
      <c r="C38" s="242"/>
      <c r="D38" s="242"/>
      <c r="E38" s="242"/>
      <c r="F38" s="242"/>
      <c r="G38" s="242"/>
    </row>
    <row r="39" spans="1:13">
      <c r="A39" s="2">
        <v>2006</v>
      </c>
      <c r="B39" s="415">
        <f t="shared" ref="B39:G48" si="8">AVERAGE(B4:B5)</f>
        <v>4946.5</v>
      </c>
      <c r="C39" s="415">
        <f t="shared" si="8"/>
        <v>770.5</v>
      </c>
      <c r="D39" s="415">
        <f t="shared" si="8"/>
        <v>66</v>
      </c>
      <c r="E39" s="415">
        <f t="shared" si="8"/>
        <v>1637</v>
      </c>
      <c r="F39" s="415">
        <f t="shared" si="8"/>
        <v>61.5</v>
      </c>
      <c r="G39" s="415">
        <f t="shared" si="8"/>
        <v>49.5</v>
      </c>
      <c r="H39" s="4">
        <f t="shared" ref="H39:H44" si="9">SUM(B39:G39)</f>
        <v>7531</v>
      </c>
      <c r="J39" s="4">
        <f t="shared" ref="J39:J48" si="10">AVERAGE(J4:J5)</f>
        <v>1697</v>
      </c>
    </row>
    <row r="40" spans="1:13">
      <c r="A40">
        <v>2007</v>
      </c>
      <c r="B40" s="415">
        <f t="shared" si="8"/>
        <v>4964.5</v>
      </c>
      <c r="C40" s="415">
        <f t="shared" si="8"/>
        <v>777.5</v>
      </c>
      <c r="D40" s="415">
        <f t="shared" si="8"/>
        <v>65</v>
      </c>
      <c r="E40" s="415">
        <f t="shared" si="8"/>
        <v>1642.5</v>
      </c>
      <c r="F40" s="415">
        <f t="shared" si="8"/>
        <v>67</v>
      </c>
      <c r="G40" s="415">
        <f t="shared" si="8"/>
        <v>49</v>
      </c>
      <c r="H40" s="4">
        <f t="shared" si="9"/>
        <v>7565.5</v>
      </c>
      <c r="J40" s="4">
        <f t="shared" si="10"/>
        <v>1702.5</v>
      </c>
    </row>
    <row r="41" spans="1:13">
      <c r="A41">
        <v>2008</v>
      </c>
      <c r="B41" s="415">
        <f t="shared" si="8"/>
        <v>4966.5</v>
      </c>
      <c r="C41" s="415">
        <f t="shared" si="8"/>
        <v>781</v>
      </c>
      <c r="D41" s="415">
        <f t="shared" si="8"/>
        <v>65.5</v>
      </c>
      <c r="E41" s="415">
        <f t="shared" si="8"/>
        <v>1640.5</v>
      </c>
      <c r="F41" s="415">
        <f t="shared" si="8"/>
        <v>67</v>
      </c>
      <c r="G41" s="415">
        <f t="shared" si="8"/>
        <v>48.5</v>
      </c>
      <c r="H41" s="4">
        <f t="shared" si="9"/>
        <v>7569</v>
      </c>
      <c r="J41" s="4">
        <f t="shared" si="10"/>
        <v>1700.5</v>
      </c>
    </row>
    <row r="42" spans="1:13">
      <c r="A42">
        <v>2009</v>
      </c>
      <c r="B42" s="415">
        <f t="shared" si="8"/>
        <v>4970</v>
      </c>
      <c r="C42" s="415">
        <f t="shared" si="8"/>
        <v>776</v>
      </c>
      <c r="D42" s="415">
        <f t="shared" si="8"/>
        <v>66</v>
      </c>
      <c r="E42" s="415">
        <f t="shared" si="8"/>
        <v>1638.5</v>
      </c>
      <c r="F42" s="415">
        <f t="shared" si="8"/>
        <v>71</v>
      </c>
      <c r="G42" s="415">
        <f t="shared" si="8"/>
        <v>49</v>
      </c>
      <c r="H42" s="4">
        <f t="shared" si="9"/>
        <v>7570.5</v>
      </c>
      <c r="J42" s="4">
        <f t="shared" si="10"/>
        <v>1698.5</v>
      </c>
    </row>
    <row r="43" spans="1:13">
      <c r="A43">
        <v>2010</v>
      </c>
      <c r="B43" s="415">
        <f t="shared" si="8"/>
        <v>4978</v>
      </c>
      <c r="C43" s="415">
        <f t="shared" si="8"/>
        <v>772</v>
      </c>
      <c r="D43" s="415">
        <f t="shared" si="8"/>
        <v>66</v>
      </c>
      <c r="E43" s="415">
        <f t="shared" si="8"/>
        <v>1670.5</v>
      </c>
      <c r="F43" s="415">
        <f t="shared" si="8"/>
        <v>75</v>
      </c>
      <c r="G43" s="415">
        <f t="shared" si="8"/>
        <v>48.5</v>
      </c>
      <c r="H43" s="4">
        <f t="shared" si="9"/>
        <v>7610</v>
      </c>
      <c r="J43" s="4">
        <f t="shared" si="10"/>
        <v>1700.5</v>
      </c>
    </row>
    <row r="44" spans="1:13">
      <c r="A44">
        <v>2011</v>
      </c>
      <c r="B44" s="415">
        <f t="shared" si="8"/>
        <v>4993</v>
      </c>
      <c r="C44" s="415">
        <f t="shared" si="8"/>
        <v>769.5</v>
      </c>
      <c r="D44" s="415">
        <f t="shared" si="8"/>
        <v>66</v>
      </c>
      <c r="E44" s="415">
        <f t="shared" si="8"/>
        <v>1702</v>
      </c>
      <c r="F44" s="415">
        <f t="shared" si="8"/>
        <v>75</v>
      </c>
      <c r="G44" s="415">
        <f t="shared" si="8"/>
        <v>53.5</v>
      </c>
      <c r="H44" s="4">
        <f t="shared" si="9"/>
        <v>7659</v>
      </c>
      <c r="J44" s="4">
        <f t="shared" si="10"/>
        <v>1702</v>
      </c>
    </row>
    <row r="45" spans="1:13">
      <c r="A45">
        <v>2012</v>
      </c>
      <c r="B45" s="415">
        <f t="shared" si="8"/>
        <v>5014.5</v>
      </c>
      <c r="C45" s="415">
        <f t="shared" si="8"/>
        <v>769.5</v>
      </c>
      <c r="D45" s="415">
        <f t="shared" si="8"/>
        <v>66.5</v>
      </c>
      <c r="E45" s="415">
        <f t="shared" si="8"/>
        <v>1703</v>
      </c>
      <c r="F45" s="415">
        <f t="shared" si="8"/>
        <v>75</v>
      </c>
      <c r="G45" s="415">
        <f t="shared" si="8"/>
        <v>59.5</v>
      </c>
      <c r="H45" s="4">
        <f>SUM(B45:G45)</f>
        <v>7688</v>
      </c>
      <c r="J45" s="4">
        <f t="shared" si="10"/>
        <v>1703</v>
      </c>
    </row>
    <row r="46" spans="1:13">
      <c r="A46">
        <v>2013</v>
      </c>
      <c r="B46" s="415">
        <f t="shared" si="8"/>
        <v>5030</v>
      </c>
      <c r="C46" s="415">
        <f t="shared" si="8"/>
        <v>764.5</v>
      </c>
      <c r="D46" s="415">
        <f t="shared" si="8"/>
        <v>66</v>
      </c>
      <c r="E46" s="415">
        <f t="shared" si="8"/>
        <v>1705</v>
      </c>
      <c r="F46" s="415">
        <f t="shared" si="8"/>
        <v>75</v>
      </c>
      <c r="G46" s="415">
        <f t="shared" si="8"/>
        <v>60.5</v>
      </c>
      <c r="H46" s="4">
        <f>SUM(B46:G46)</f>
        <v>7701</v>
      </c>
      <c r="J46" s="4">
        <f t="shared" si="10"/>
        <v>1705</v>
      </c>
    </row>
    <row r="47" spans="1:13">
      <c r="A47">
        <v>2014</v>
      </c>
      <c r="B47" s="415">
        <f t="shared" si="8"/>
        <v>5037.5</v>
      </c>
      <c r="C47" s="415">
        <f t="shared" si="8"/>
        <v>756.5</v>
      </c>
      <c r="D47" s="415">
        <f t="shared" si="8"/>
        <v>64.5</v>
      </c>
      <c r="E47" s="415">
        <f t="shared" si="8"/>
        <v>1707</v>
      </c>
      <c r="F47" s="415">
        <f t="shared" si="8"/>
        <v>75</v>
      </c>
      <c r="G47" s="415">
        <f t="shared" si="8"/>
        <v>61</v>
      </c>
      <c r="H47" s="4">
        <f>SUM(B47:G47)</f>
        <v>7701.5</v>
      </c>
      <c r="J47" s="4">
        <f t="shared" si="10"/>
        <v>1707</v>
      </c>
    </row>
    <row r="48" spans="1:13">
      <c r="A48">
        <v>2015</v>
      </c>
      <c r="B48" s="415">
        <f t="shared" si="8"/>
        <v>5047</v>
      </c>
      <c r="C48" s="415">
        <f t="shared" si="8"/>
        <v>748</v>
      </c>
      <c r="D48" s="415">
        <f t="shared" si="8"/>
        <v>64</v>
      </c>
      <c r="E48" s="415">
        <f t="shared" si="8"/>
        <v>1709</v>
      </c>
      <c r="F48" s="415">
        <f t="shared" si="8"/>
        <v>75</v>
      </c>
      <c r="G48" s="415">
        <f t="shared" si="8"/>
        <v>60</v>
      </c>
      <c r="H48" s="4">
        <f>SUM(B48:G48)</f>
        <v>7703</v>
      </c>
      <c r="J48" s="4">
        <f t="shared" si="10"/>
        <v>1709</v>
      </c>
    </row>
    <row r="49" spans="1:10">
      <c r="A49">
        <v>2016</v>
      </c>
      <c r="B49" s="4">
        <f t="shared" ref="B49:G49" si="11">B48*B63</f>
        <v>5058.5137572709818</v>
      </c>
      <c r="C49" s="4">
        <f t="shared" si="11"/>
        <v>746.28744259740813</v>
      </c>
      <c r="D49" s="4">
        <f t="shared" si="11"/>
        <v>63.816347860225491</v>
      </c>
      <c r="E49" s="4">
        <f t="shared" si="11"/>
        <v>1710.2556056434667</v>
      </c>
      <c r="F49" s="4">
        <f t="shared" si="11"/>
        <v>75</v>
      </c>
      <c r="G49" s="4">
        <f t="shared" si="11"/>
        <v>60</v>
      </c>
      <c r="H49" s="4">
        <f>SUM(B49:G49)</f>
        <v>7713.873153372082</v>
      </c>
    </row>
    <row r="51" spans="1:10">
      <c r="A51">
        <v>2005</v>
      </c>
      <c r="B51" s="242"/>
      <c r="C51" s="483" t="s">
        <v>255</v>
      </c>
      <c r="J51" s="4" t="s">
        <v>131</v>
      </c>
    </row>
    <row r="52" spans="1:10">
      <c r="A52">
        <v>2006</v>
      </c>
      <c r="J52" s="240"/>
    </row>
    <row r="53" spans="1:10">
      <c r="A53">
        <v>2007</v>
      </c>
      <c r="B53" s="9">
        <f t="shared" ref="B53:G53" si="12">B40/B39</f>
        <v>1.0036389366218539</v>
      </c>
      <c r="C53" s="9">
        <f t="shared" si="12"/>
        <v>1.009085009733939</v>
      </c>
      <c r="D53" s="9">
        <f t="shared" si="12"/>
        <v>0.98484848484848486</v>
      </c>
      <c r="E53" s="9">
        <f t="shared" si="12"/>
        <v>1.0033598045204644</v>
      </c>
      <c r="F53" s="9">
        <f t="shared" si="12"/>
        <v>1.089430894308943</v>
      </c>
      <c r="G53" s="9">
        <f t="shared" si="12"/>
        <v>0.98989898989898994</v>
      </c>
      <c r="H53" s="9"/>
      <c r="I53" s="9"/>
      <c r="J53" s="9">
        <f t="shared" ref="J53:J61" si="13">J40/J39</f>
        <v>1.0032410135533294</v>
      </c>
    </row>
    <row r="54" spans="1:10">
      <c r="A54">
        <v>2008</v>
      </c>
      <c r="B54" s="9">
        <f t="shared" ref="B54:G61" si="14">B41/B40</f>
        <v>1.000402860308188</v>
      </c>
      <c r="C54" s="9">
        <f t="shared" si="14"/>
        <v>1.0045016077170419</v>
      </c>
      <c r="D54" s="9">
        <f t="shared" si="14"/>
        <v>1.0076923076923077</v>
      </c>
      <c r="E54" s="9">
        <f t="shared" si="14"/>
        <v>0.9987823439878234</v>
      </c>
      <c r="F54" s="9">
        <f t="shared" si="14"/>
        <v>1</v>
      </c>
      <c r="G54" s="9">
        <f t="shared" si="14"/>
        <v>0.98979591836734693</v>
      </c>
      <c r="H54" s="9"/>
      <c r="I54" s="9"/>
      <c r="J54" s="9">
        <f t="shared" si="13"/>
        <v>0.99882525697503666</v>
      </c>
    </row>
    <row r="55" spans="1:10">
      <c r="A55">
        <v>2009</v>
      </c>
      <c r="B55" s="9">
        <f t="shared" si="14"/>
        <v>1.0007047216349543</v>
      </c>
      <c r="C55" s="9">
        <f t="shared" si="14"/>
        <v>0.99359795134443019</v>
      </c>
      <c r="D55" s="9">
        <f t="shared" si="14"/>
        <v>1.0076335877862594</v>
      </c>
      <c r="E55" s="9">
        <f t="shared" si="14"/>
        <v>0.99878085949405671</v>
      </c>
      <c r="F55" s="9">
        <f t="shared" si="14"/>
        <v>1.0597014925373134</v>
      </c>
      <c r="G55" s="9">
        <f t="shared" si="14"/>
        <v>1.0103092783505154</v>
      </c>
      <c r="H55" s="9"/>
      <c r="I55" s="9"/>
      <c r="J55" s="9">
        <f t="shared" si="13"/>
        <v>0.99882387533078509</v>
      </c>
    </row>
    <row r="56" spans="1:10">
      <c r="A56">
        <v>2010</v>
      </c>
      <c r="B56" s="9">
        <f t="shared" si="14"/>
        <v>1.0016096579476861</v>
      </c>
      <c r="C56" s="9">
        <f t="shared" si="14"/>
        <v>0.99484536082474229</v>
      </c>
      <c r="D56" s="9">
        <f t="shared" si="14"/>
        <v>1</v>
      </c>
      <c r="E56" s="9">
        <f t="shared" si="14"/>
        <v>1.0195300579798596</v>
      </c>
      <c r="F56" s="9">
        <f t="shared" si="14"/>
        <v>1.056338028169014</v>
      </c>
      <c r="G56" s="9">
        <f t="shared" si="14"/>
        <v>0.98979591836734693</v>
      </c>
      <c r="H56" s="9"/>
      <c r="I56" s="9"/>
      <c r="J56" s="9">
        <f t="shared" si="13"/>
        <v>1.0011775095672653</v>
      </c>
    </row>
    <row r="57" spans="1:10">
      <c r="A57">
        <v>2011</v>
      </c>
      <c r="B57" s="9">
        <f t="shared" si="14"/>
        <v>1.0030132583366813</v>
      </c>
      <c r="C57" s="9">
        <f t="shared" si="14"/>
        <v>0.99676165803108807</v>
      </c>
      <c r="D57" s="9">
        <f t="shared" si="14"/>
        <v>1</v>
      </c>
      <c r="E57" s="9">
        <f t="shared" si="14"/>
        <v>1.0188566297515713</v>
      </c>
      <c r="F57" s="9">
        <f t="shared" si="14"/>
        <v>1</v>
      </c>
      <c r="G57" s="9">
        <f t="shared" si="14"/>
        <v>1.1030927835051547</v>
      </c>
      <c r="H57" s="9"/>
      <c r="I57" s="9"/>
      <c r="J57" s="9">
        <f t="shared" si="13"/>
        <v>1.0008820935019112</v>
      </c>
    </row>
    <row r="58" spans="1:10">
      <c r="A58">
        <v>2012</v>
      </c>
      <c r="B58" s="9">
        <f t="shared" si="14"/>
        <v>1.0043060284398158</v>
      </c>
      <c r="C58" s="9">
        <f t="shared" si="14"/>
        <v>1</v>
      </c>
      <c r="D58" s="9">
        <f t="shared" si="14"/>
        <v>1.0075757575757576</v>
      </c>
      <c r="E58" s="9">
        <f t="shared" si="14"/>
        <v>1.000587544065805</v>
      </c>
      <c r="F58" s="9">
        <f t="shared" si="14"/>
        <v>1</v>
      </c>
      <c r="G58" s="9">
        <f t="shared" si="14"/>
        <v>1.1121495327102804</v>
      </c>
      <c r="H58" s="9"/>
      <c r="I58" s="9"/>
      <c r="J58" s="9">
        <f t="shared" si="13"/>
        <v>1.000587544065805</v>
      </c>
    </row>
    <row r="59" spans="1:10">
      <c r="A59">
        <v>2013</v>
      </c>
      <c r="B59" s="9">
        <f t="shared" si="14"/>
        <v>1.0030910359956127</v>
      </c>
      <c r="C59" s="9">
        <f t="shared" si="14"/>
        <v>0.99350227420402859</v>
      </c>
      <c r="D59" s="9">
        <f t="shared" si="14"/>
        <v>0.99248120300751874</v>
      </c>
      <c r="E59" s="9">
        <f t="shared" si="14"/>
        <v>1.0011743981209631</v>
      </c>
      <c r="F59" s="9">
        <f t="shared" si="14"/>
        <v>1</v>
      </c>
      <c r="G59" s="9">
        <f t="shared" si="14"/>
        <v>1.0168067226890756</v>
      </c>
      <c r="H59" s="9"/>
      <c r="I59" s="9"/>
      <c r="J59" s="9">
        <f t="shared" si="13"/>
        <v>1.0011743981209631</v>
      </c>
    </row>
    <row r="60" spans="1:10">
      <c r="A60">
        <v>2014</v>
      </c>
      <c r="B60" s="9">
        <f t="shared" si="14"/>
        <v>1.0014910536779325</v>
      </c>
      <c r="C60" s="9">
        <f t="shared" si="14"/>
        <v>0.98953564421190321</v>
      </c>
      <c r="D60" s="9">
        <f t="shared" si="14"/>
        <v>0.97727272727272729</v>
      </c>
      <c r="E60" s="9">
        <f t="shared" si="14"/>
        <v>1.0011730205278593</v>
      </c>
      <c r="F60" s="9">
        <f t="shared" si="14"/>
        <v>1</v>
      </c>
      <c r="G60" s="9">
        <f t="shared" si="14"/>
        <v>1.0082644628099173</v>
      </c>
      <c r="H60" s="9"/>
      <c r="I60" s="9"/>
      <c r="J60" s="9">
        <f t="shared" si="13"/>
        <v>1.0011730205278593</v>
      </c>
    </row>
    <row r="61" spans="1:10">
      <c r="A61">
        <v>2015</v>
      </c>
      <c r="B61" s="9">
        <f t="shared" si="14"/>
        <v>1.0018858560794044</v>
      </c>
      <c r="C61" s="9">
        <f t="shared" si="14"/>
        <v>0.9887640449438202</v>
      </c>
      <c r="D61" s="9">
        <f t="shared" si="14"/>
        <v>0.99224806201550386</v>
      </c>
      <c r="E61" s="9">
        <f t="shared" si="14"/>
        <v>1.0011716461628588</v>
      </c>
      <c r="F61" s="9">
        <f t="shared" si="14"/>
        <v>1</v>
      </c>
      <c r="G61" s="9">
        <f t="shared" si="14"/>
        <v>0.98360655737704916</v>
      </c>
      <c r="H61" s="9"/>
      <c r="I61" s="9"/>
      <c r="J61" s="9">
        <f t="shared" si="13"/>
        <v>1.0011716461628588</v>
      </c>
    </row>
    <row r="62" spans="1:10">
      <c r="B62" s="9"/>
      <c r="C62" s="9"/>
      <c r="D62" s="9"/>
      <c r="E62" s="9"/>
      <c r="F62" s="9"/>
      <c r="G62" s="9"/>
    </row>
    <row r="63" spans="1:10">
      <c r="A63" t="s">
        <v>49</v>
      </c>
      <c r="B63" s="9">
        <f>B64</f>
        <v>1.0022813071668282</v>
      </c>
      <c r="C63" s="9">
        <f>C64</f>
        <v>0.99771048475589319</v>
      </c>
      <c r="D63" s="9">
        <f>D64</f>
        <v>0.9971304353160233</v>
      </c>
      <c r="E63" s="9">
        <f>J64</f>
        <v>1.0007347019563877</v>
      </c>
      <c r="F63" s="9">
        <f>1</f>
        <v>1</v>
      </c>
      <c r="G63" s="9">
        <v>1</v>
      </c>
    </row>
    <row r="64" spans="1:10">
      <c r="A64" s="442" t="s">
        <v>9</v>
      </c>
      <c r="B64" s="443">
        <f>GEOMEAN(B53:B60)</f>
        <v>1.0022813071668282</v>
      </c>
      <c r="C64" s="443">
        <f t="shared" ref="C64:J64" si="15">GEOMEAN(C53:C60)</f>
        <v>0.99771048475589319</v>
      </c>
      <c r="D64" s="443">
        <f t="shared" si="15"/>
        <v>0.9971304353160233</v>
      </c>
      <c r="E64" s="443">
        <f t="shared" si="15"/>
        <v>1.0052477395799673</v>
      </c>
      <c r="F64" s="443">
        <f t="shared" si="15"/>
        <v>1.0251166052509357</v>
      </c>
      <c r="G64" s="443">
        <f t="shared" si="15"/>
        <v>1.0264565716006477</v>
      </c>
      <c r="J64" s="242">
        <f t="shared" si="15"/>
        <v>1.0007347019563877</v>
      </c>
    </row>
  </sheetData>
  <phoneticPr fontId="0" type="noConversion"/>
  <pageMargins left="0.38" right="0.75" top="0.73" bottom="0.74" header="0.5" footer="0.5"/>
  <pageSetup scale="40" orientation="landscape" r:id="rId1"/>
  <headerFooter alignWithMargins="0">
    <oddFooter>&amp;L&amp;Z&amp;F</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56"/>
  <sheetViews>
    <sheetView zoomScaleNormal="100" workbookViewId="0">
      <selection activeCell="C35" sqref="C35"/>
    </sheetView>
  </sheetViews>
  <sheetFormatPr defaultRowHeight="12.75"/>
  <cols>
    <col min="1" max="1" width="11" customWidth="1"/>
    <col min="2" max="2" width="19.5703125" style="4" customWidth="1"/>
    <col min="3" max="3" width="17.7109375" style="4" customWidth="1"/>
    <col min="4" max="4" width="16.140625" style="4" customWidth="1"/>
    <col min="5" max="5" width="12.7109375" style="4" bestFit="1" customWidth="1"/>
    <col min="6" max="6" width="12.28515625" style="4" bestFit="1" customWidth="1"/>
    <col min="7" max="7" width="10.7109375" style="4" bestFit="1" customWidth="1"/>
    <col min="8" max="9" width="9.140625" style="4" customWidth="1"/>
  </cols>
  <sheetData>
    <row r="1" spans="1:6" ht="42" customHeight="1">
      <c r="A1" s="299"/>
      <c r="B1" s="300" t="s">
        <v>240</v>
      </c>
      <c r="C1" s="300" t="s">
        <v>156</v>
      </c>
      <c r="D1" s="300" t="s">
        <v>132</v>
      </c>
      <c r="E1" s="4" t="s">
        <v>5</v>
      </c>
    </row>
    <row r="2" spans="1:6">
      <c r="A2" s="4"/>
    </row>
    <row r="3" spans="1:6">
      <c r="A3" s="14">
        <v>2005</v>
      </c>
      <c r="B3" s="368">
        <f>'[18]2005-2014'!P8</f>
        <v>139429</v>
      </c>
      <c r="C3" s="368">
        <f>'[18]2005-2014'!V8</f>
        <v>3764</v>
      </c>
      <c r="D3" s="369">
        <f>'[18]2005-2014'!S8</f>
        <v>261</v>
      </c>
      <c r="E3" s="4">
        <f t="shared" ref="E3:E14" si="0">SUM(B3:D3)</f>
        <v>143454</v>
      </c>
    </row>
    <row r="4" spans="1:6">
      <c r="A4" s="14">
        <v>2006</v>
      </c>
      <c r="B4" s="368">
        <f>'[18]2005-2014'!P9</f>
        <v>133580</v>
      </c>
      <c r="C4" s="368">
        <f>'[18]2005-2014'!V9</f>
        <v>3772</v>
      </c>
      <c r="D4" s="369">
        <f>'[18]2005-2014'!S9</f>
        <v>284</v>
      </c>
      <c r="E4" s="4">
        <f t="shared" si="0"/>
        <v>137636</v>
      </c>
    </row>
    <row r="5" spans="1:6">
      <c r="A5" s="14">
        <v>2007</v>
      </c>
      <c r="B5" s="368">
        <f>'[18]2005-2014'!P10</f>
        <v>118636</v>
      </c>
      <c r="C5" s="368">
        <f>'[18]2005-2014'!V10</f>
        <v>3777</v>
      </c>
      <c r="D5" s="369">
        <f>'[18]2005-2014'!S10</f>
        <v>286</v>
      </c>
      <c r="E5" s="4">
        <f t="shared" si="0"/>
        <v>122699</v>
      </c>
    </row>
    <row r="6" spans="1:6">
      <c r="A6" s="14">
        <v>2008</v>
      </c>
      <c r="B6" s="368">
        <f>'[18]2005-2014'!P11</f>
        <v>124007</v>
      </c>
      <c r="C6" s="368">
        <f>'[18]2005-2014'!V11</f>
        <v>3782</v>
      </c>
      <c r="D6" s="369">
        <f>'[18]2005-2014'!S11</f>
        <v>278</v>
      </c>
      <c r="E6" s="4">
        <f t="shared" si="0"/>
        <v>128067</v>
      </c>
    </row>
    <row r="7" spans="1:6">
      <c r="A7" s="14">
        <v>2009</v>
      </c>
      <c r="B7" s="368">
        <f>'[18]2005-2014'!P12</f>
        <v>130261</v>
      </c>
      <c r="C7" s="368">
        <f>'[18]2005-2014'!V12</f>
        <v>3774</v>
      </c>
      <c r="D7" s="369">
        <f>'[18]2005-2014'!S12</f>
        <v>301</v>
      </c>
      <c r="E7" s="4">
        <f t="shared" si="0"/>
        <v>134336</v>
      </c>
    </row>
    <row r="8" spans="1:6">
      <c r="A8" s="14">
        <v>2010</v>
      </c>
      <c r="B8" s="369">
        <f>'[18]2005-2014'!P13</f>
        <v>132433</v>
      </c>
      <c r="C8" s="369">
        <f>'[18]2005-2014'!V13</f>
        <v>3857</v>
      </c>
      <c r="D8" s="369">
        <f>'[18]2005-2014'!S13</f>
        <v>301</v>
      </c>
      <c r="E8" s="4">
        <f t="shared" si="0"/>
        <v>136591</v>
      </c>
    </row>
    <row r="9" spans="1:6">
      <c r="A9" s="14">
        <v>2011</v>
      </c>
      <c r="B9" s="368">
        <f>'[18]2005-2014'!P14</f>
        <v>130762</v>
      </c>
      <c r="C9" s="368">
        <f>'[18]2005-2014'!V14</f>
        <v>3941</v>
      </c>
      <c r="D9" s="368">
        <f>'[18]2005-2014'!S14</f>
        <v>300</v>
      </c>
      <c r="E9" s="4">
        <f t="shared" si="0"/>
        <v>135003</v>
      </c>
    </row>
    <row r="10" spans="1:6">
      <c r="A10" s="14">
        <v>2012</v>
      </c>
      <c r="B10" s="368">
        <f>'[18]2005-2014'!P15</f>
        <v>125469</v>
      </c>
      <c r="C10" s="368">
        <f>'[18]2005-2014'!V15</f>
        <v>3919</v>
      </c>
      <c r="D10" s="368">
        <f>'[18]2005-2014'!S15</f>
        <v>300</v>
      </c>
      <c r="E10" s="4">
        <f t="shared" si="0"/>
        <v>129688</v>
      </c>
    </row>
    <row r="11" spans="1:6">
      <c r="A11" s="14">
        <v>2013</v>
      </c>
      <c r="B11" s="368">
        <f>'[18]2005-2014'!P16</f>
        <v>133148</v>
      </c>
      <c r="C11" s="368">
        <f>'[18]2005-2014'!V16</f>
        <v>3920</v>
      </c>
      <c r="D11" s="368">
        <f>'[18]2005-2014'!S16</f>
        <v>300</v>
      </c>
      <c r="E11" s="4">
        <f t="shared" si="0"/>
        <v>137368</v>
      </c>
    </row>
    <row r="12" spans="1:6">
      <c r="A12" s="14">
        <v>2014</v>
      </c>
      <c r="B12" s="368">
        <f>'[18]2005-2014'!P17</f>
        <v>131947</v>
      </c>
      <c r="C12" s="368">
        <f>'[18]2005-2014'!V17</f>
        <v>3620</v>
      </c>
      <c r="D12" s="368">
        <f>'[18]2005-2014'!S17</f>
        <v>302</v>
      </c>
      <c r="E12" s="4">
        <f t="shared" si="0"/>
        <v>135869</v>
      </c>
      <c r="F12" s="24"/>
    </row>
    <row r="13" spans="1:6">
      <c r="A13" s="14">
        <v>2015</v>
      </c>
      <c r="B13" s="368">
        <f>'[18]2005-2014'!$E$111</f>
        <v>125734.44</v>
      </c>
      <c r="C13" s="368">
        <f>'[18]2005-2014'!$E$112</f>
        <v>2861.6</v>
      </c>
      <c r="D13" s="368">
        <f>'[18]2005-2014'!$E$113</f>
        <v>302</v>
      </c>
      <c r="E13" s="4">
        <f t="shared" si="0"/>
        <v>128898.04000000001</v>
      </c>
    </row>
    <row r="14" spans="1:6">
      <c r="A14" s="14">
        <v>2016</v>
      </c>
      <c r="B14" s="370">
        <f>B29*'Rate Class Energy Model '!G61</f>
        <v>116926.77087196945</v>
      </c>
      <c r="C14" s="370">
        <f>C29*'Rate Class Energy Model '!H61</f>
        <v>1992.1480754139532</v>
      </c>
      <c r="D14" s="486">
        <f>D29*'Rate Class Energy Model '!I61</f>
        <v>298.78553507276672</v>
      </c>
      <c r="E14" s="4">
        <f t="shared" si="0"/>
        <v>119217.70448245616</v>
      </c>
    </row>
    <row r="15" spans="1:6">
      <c r="A15" s="7"/>
    </row>
    <row r="16" spans="1:6">
      <c r="A16" s="6" t="s">
        <v>50</v>
      </c>
      <c r="B16" s="3"/>
      <c r="C16" s="3"/>
      <c r="D16" s="3"/>
    </row>
    <row r="17" spans="1:6">
      <c r="A17" s="2">
        <v>2005</v>
      </c>
      <c r="B17" s="12">
        <f>B3/'Rate Class Energy Model '!G3</f>
        <v>2.5497537457491609E-3</v>
      </c>
      <c r="C17" s="12">
        <f>C3/'Rate Class Energy Model '!H3</f>
        <v>2.7685509092674372E-3</v>
      </c>
      <c r="D17" s="12">
        <f>D3/'Rate Class Energy Model '!I3</f>
        <v>2.7507272037435183E-3</v>
      </c>
    </row>
    <row r="18" spans="1:6">
      <c r="A18" s="2">
        <v>2006</v>
      </c>
      <c r="B18" s="12">
        <f>B4/'Rate Class Energy Model '!G4</f>
        <v>2.7596080398013239E-3</v>
      </c>
      <c r="C18" s="12">
        <f>C4/'Rate Class Energy Model '!H4</f>
        <v>2.8119602240324194E-3</v>
      </c>
      <c r="D18" s="12">
        <f>D4/'Rate Class Energy Model '!I4</f>
        <v>2.7736000156259157E-3</v>
      </c>
    </row>
    <row r="19" spans="1:6">
      <c r="A19" s="2">
        <v>2007</v>
      </c>
      <c r="B19" s="12">
        <f>B5/'Rate Class Energy Model '!G5</f>
        <v>2.6520250751791972E-3</v>
      </c>
      <c r="C19" s="12">
        <f>C5/'Rate Class Energy Model '!H5</f>
        <v>2.7127287091735048E-3</v>
      </c>
      <c r="D19" s="12">
        <f>D5/'Rate Class Energy Model '!I5</f>
        <v>2.7785064070803339E-3</v>
      </c>
    </row>
    <row r="20" spans="1:6">
      <c r="A20" s="2">
        <v>2008</v>
      </c>
      <c r="B20" s="12">
        <f>B6/'Rate Class Energy Model '!G6</f>
        <v>2.794092504296576E-3</v>
      </c>
      <c r="C20" s="12">
        <f>C6/'Rate Class Energy Model '!H6</f>
        <v>2.712633686147852E-3</v>
      </c>
      <c r="D20" s="12">
        <f>D6/'Rate Class Energy Model '!I6</f>
        <v>2.7755313944549274E-3</v>
      </c>
    </row>
    <row r="21" spans="1:6">
      <c r="A21" s="2">
        <v>2009</v>
      </c>
      <c r="B21" s="12">
        <f>B7/'Rate Class Energy Model '!G7</f>
        <v>3.0228114227792593E-3</v>
      </c>
      <c r="C21" s="12">
        <f>C7/'Rate Class Energy Model '!H7</f>
        <v>2.7074666247705217E-3</v>
      </c>
      <c r="D21" s="12">
        <f>D7/'Rate Class Energy Model '!I7</f>
        <v>2.7727624451895794E-3</v>
      </c>
    </row>
    <row r="22" spans="1:6">
      <c r="A22" s="2">
        <v>2010</v>
      </c>
      <c r="B22" s="12">
        <f>B8/'Rate Class Energy Model '!G8</f>
        <v>3.2024217430297458E-3</v>
      </c>
      <c r="C22" s="12">
        <f>C8/'Rate Class Energy Model '!H8</f>
        <v>2.6977706496262499E-3</v>
      </c>
      <c r="D22" s="12">
        <f>D8/'Rate Class Energy Model '!I8</f>
        <v>2.7799070901484155E-3</v>
      </c>
    </row>
    <row r="23" spans="1:6">
      <c r="A23" s="2">
        <v>2011</v>
      </c>
      <c r="B23" s="12">
        <f>B9/'Rate Class Energy Model '!G9</f>
        <v>3.0387713029111337E-3</v>
      </c>
      <c r="C23" s="12">
        <f>C9/'Rate Class Energy Model '!H9</f>
        <v>2.71068882172733E-3</v>
      </c>
      <c r="D23" s="12">
        <f>D9/'Rate Class Energy Model '!I9</f>
        <v>2.77105540263435E-3</v>
      </c>
      <c r="F23" s="12"/>
    </row>
    <row r="24" spans="1:6">
      <c r="A24" s="2">
        <v>2012</v>
      </c>
      <c r="B24" s="12">
        <f>B10/'Rate Class Energy Model '!G10</f>
        <v>2.9487428636011418E-3</v>
      </c>
      <c r="C24" s="12">
        <f>C10/'Rate Class Energy Model '!H10</f>
        <v>2.6956792093591449E-3</v>
      </c>
      <c r="D24" s="12">
        <f>D10/'Rate Class Energy Model '!I10</f>
        <v>2.7709530231097481E-3</v>
      </c>
      <c r="F24" s="12"/>
    </row>
    <row r="25" spans="1:6">
      <c r="A25" s="2">
        <v>2013</v>
      </c>
      <c r="B25" s="12">
        <f>B11/'Rate Class Energy Model '!G11</f>
        <v>3.1516928158527111E-3</v>
      </c>
      <c r="C25" s="12">
        <f>C11/'Rate Class Energy Model '!H11</f>
        <v>2.7084860599335455E-3</v>
      </c>
      <c r="D25" s="12">
        <f>D11/'Rate Class Energy Model '!I11</f>
        <v>2.7705691672592608E-3</v>
      </c>
      <c r="F25" s="12"/>
    </row>
    <row r="26" spans="1:6">
      <c r="A26" s="2">
        <v>2014</v>
      </c>
      <c r="B26" s="12">
        <f>B12/'Rate Class Energy Model '!G12</f>
        <v>3.0984809090724643E-3</v>
      </c>
      <c r="C26" s="12">
        <f>C12/'Rate Class Energy Model '!H12</f>
        <v>2.739301024211032E-3</v>
      </c>
      <c r="D26" s="12">
        <f>D12/'Rate Class Energy Model '!I12</f>
        <v>2.7629869535781594E-3</v>
      </c>
      <c r="F26" s="12"/>
    </row>
    <row r="27" spans="1:6">
      <c r="A27" s="2">
        <v>2015</v>
      </c>
      <c r="B27" s="12">
        <f>B13/'Rate Class Energy Model '!G13</f>
        <v>3.0728335547147048E-3</v>
      </c>
      <c r="C27" s="12">
        <f>C13/'Rate Class Energy Model '!H13</f>
        <v>2.7184001185547716E-3</v>
      </c>
      <c r="D27" s="12">
        <f>D13/'Rate Class Energy Model '!I13</f>
        <v>2.757940494237548E-3</v>
      </c>
      <c r="F27" s="12"/>
    </row>
    <row r="29" spans="1:6">
      <c r="A29" t="s">
        <v>145</v>
      </c>
      <c r="B29" s="653">
        <f>B31</f>
        <v>2.9355667251806743E-3</v>
      </c>
      <c r="C29" s="653">
        <f>C31</f>
        <v>2.7257878215276193E-3</v>
      </c>
      <c r="D29" s="653">
        <f>D31</f>
        <v>2.769503599732887E-3</v>
      </c>
      <c r="E29" s="653" t="str">
        <f>E31</f>
        <v>11 year</v>
      </c>
    </row>
    <row r="30" spans="1:6">
      <c r="B30" s="480"/>
      <c r="C30" s="480"/>
      <c r="D30" s="480"/>
    </row>
    <row r="31" spans="1:6">
      <c r="B31" s="12">
        <f>AVERAGE(B17:B27)</f>
        <v>2.9355667251806743E-3</v>
      </c>
      <c r="C31" s="12">
        <f>AVERAGE(C17:C27)</f>
        <v>2.7257878215276193E-3</v>
      </c>
      <c r="D31" s="12">
        <f>AVERAGE(D17:D27)</f>
        <v>2.769503599732887E-3</v>
      </c>
      <c r="E31" t="s">
        <v>250</v>
      </c>
    </row>
    <row r="32" spans="1:6">
      <c r="B32" s="12"/>
      <c r="C32" s="12"/>
      <c r="D32" s="12"/>
      <c r="E32"/>
      <c r="F32" s="248"/>
    </row>
    <row r="33" spans="2:6">
      <c r="B33" s="12"/>
      <c r="C33" s="12"/>
      <c r="D33" s="12"/>
      <c r="E33"/>
    </row>
    <row r="35" spans="2:6">
      <c r="B35" s="20"/>
      <c r="C35" s="20"/>
      <c r="D35" s="20"/>
      <c r="F35" s="372"/>
    </row>
    <row r="36" spans="2:6">
      <c r="C36" s="10"/>
      <c r="D36" s="10"/>
    </row>
    <row r="55" spans="2:4">
      <c r="B55" s="5"/>
      <c r="C55" s="5"/>
      <c r="D55" s="5"/>
    </row>
    <row r="56" spans="2:4">
      <c r="B56" s="5"/>
      <c r="C56" s="5"/>
      <c r="D56" s="5"/>
    </row>
  </sheetData>
  <phoneticPr fontId="0" type="noConversion"/>
  <pageMargins left="0.38" right="0.75" top="0.73" bottom="0.74" header="0.5" footer="0.5"/>
  <pageSetup orientation="landscape"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E201"/>
  <sheetViews>
    <sheetView topLeftCell="A43" zoomScaleNormal="100" workbookViewId="0">
      <selection activeCell="G64" sqref="G64"/>
    </sheetView>
  </sheetViews>
  <sheetFormatPr defaultRowHeight="12.75"/>
  <cols>
    <col min="1" max="1" width="14" style="123" customWidth="1"/>
    <col min="2" max="2" width="16.140625" style="123" customWidth="1"/>
    <col min="3" max="3" width="13.7109375" style="123" customWidth="1"/>
    <col min="4" max="4" width="13" style="123" bestFit="1" customWidth="1"/>
    <col min="5" max="5" width="13.140625" style="123" bestFit="1" customWidth="1"/>
    <col min="6" max="6" width="14" style="123" customWidth="1"/>
    <col min="7" max="7" width="13.28515625" style="123" customWidth="1"/>
    <col min="8" max="8" width="12.7109375" style="123" customWidth="1"/>
    <col min="9" max="9" width="13" style="123" bestFit="1" customWidth="1"/>
    <col min="10" max="10" width="12.85546875" style="123" customWidth="1"/>
    <col min="11" max="11" width="12.42578125" style="123" customWidth="1"/>
    <col min="12" max="12" width="11.7109375" style="123" customWidth="1"/>
    <col min="13" max="13" width="9.140625" style="123"/>
    <col min="14" max="14" width="13.7109375" style="123" bestFit="1" customWidth="1"/>
    <col min="15" max="15" width="11.28515625" style="123" customWidth="1"/>
    <col min="16" max="16" width="15" style="123" customWidth="1"/>
    <col min="17" max="17" width="19.42578125" style="123" customWidth="1"/>
    <col min="18" max="18" width="11" style="123" customWidth="1"/>
    <col min="19" max="19" width="13" style="123" bestFit="1" customWidth="1"/>
    <col min="20" max="21" width="11.140625" style="123" bestFit="1" customWidth="1"/>
    <col min="22" max="23" width="9.140625" style="123"/>
    <col min="24" max="24" width="13.140625" style="123" customWidth="1"/>
    <col min="25" max="16384" width="9.140625" style="123"/>
  </cols>
  <sheetData>
    <row r="1" spans="1:20" ht="15" customHeight="1">
      <c r="C1" s="123" t="s">
        <v>229</v>
      </c>
      <c r="O1" s="654"/>
      <c r="P1" s="167"/>
      <c r="Q1" s="167"/>
    </row>
    <row r="2" spans="1:20" ht="71.25" customHeight="1">
      <c r="B2" s="124" t="s">
        <v>245</v>
      </c>
      <c r="C2" s="124" t="s">
        <v>235</v>
      </c>
      <c r="D2" s="124" t="s">
        <v>228</v>
      </c>
      <c r="E2" s="124" t="s">
        <v>244</v>
      </c>
      <c r="F2" s="124" t="s">
        <v>243</v>
      </c>
      <c r="G2" s="124" t="s">
        <v>118</v>
      </c>
      <c r="H2" s="323"/>
      <c r="I2" s="125" t="s">
        <v>11</v>
      </c>
      <c r="O2" s="655"/>
      <c r="P2" s="432"/>
      <c r="Q2" s="167"/>
    </row>
    <row r="3" spans="1:20">
      <c r="A3" s="123">
        <v>2005</v>
      </c>
      <c r="E3" s="126"/>
      <c r="G3" s="126">
        <f>E3/$M$15</f>
        <v>0</v>
      </c>
      <c r="J3" s="125"/>
      <c r="L3" s="421" t="s">
        <v>51</v>
      </c>
      <c r="M3" s="422">
        <v>1</v>
      </c>
      <c r="O3" s="167"/>
      <c r="P3" s="167"/>
      <c r="Q3" s="127"/>
      <c r="R3" s="127"/>
    </row>
    <row r="4" spans="1:20">
      <c r="A4" s="123">
        <v>2006</v>
      </c>
      <c r="B4" s="128">
        <f t="array" ref="B4:B12">TRANSPOSE(B52:J52)</f>
        <v>415552.6948728204</v>
      </c>
      <c r="C4" s="412">
        <f>B4-B3</f>
        <v>415552.6948728204</v>
      </c>
      <c r="D4" s="412">
        <f t="shared" ref="D4:D14" si="0">C4/2</f>
        <v>207776.3474364102</v>
      </c>
      <c r="E4" s="126">
        <f>B3+D4</f>
        <v>207776.3474364102</v>
      </c>
      <c r="F4" s="412">
        <f>E4</f>
        <v>207776.3474364102</v>
      </c>
      <c r="G4" s="419">
        <f t="shared" ref="G4:G14" si="1">F4/$M$15</f>
        <v>2663.7993261078232</v>
      </c>
      <c r="H4" s="359"/>
      <c r="I4" s="129">
        <f>D75</f>
        <v>207776.3474364102</v>
      </c>
      <c r="J4" s="129">
        <f>E4-I4</f>
        <v>0</v>
      </c>
      <c r="L4" s="423" t="s">
        <v>52</v>
      </c>
      <c r="M4" s="424">
        <v>2</v>
      </c>
      <c r="O4" s="466"/>
      <c r="P4" s="433"/>
      <c r="Q4" s="656"/>
      <c r="R4" s="127"/>
      <c r="S4" s="130"/>
      <c r="T4" s="130"/>
    </row>
    <row r="5" spans="1:20">
      <c r="A5" s="123">
        <v>2007</v>
      </c>
      <c r="B5" s="128">
        <v>749106.26563565712</v>
      </c>
      <c r="C5" s="412">
        <f t="shared" ref="C5:C14" si="2">B5-B4</f>
        <v>333553.57076283672</v>
      </c>
      <c r="D5" s="412">
        <f t="shared" si="0"/>
        <v>166776.78538141836</v>
      </c>
      <c r="E5" s="126">
        <f t="shared" ref="E5:E14" si="3">B4+D5</f>
        <v>582329.4802542387</v>
      </c>
      <c r="F5" s="412">
        <f>E5-E75</f>
        <v>198742.37729471218</v>
      </c>
      <c r="G5" s="419">
        <f t="shared" si="1"/>
        <v>2547.9791960860534</v>
      </c>
      <c r="H5" s="359"/>
      <c r="I5" s="129">
        <f>D87</f>
        <v>582329.4802542387</v>
      </c>
      <c r="J5" s="129">
        <f t="shared" ref="J5:J15" si="4">E5-I5</f>
        <v>0</v>
      </c>
      <c r="L5" s="423" t="s">
        <v>53</v>
      </c>
      <c r="M5" s="424">
        <v>3</v>
      </c>
      <c r="O5" s="466"/>
      <c r="P5" s="434"/>
      <c r="Q5" s="656"/>
      <c r="R5" s="127"/>
      <c r="S5" s="127"/>
      <c r="T5" s="127"/>
    </row>
    <row r="6" spans="1:20">
      <c r="A6" s="123">
        <v>2008</v>
      </c>
      <c r="B6" s="128">
        <v>1039688.903973503</v>
      </c>
      <c r="C6" s="412">
        <f t="shared" si="2"/>
        <v>290582.63833784591</v>
      </c>
      <c r="D6" s="412">
        <f t="shared" si="0"/>
        <v>145291.31916892296</v>
      </c>
      <c r="E6" s="126">
        <f t="shared" si="3"/>
        <v>894397.58480458008</v>
      </c>
      <c r="F6" s="412">
        <f>E6-E87</f>
        <v>143901.47760866187</v>
      </c>
      <c r="G6" s="419">
        <f t="shared" si="1"/>
        <v>1844.8907385725881</v>
      </c>
      <c r="H6" s="359"/>
      <c r="I6" s="129">
        <f>D99</f>
        <v>894397.58480458008</v>
      </c>
      <c r="J6" s="129">
        <f t="shared" si="4"/>
        <v>0</v>
      </c>
      <c r="L6" s="423" t="s">
        <v>54</v>
      </c>
      <c r="M6" s="424">
        <v>4</v>
      </c>
      <c r="O6" s="466"/>
      <c r="P6" s="434"/>
      <c r="Q6" s="656"/>
      <c r="R6" s="130"/>
      <c r="S6" s="130"/>
      <c r="T6" s="130"/>
    </row>
    <row r="7" spans="1:20">
      <c r="A7" s="123">
        <v>2009</v>
      </c>
      <c r="B7" s="128">
        <v>1802169.88608751</v>
      </c>
      <c r="C7" s="412">
        <f t="shared" si="2"/>
        <v>762480.982114007</v>
      </c>
      <c r="D7" s="412">
        <f t="shared" si="0"/>
        <v>381240.4910570035</v>
      </c>
      <c r="E7" s="126">
        <f t="shared" si="3"/>
        <v>1420929.3950305064</v>
      </c>
      <c r="F7" s="412">
        <f>E7-E99</f>
        <v>404769.02148013527</v>
      </c>
      <c r="G7" s="419">
        <f t="shared" si="1"/>
        <v>5189.3464292325034</v>
      </c>
      <c r="H7" s="359"/>
      <c r="I7" s="129">
        <f>D111</f>
        <v>1420929.3950305069</v>
      </c>
      <c r="J7" s="129">
        <f t="shared" si="4"/>
        <v>0</v>
      </c>
      <c r="L7" s="423" t="s">
        <v>55</v>
      </c>
      <c r="M7" s="424">
        <v>5</v>
      </c>
      <c r="O7" s="466"/>
      <c r="P7" s="434"/>
      <c r="Q7" s="656"/>
      <c r="R7" s="130"/>
      <c r="S7" s="130"/>
      <c r="T7" s="130"/>
    </row>
    <row r="8" spans="1:20">
      <c r="A8" s="123">
        <v>2010</v>
      </c>
      <c r="B8" s="128">
        <v>1879508.692706482</v>
      </c>
      <c r="C8" s="412">
        <f t="shared" si="2"/>
        <v>77338.806618971983</v>
      </c>
      <c r="D8" s="412">
        <f t="shared" si="0"/>
        <v>38669.403309485991</v>
      </c>
      <c r="E8" s="126">
        <f t="shared" si="3"/>
        <v>1840839.2893969961</v>
      </c>
      <c r="F8" s="412">
        <f>E8-E111</f>
        <v>77413.030037143733</v>
      </c>
      <c r="G8" s="419">
        <f t="shared" si="1"/>
        <v>992.47474406594529</v>
      </c>
      <c r="H8" s="359"/>
      <c r="I8" s="129">
        <f>D123</f>
        <v>1840839.2893969968</v>
      </c>
      <c r="J8" s="129">
        <f t="shared" si="4"/>
        <v>0</v>
      </c>
      <c r="L8" s="423" t="s">
        <v>56</v>
      </c>
      <c r="M8" s="424">
        <v>6</v>
      </c>
      <c r="O8" s="466"/>
      <c r="P8" s="434"/>
      <c r="Q8" s="656"/>
      <c r="R8" s="130"/>
      <c r="S8" s="130"/>
      <c r="T8" s="130"/>
    </row>
    <row r="9" spans="1:20">
      <c r="A9" s="123">
        <v>2011</v>
      </c>
      <c r="B9" s="128">
        <v>2628630.1213701144</v>
      </c>
      <c r="C9" s="412">
        <f t="shared" si="2"/>
        <v>749121.42866363237</v>
      </c>
      <c r="D9" s="412">
        <f t="shared" si="0"/>
        <v>374560.71433181618</v>
      </c>
      <c r="E9" s="126">
        <f t="shared" si="3"/>
        <v>2254069.4070382984</v>
      </c>
      <c r="F9" s="412">
        <f>E9-E123</f>
        <v>347726.7845329484</v>
      </c>
      <c r="G9" s="419">
        <f t="shared" si="1"/>
        <v>4458.0356991403642</v>
      </c>
      <c r="H9" s="359"/>
      <c r="I9" s="129">
        <f>D135</f>
        <v>2254069.4070382989</v>
      </c>
      <c r="J9" s="129">
        <f t="shared" si="4"/>
        <v>0</v>
      </c>
      <c r="L9" s="423" t="s">
        <v>57</v>
      </c>
      <c r="M9" s="424">
        <v>7</v>
      </c>
      <c r="O9" s="466"/>
      <c r="P9" s="434"/>
      <c r="Q9" s="656"/>
      <c r="R9" s="130"/>
      <c r="S9" s="130"/>
      <c r="T9" s="130"/>
    </row>
    <row r="10" spans="1:20">
      <c r="A10" s="123">
        <v>2012</v>
      </c>
      <c r="B10" s="128">
        <v>3322946.3621967593</v>
      </c>
      <c r="C10" s="412">
        <f t="shared" si="2"/>
        <v>694316.24082664493</v>
      </c>
      <c r="D10" s="412">
        <f t="shared" si="0"/>
        <v>347158.12041332247</v>
      </c>
      <c r="E10" s="126">
        <f t="shared" si="3"/>
        <v>2975788.2417834369</v>
      </c>
      <c r="F10" s="412">
        <f>E10-E135</f>
        <v>427488.47860187385</v>
      </c>
      <c r="G10" s="419">
        <f t="shared" si="1"/>
        <v>5480.6215205368444</v>
      </c>
      <c r="H10" s="359"/>
      <c r="I10" s="129">
        <f>D147</f>
        <v>2975788.2417834364</v>
      </c>
      <c r="J10" s="129">
        <f t="shared" si="4"/>
        <v>0</v>
      </c>
      <c r="L10" s="423" t="s">
        <v>58</v>
      </c>
      <c r="M10" s="424">
        <v>8</v>
      </c>
      <c r="O10" s="466"/>
      <c r="P10" s="434"/>
      <c r="Q10" s="656"/>
      <c r="R10" s="130"/>
      <c r="S10" s="130"/>
      <c r="T10" s="130"/>
    </row>
    <row r="11" spans="1:20">
      <c r="A11" s="123">
        <v>2013</v>
      </c>
      <c r="B11" s="128">
        <v>3594186.1609654073</v>
      </c>
      <c r="C11" s="412">
        <f t="shared" si="2"/>
        <v>271239.79876864795</v>
      </c>
      <c r="D11" s="412">
        <f t="shared" si="0"/>
        <v>135619.89938432397</v>
      </c>
      <c r="E11" s="126">
        <f t="shared" si="3"/>
        <v>3458566.2615810833</v>
      </c>
      <c r="F11" s="412">
        <f>E11-E147</f>
        <v>121056.99944221554</v>
      </c>
      <c r="G11" s="419">
        <f t="shared" si="1"/>
        <v>1552.0128133617377</v>
      </c>
      <c r="H11" s="359"/>
      <c r="I11" s="129">
        <f>D159</f>
        <v>3458566.261581081</v>
      </c>
      <c r="J11" s="129">
        <f t="shared" si="4"/>
        <v>0</v>
      </c>
      <c r="L11" s="423" t="s">
        <v>59</v>
      </c>
      <c r="M11" s="424">
        <v>9</v>
      </c>
      <c r="O11" s="466"/>
      <c r="P11" s="434"/>
      <c r="Q11" s="656"/>
      <c r="R11" s="130"/>
      <c r="S11" s="130"/>
      <c r="T11" s="130"/>
    </row>
    <row r="12" spans="1:20">
      <c r="A12" s="123">
        <v>2014</v>
      </c>
      <c r="B12" s="128">
        <v>4476156.1417619446</v>
      </c>
      <c r="C12" s="412">
        <f t="shared" si="2"/>
        <v>881969.98079653736</v>
      </c>
      <c r="D12" s="412">
        <f t="shared" si="0"/>
        <v>440984.99039826868</v>
      </c>
      <c r="E12" s="126">
        <f t="shared" si="3"/>
        <v>4035171.1513636759</v>
      </c>
      <c r="F12" s="412">
        <f>E12-E159</f>
        <v>474172.04410072183</v>
      </c>
      <c r="G12" s="419">
        <f t="shared" si="1"/>
        <v>6079.1287705220748</v>
      </c>
      <c r="H12" s="359"/>
      <c r="I12" s="129">
        <f>D171</f>
        <v>4035171.1513636759</v>
      </c>
      <c r="J12" s="129">
        <f t="shared" si="4"/>
        <v>0</v>
      </c>
      <c r="L12" s="423" t="s">
        <v>60</v>
      </c>
      <c r="M12" s="424">
        <v>10</v>
      </c>
      <c r="O12" s="466"/>
      <c r="P12" s="434"/>
      <c r="Q12" s="656"/>
      <c r="R12" s="130"/>
      <c r="S12" s="130"/>
      <c r="T12" s="130"/>
    </row>
    <row r="13" spans="1:20">
      <c r="A13" s="123">
        <v>2015</v>
      </c>
      <c r="B13" s="447">
        <f>K52-K50-K49*F57</f>
        <v>4132900.9470285946</v>
      </c>
      <c r="C13" s="412">
        <f t="shared" si="2"/>
        <v>-343255.19473335007</v>
      </c>
      <c r="D13" s="412">
        <f t="shared" si="0"/>
        <v>-171627.59736667504</v>
      </c>
      <c r="E13" s="126">
        <f t="shared" si="3"/>
        <v>4304528.5443952698</v>
      </c>
      <c r="F13" s="412">
        <f>E13-E171</f>
        <v>-131865.10582286306</v>
      </c>
      <c r="G13" s="419">
        <f t="shared" si="1"/>
        <v>-1690.5782797802956</v>
      </c>
      <c r="H13" s="359"/>
      <c r="I13" s="129">
        <f>D183</f>
        <v>4304528.5443952708</v>
      </c>
      <c r="J13" s="129">
        <f t="shared" si="4"/>
        <v>0</v>
      </c>
      <c r="L13" s="423" t="s">
        <v>61</v>
      </c>
      <c r="M13" s="424">
        <v>11</v>
      </c>
      <c r="O13" s="466"/>
      <c r="P13" s="431"/>
      <c r="Q13" s="656"/>
      <c r="R13" s="130"/>
      <c r="S13" s="130"/>
      <c r="T13" s="130"/>
    </row>
    <row r="14" spans="1:20">
      <c r="A14" s="123">
        <v>2016</v>
      </c>
      <c r="B14" s="448">
        <f>L52-L51-L50-L49*F58</f>
        <v>3898049.6742011379</v>
      </c>
      <c r="C14" s="412">
        <f t="shared" si="2"/>
        <v>-234851.27282745671</v>
      </c>
      <c r="D14" s="412">
        <f t="shared" si="0"/>
        <v>-117425.63641372835</v>
      </c>
      <c r="E14" s="126">
        <f t="shared" si="3"/>
        <v>4015475.3106148662</v>
      </c>
      <c r="F14" s="412">
        <f>E14-E183</f>
        <v>-177475.06731490605</v>
      </c>
      <c r="G14" s="419">
        <f t="shared" si="1"/>
        <v>-2275.321375832129</v>
      </c>
      <c r="H14" s="359"/>
      <c r="I14" s="129">
        <f>D195</f>
        <v>4015475.3106148657</v>
      </c>
      <c r="J14" s="129">
        <f t="shared" si="4"/>
        <v>0</v>
      </c>
      <c r="L14" s="423" t="s">
        <v>62</v>
      </c>
      <c r="M14" s="424">
        <v>12</v>
      </c>
      <c r="O14" s="466"/>
      <c r="P14" s="657"/>
      <c r="Q14" s="656"/>
    </row>
    <row r="15" spans="1:20">
      <c r="A15" s="123" t="s">
        <v>5</v>
      </c>
      <c r="B15" s="427">
        <f>SUM(B4:B12)</f>
        <v>19907945.229570199</v>
      </c>
      <c r="E15" s="427">
        <f>SUM(E4:E14)</f>
        <v>25989871.013699364</v>
      </c>
      <c r="F15" s="126"/>
      <c r="H15" s="126"/>
      <c r="I15" s="427">
        <f>SUM(I4:I14)</f>
        <v>25989871.01369936</v>
      </c>
      <c r="J15" s="129">
        <f t="shared" si="4"/>
        <v>0</v>
      </c>
      <c r="K15" s="129"/>
      <c r="L15" s="425" t="s">
        <v>5</v>
      </c>
      <c r="M15" s="426">
        <f>SUM(M3:M14)</f>
        <v>78</v>
      </c>
      <c r="O15" s="167"/>
      <c r="P15" s="167"/>
      <c r="Q15" s="167"/>
    </row>
    <row r="16" spans="1:20">
      <c r="B16" s="431"/>
      <c r="E16" s="431"/>
      <c r="F16" s="126"/>
      <c r="H16" s="126"/>
      <c r="I16" s="431"/>
      <c r="J16" s="129"/>
      <c r="K16" s="129"/>
      <c r="L16" s="417"/>
      <c r="M16" s="417"/>
    </row>
    <row r="17" spans="1:17">
      <c r="D17" s="126"/>
      <c r="F17" s="126"/>
    </row>
    <row r="18" spans="1:17">
      <c r="D18" s="131" t="s">
        <v>129</v>
      </c>
      <c r="F18" s="126"/>
      <c r="G18" s="123" t="s">
        <v>242</v>
      </c>
      <c r="M18" s="269" t="s">
        <v>225</v>
      </c>
    </row>
    <row r="19" spans="1:17" ht="13.5" thickBot="1">
      <c r="D19" s="250">
        <v>5100000</v>
      </c>
      <c r="F19" s="126"/>
      <c r="J19" s="282"/>
      <c r="K19" s="282"/>
      <c r="L19" s="282"/>
      <c r="M19" s="283">
        <v>5000000</v>
      </c>
      <c r="N19" s="282"/>
      <c r="O19" s="282"/>
      <c r="P19" s="282"/>
      <c r="Q19" s="282"/>
    </row>
    <row r="20" spans="1:17">
      <c r="A20" s="133"/>
      <c r="B20" s="134">
        <v>2011</v>
      </c>
      <c r="C20" s="134">
        <v>2012</v>
      </c>
      <c r="D20" s="134">
        <v>2013</v>
      </c>
      <c r="E20" s="134">
        <v>2014</v>
      </c>
      <c r="F20" s="134" t="s">
        <v>5</v>
      </c>
      <c r="G20" s="134">
        <v>2015</v>
      </c>
      <c r="H20" s="135">
        <v>2016</v>
      </c>
      <c r="J20" s="279"/>
      <c r="K20" s="280">
        <v>2015</v>
      </c>
      <c r="L20" s="280">
        <v>2016</v>
      </c>
      <c r="M20" s="280">
        <v>2017</v>
      </c>
      <c r="N20" s="280">
        <v>2018</v>
      </c>
      <c r="O20" s="280">
        <v>2019</v>
      </c>
      <c r="P20" s="280">
        <v>2020</v>
      </c>
      <c r="Q20" s="281" t="s">
        <v>5</v>
      </c>
    </row>
    <row r="21" spans="1:17">
      <c r="A21" s="136" t="s">
        <v>69</v>
      </c>
      <c r="B21" s="137">
        <f t="shared" ref="B21:E22" si="5">B27/$D$19</f>
        <v>0.1988235294117647</v>
      </c>
      <c r="C21" s="137">
        <f t="shared" si="5"/>
        <v>0.1988235294117647</v>
      </c>
      <c r="D21" s="137">
        <f t="shared" si="5"/>
        <v>0.1988235294117647</v>
      </c>
      <c r="E21" s="137">
        <f t="shared" si="5"/>
        <v>0.18196078431372548</v>
      </c>
      <c r="F21" s="138">
        <f>SUM(B21:E21)</f>
        <v>0.77843137254901951</v>
      </c>
      <c r="G21" s="660" t="s">
        <v>226</v>
      </c>
      <c r="H21" s="661"/>
      <c r="J21" s="270" t="s">
        <v>99</v>
      </c>
      <c r="K21" s="271">
        <v>0.16669999999999999</v>
      </c>
      <c r="L21" s="144"/>
      <c r="M21" s="144"/>
      <c r="N21" s="144"/>
      <c r="O21" s="144"/>
      <c r="P21" s="144"/>
      <c r="Q21" s="272">
        <v>0.16669999999999999</v>
      </c>
    </row>
    <row r="22" spans="1:17">
      <c r="A22" s="136" t="s">
        <v>70</v>
      </c>
      <c r="B22" s="137">
        <f t="shared" si="5"/>
        <v>-2.8823529411764706E-2</v>
      </c>
      <c r="C22" s="137">
        <f t="shared" si="5"/>
        <v>9.3137254901960786E-2</v>
      </c>
      <c r="D22" s="137">
        <f t="shared" si="5"/>
        <v>9.3137254901960786E-2</v>
      </c>
      <c r="E22" s="137">
        <f t="shared" si="5"/>
        <v>9.3137254901960786E-2</v>
      </c>
      <c r="F22" s="138">
        <f>SUM(B22:E22)</f>
        <v>0.25058823529411767</v>
      </c>
      <c r="G22" s="660"/>
      <c r="H22" s="661"/>
      <c r="J22" s="270" t="s">
        <v>100</v>
      </c>
      <c r="K22" s="144"/>
      <c r="L22" s="271">
        <v>0.16669999999999999</v>
      </c>
      <c r="M22" s="144"/>
      <c r="N22" s="144"/>
      <c r="O22" s="144"/>
      <c r="P22" s="144"/>
      <c r="Q22" s="272">
        <v>0.16669999999999999</v>
      </c>
    </row>
    <row r="23" spans="1:17">
      <c r="A23" s="136" t="s">
        <v>71</v>
      </c>
      <c r="B23" s="139"/>
      <c r="C23" s="137">
        <f t="shared" ref="C23:E24" si="6">C29/$D$19</f>
        <v>1.3725490196078432E-3</v>
      </c>
      <c r="D23" s="137">
        <f t="shared" si="6"/>
        <v>5.4901960784313725E-2</v>
      </c>
      <c r="E23" s="137">
        <f t="shared" si="6"/>
        <v>5.4901960784313725E-2</v>
      </c>
      <c r="F23" s="138">
        <f>SUM(B23:E23)</f>
        <v>0.11117647058823529</v>
      </c>
      <c r="G23" s="660"/>
      <c r="H23" s="661"/>
      <c r="J23" s="270" t="s">
        <v>149</v>
      </c>
      <c r="K23" s="144"/>
      <c r="L23" s="144"/>
      <c r="M23" s="271">
        <v>0.16669999999999999</v>
      </c>
      <c r="N23" s="144"/>
      <c r="O23" s="144"/>
      <c r="P23" s="144"/>
      <c r="Q23" s="272">
        <v>0.16669999999999999</v>
      </c>
    </row>
    <row r="24" spans="1:17">
      <c r="A24" s="136" t="s">
        <v>72</v>
      </c>
      <c r="B24" s="139"/>
      <c r="C24" s="137">
        <f t="shared" si="6"/>
        <v>1.9411764705882354E-2</v>
      </c>
      <c r="D24" s="137">
        <f t="shared" si="6"/>
        <v>2.4705882352941175E-2</v>
      </c>
      <c r="E24" s="137">
        <f t="shared" si="6"/>
        <v>0.23745098039215687</v>
      </c>
      <c r="F24" s="138">
        <f>SUM(B24:E24)</f>
        <v>0.28156862745098038</v>
      </c>
      <c r="G24" s="660"/>
      <c r="H24" s="661"/>
      <c r="J24" s="270" t="s">
        <v>150</v>
      </c>
      <c r="K24" s="144"/>
      <c r="L24" s="144"/>
      <c r="M24" s="144"/>
      <c r="N24" s="271">
        <v>0.16669999999999999</v>
      </c>
      <c r="O24" s="144"/>
      <c r="P24" s="144"/>
      <c r="Q24" s="272">
        <v>0.16669999999999999</v>
      </c>
    </row>
    <row r="25" spans="1:17">
      <c r="A25" s="136" t="s">
        <v>5</v>
      </c>
      <c r="B25" s="138">
        <f>SUM(B21:B24)</f>
        <v>0.16999999999999998</v>
      </c>
      <c r="C25" s="138">
        <f>SUM(C21:C24)</f>
        <v>0.31274509803921569</v>
      </c>
      <c r="D25" s="138">
        <f>SUM(D21:D24)</f>
        <v>0.37156862745098046</v>
      </c>
      <c r="E25" s="138">
        <f>SUM(E21:E24)</f>
        <v>0.5674509803921568</v>
      </c>
      <c r="F25" s="138">
        <f>SUM(B25:E25)</f>
        <v>1.421764705882353</v>
      </c>
      <c r="G25" s="660"/>
      <c r="H25" s="661"/>
      <c r="J25" s="270" t="s">
        <v>151</v>
      </c>
      <c r="K25" s="144"/>
      <c r="L25" s="144"/>
      <c r="M25" s="144"/>
      <c r="N25" s="144"/>
      <c r="O25" s="271">
        <v>0.16669999999999999</v>
      </c>
      <c r="P25" s="144"/>
      <c r="Q25" s="272">
        <v>0.16669999999999999</v>
      </c>
    </row>
    <row r="26" spans="1:17">
      <c r="A26" s="311"/>
      <c r="B26" s="312"/>
      <c r="C26" s="312"/>
      <c r="D26" s="312"/>
      <c r="E26" s="312"/>
      <c r="F26" s="312"/>
      <c r="G26" s="312"/>
      <c r="H26" s="313"/>
      <c r="J26" s="270" t="s">
        <v>152</v>
      </c>
      <c r="K26" s="144"/>
      <c r="L26" s="144"/>
      <c r="M26" s="144"/>
      <c r="N26" s="144"/>
      <c r="O26" s="144"/>
      <c r="P26" s="271">
        <v>0.16669999999999999</v>
      </c>
      <c r="Q26" s="272">
        <v>0.16669999999999999</v>
      </c>
    </row>
    <row r="27" spans="1:17">
      <c r="A27" s="136" t="s">
        <v>69</v>
      </c>
      <c r="B27" s="314">
        <f>1000000*[20]Sheet1!C9</f>
        <v>1014000</v>
      </c>
      <c r="C27" s="314">
        <f>1000000*[20]Sheet1!D9</f>
        <v>1014000</v>
      </c>
      <c r="D27" s="314">
        <f>1000000*[20]Sheet1!E9</f>
        <v>1014000</v>
      </c>
      <c r="E27" s="314">
        <f>1000000*[20]Sheet1!F9</f>
        <v>928000</v>
      </c>
      <c r="F27" s="315">
        <f>SUM(B27:E27)</f>
        <v>3970000</v>
      </c>
      <c r="G27" s="140"/>
      <c r="H27" s="143"/>
      <c r="J27" s="270" t="s">
        <v>148</v>
      </c>
      <c r="K27" s="271">
        <v>0.16669999999999999</v>
      </c>
      <c r="L27" s="271">
        <v>0.16669999999999999</v>
      </c>
      <c r="M27" s="271">
        <v>0.16669999999999999</v>
      </c>
      <c r="N27" s="271">
        <v>0.16669999999999999</v>
      </c>
      <c r="O27" s="271">
        <v>0.16669999999999999</v>
      </c>
      <c r="P27" s="271">
        <v>0.16669999999999999</v>
      </c>
      <c r="Q27" s="272">
        <v>1</v>
      </c>
    </row>
    <row r="28" spans="1:17">
      <c r="A28" s="136" t="s">
        <v>70</v>
      </c>
      <c r="B28" s="314">
        <f>1000000*[20]Sheet1!C10</f>
        <v>-147000</v>
      </c>
      <c r="C28" s="314">
        <f>1000000*[20]Sheet1!D10</f>
        <v>475000</v>
      </c>
      <c r="D28" s="314">
        <f>1000000*[20]Sheet1!E10</f>
        <v>475000</v>
      </c>
      <c r="E28" s="314">
        <f>1000000*[20]Sheet1!F10</f>
        <v>475000</v>
      </c>
      <c r="F28" s="315">
        <f>SUM(B28:E28)</f>
        <v>1278000</v>
      </c>
      <c r="G28" s="140"/>
      <c r="H28" s="143"/>
      <c r="J28" s="277"/>
      <c r="K28" s="156"/>
      <c r="L28" s="156"/>
      <c r="M28" s="156"/>
      <c r="N28" s="156"/>
      <c r="O28" s="156"/>
      <c r="P28" s="156"/>
      <c r="Q28" s="278"/>
    </row>
    <row r="29" spans="1:17">
      <c r="A29" s="136" t="s">
        <v>71</v>
      </c>
      <c r="B29" s="461">
        <f>1000000*[20]Sheet1!C11</f>
        <v>0</v>
      </c>
      <c r="C29" s="314">
        <f>1000000*[20]Sheet1!D11</f>
        <v>7000</v>
      </c>
      <c r="D29" s="314">
        <f>1000000*[20]Sheet1!E11</f>
        <v>280000</v>
      </c>
      <c r="E29" s="314">
        <f>1000000*[20]Sheet1!F11</f>
        <v>280000</v>
      </c>
      <c r="F29" s="315">
        <f>SUM(B29:E29)</f>
        <v>567000</v>
      </c>
      <c r="G29" s="140"/>
      <c r="H29" s="143"/>
      <c r="J29" s="270" t="s">
        <v>99</v>
      </c>
      <c r="K29" s="141">
        <f>M19/6</f>
        <v>833333.33333333337</v>
      </c>
      <c r="L29" s="144"/>
      <c r="M29" s="144"/>
      <c r="N29" s="144"/>
      <c r="O29" s="144"/>
      <c r="P29" s="144"/>
      <c r="Q29" s="273">
        <v>833333</v>
      </c>
    </row>
    <row r="30" spans="1:17">
      <c r="A30" s="136" t="s">
        <v>72</v>
      </c>
      <c r="B30" s="461">
        <f>1000000*[20]Sheet1!C12</f>
        <v>0</v>
      </c>
      <c r="C30" s="314">
        <f>1000000*[20]Sheet1!D12</f>
        <v>99000</v>
      </c>
      <c r="D30" s="314">
        <f>1000000*[20]Sheet1!E12</f>
        <v>126000</v>
      </c>
      <c r="E30" s="314">
        <f>1000000*[20]Sheet1!F12</f>
        <v>1211000</v>
      </c>
      <c r="F30" s="315">
        <f>SUM(B30:E30)</f>
        <v>1436000</v>
      </c>
      <c r="G30" s="140"/>
      <c r="H30" s="143"/>
      <c r="J30" s="270" t="s">
        <v>100</v>
      </c>
      <c r="K30" s="144"/>
      <c r="L30" s="141">
        <f>K29</f>
        <v>833333.33333333337</v>
      </c>
      <c r="M30" s="144"/>
      <c r="N30" s="144"/>
      <c r="O30" s="144"/>
      <c r="P30" s="144"/>
      <c r="Q30" s="273">
        <v>833333</v>
      </c>
    </row>
    <row r="31" spans="1:17">
      <c r="A31" s="136" t="s">
        <v>12</v>
      </c>
      <c r="B31" s="140">
        <f>SUM(B27:B30)</f>
        <v>867000</v>
      </c>
      <c r="C31" s="140">
        <f>SUM(C27:C30)</f>
        <v>1595000</v>
      </c>
      <c r="D31" s="140">
        <f>SUM(D27:D30)</f>
        <v>1895000</v>
      </c>
      <c r="E31" s="140">
        <f>SUM(E27:E30)</f>
        <v>2894000</v>
      </c>
      <c r="F31" s="140">
        <f>SUM(B31:E31)</f>
        <v>7251000</v>
      </c>
      <c r="G31" s="140"/>
      <c r="H31" s="143"/>
      <c r="J31" s="270" t="s">
        <v>149</v>
      </c>
      <c r="K31" s="144"/>
      <c r="L31" s="144"/>
      <c r="M31" s="141">
        <f>K29</f>
        <v>833333.33333333337</v>
      </c>
      <c r="N31" s="144"/>
      <c r="O31" s="144"/>
      <c r="P31" s="144"/>
      <c r="Q31" s="273">
        <v>833333</v>
      </c>
    </row>
    <row r="32" spans="1:17">
      <c r="A32" s="662"/>
      <c r="B32" s="663"/>
      <c r="C32" s="663"/>
      <c r="D32" s="663"/>
      <c r="E32" s="663"/>
      <c r="F32" s="663"/>
      <c r="G32" s="663"/>
      <c r="H32" s="664"/>
      <c r="J32" s="270" t="s">
        <v>150</v>
      </c>
      <c r="K32" s="144"/>
      <c r="L32" s="144"/>
      <c r="M32" s="144"/>
      <c r="N32" s="141">
        <v>833333</v>
      </c>
      <c r="O32" s="144"/>
      <c r="P32" s="144"/>
      <c r="Q32" s="273">
        <v>833333</v>
      </c>
    </row>
    <row r="33" spans="1:17">
      <c r="A33" s="136" t="s">
        <v>99</v>
      </c>
      <c r="B33" s="144"/>
      <c r="C33" s="144"/>
      <c r="D33" s="144"/>
      <c r="E33" s="144"/>
      <c r="F33" s="145"/>
      <c r="G33" s="142">
        <f>K29</f>
        <v>833333.33333333337</v>
      </c>
      <c r="H33" s="143">
        <f>G33</f>
        <v>833333.33333333337</v>
      </c>
      <c r="J33" s="270" t="s">
        <v>151</v>
      </c>
      <c r="K33" s="144"/>
      <c r="L33" s="144"/>
      <c r="M33" s="144"/>
      <c r="N33" s="144"/>
      <c r="O33" s="141">
        <v>833333</v>
      </c>
      <c r="P33" s="144"/>
      <c r="Q33" s="273">
        <v>833333</v>
      </c>
    </row>
    <row r="34" spans="1:17">
      <c r="A34" s="136" t="s">
        <v>100</v>
      </c>
      <c r="B34" s="144"/>
      <c r="C34" s="144"/>
      <c r="D34" s="144"/>
      <c r="E34" s="144"/>
      <c r="F34" s="144"/>
      <c r="G34" s="140"/>
      <c r="H34" s="143">
        <f>L30</f>
        <v>833333.33333333337</v>
      </c>
      <c r="J34" s="270" t="s">
        <v>152</v>
      </c>
      <c r="K34" s="144"/>
      <c r="L34" s="144"/>
      <c r="M34" s="144"/>
      <c r="N34" s="144"/>
      <c r="O34" s="144"/>
      <c r="P34" s="141">
        <v>833333</v>
      </c>
      <c r="Q34" s="273">
        <v>833333</v>
      </c>
    </row>
    <row r="35" spans="1:17" ht="13.5" thickBot="1">
      <c r="A35" s="146" t="s">
        <v>12</v>
      </c>
      <c r="B35" s="147"/>
      <c r="C35" s="147"/>
      <c r="D35" s="147"/>
      <c r="E35" s="147"/>
      <c r="F35" s="147"/>
      <c r="G35" s="148">
        <f>SUM(G33:G34)</f>
        <v>833333.33333333337</v>
      </c>
      <c r="H35" s="149">
        <f>SUM(H33:H34)</f>
        <v>1666666.6666666667</v>
      </c>
      <c r="J35" s="274" t="s">
        <v>148</v>
      </c>
      <c r="K35" s="275">
        <v>833333</v>
      </c>
      <c r="L35" s="275">
        <v>833333</v>
      </c>
      <c r="M35" s="275">
        <v>833333</v>
      </c>
      <c r="N35" s="275">
        <v>833333</v>
      </c>
      <c r="O35" s="275">
        <v>833333</v>
      </c>
      <c r="P35" s="275">
        <v>833333</v>
      </c>
      <c r="Q35" s="276">
        <v>5000000</v>
      </c>
    </row>
    <row r="36" spans="1:17">
      <c r="D36" s="126"/>
      <c r="F36" s="126"/>
    </row>
    <row r="37" spans="1:17">
      <c r="D37" s="126"/>
      <c r="F37" s="126"/>
    </row>
    <row r="38" spans="1:17" ht="15.75">
      <c r="D38" s="420" t="s">
        <v>224</v>
      </c>
      <c r="E38" s="269"/>
      <c r="F38" s="126"/>
    </row>
    <row r="40" spans="1:17">
      <c r="A40" s="156"/>
      <c r="B40" s="284">
        <v>2006</v>
      </c>
      <c r="C40" s="284">
        <v>2007</v>
      </c>
      <c r="D40" s="284">
        <v>2008</v>
      </c>
      <c r="E40" s="284">
        <v>2009</v>
      </c>
      <c r="F40" s="284">
        <v>2010</v>
      </c>
      <c r="G40" s="284">
        <v>2011</v>
      </c>
      <c r="H40" s="284">
        <v>2012</v>
      </c>
      <c r="I40" s="284">
        <v>2013</v>
      </c>
      <c r="J40" s="285">
        <v>2014</v>
      </c>
      <c r="K40" s="284">
        <v>2015</v>
      </c>
      <c r="L40" s="284">
        <v>2016</v>
      </c>
    </row>
    <row r="41" spans="1:17">
      <c r="A41" s="150" t="s">
        <v>119</v>
      </c>
      <c r="B41" s="316">
        <f>'[21]Summary - LDC'!E19*1000</f>
        <v>415552.6948728204</v>
      </c>
      <c r="C41" s="316">
        <f>'[21]Summary - LDC'!F19*1000</f>
        <v>415552.6948728204</v>
      </c>
      <c r="D41" s="316">
        <f>'[21]Summary - LDC'!G19*1000</f>
        <v>415552.6948728204</v>
      </c>
      <c r="E41" s="316">
        <f>'[21]Summary - LDC'!H19*1000</f>
        <v>415552.6948728204</v>
      </c>
      <c r="F41" s="316">
        <f>'[21]Summary - LDC'!I19*1000</f>
        <v>72172.301702875498</v>
      </c>
      <c r="G41" s="316">
        <f>'[21]Summary - LDC'!J19*1000</f>
        <v>72172.301702875498</v>
      </c>
      <c r="H41" s="316">
        <f>'[21]Summary - LDC'!K19*1000</f>
        <v>66018.00672684735</v>
      </c>
      <c r="I41" s="316">
        <f>'[21]Summary - LDC'!L19*1000</f>
        <v>66018.00672684735</v>
      </c>
      <c r="J41" s="317">
        <f>'[21]Summary - LDC'!M19*1000</f>
        <v>62034.088982352689</v>
      </c>
      <c r="K41" s="316">
        <f>'[21]Summary - LDC'!N19*1000</f>
        <v>62034.088982352689</v>
      </c>
      <c r="L41" s="316">
        <f>'[21]Summary - LDC'!O19*1000</f>
        <v>58608.530728798214</v>
      </c>
    </row>
    <row r="42" spans="1:17">
      <c r="A42" s="150" t="s">
        <v>120</v>
      </c>
      <c r="B42" s="320"/>
      <c r="C42" s="316">
        <f>'[21]Summary - LDC'!F20*1000</f>
        <v>333553.57076283672</v>
      </c>
      <c r="D42" s="316">
        <f>'[21]Summary - LDC'!G20*1000</f>
        <v>237974.83517482443</v>
      </c>
      <c r="E42" s="316">
        <f>'[21]Summary - LDC'!H20*1000</f>
        <v>226154.19241683211</v>
      </c>
      <c r="F42" s="316">
        <f>'[21]Summary - LDC'!I20*1000</f>
        <v>226154.19241683211</v>
      </c>
      <c r="G42" s="316">
        <f>'[21]Summary - LDC'!J20*1000</f>
        <v>225998.92110914437</v>
      </c>
      <c r="H42" s="316">
        <f>'[21]Summary - LDC'!K20*1000</f>
        <v>219866.94770573743</v>
      </c>
      <c r="I42" s="316">
        <f>'[21]Summary - LDC'!L20*1000</f>
        <v>219866.94770573743</v>
      </c>
      <c r="J42" s="317">
        <f>'[21]Summary - LDC'!M20*1000</f>
        <v>219866.94770573743</v>
      </c>
      <c r="K42" s="316">
        <f>'[21]Summary - LDC'!N20*1000</f>
        <v>85173.205446111926</v>
      </c>
      <c r="L42" s="316">
        <f>'[21]Summary - LDC'!O20*1000</f>
        <v>51547.191357416938</v>
      </c>
    </row>
    <row r="43" spans="1:17">
      <c r="A43" s="150" t="s">
        <v>121</v>
      </c>
      <c r="B43" s="320"/>
      <c r="C43" s="320"/>
      <c r="D43" s="316">
        <f>'[21]Summary - LDC'!G21*1000</f>
        <v>386161.37392585818</v>
      </c>
      <c r="E43" s="316">
        <f>'[21]Summary - LDC'!H21*1000</f>
        <v>336576.25334211515</v>
      </c>
      <c r="F43" s="316">
        <f>'[21]Summary - LDC'!I21*1000</f>
        <v>336576.25334211515</v>
      </c>
      <c r="G43" s="316">
        <f>'[21]Summary - LDC'!J21*1000</f>
        <v>336576.25334211515</v>
      </c>
      <c r="H43" s="316">
        <f>'[21]Summary - LDC'!K21*1000</f>
        <v>316589.93506054528</v>
      </c>
      <c r="I43" s="316">
        <f>'[21]Summary - LDC'!L21*1000</f>
        <v>316164.41506054532</v>
      </c>
      <c r="J43" s="317">
        <f>'[21]Summary - LDC'!M21*1000</f>
        <v>295795.24860914104</v>
      </c>
      <c r="K43" s="316">
        <f>'[21]Summary - LDC'!N21*1000</f>
        <v>280577.75641037466</v>
      </c>
      <c r="L43" s="316">
        <f>'[21]Summary - LDC'!O21*1000</f>
        <v>217809.13852963698</v>
      </c>
    </row>
    <row r="44" spans="1:17">
      <c r="A44" s="150" t="s">
        <v>122</v>
      </c>
      <c r="B44" s="320"/>
      <c r="C44" s="320"/>
      <c r="D44" s="320"/>
      <c r="E44" s="316">
        <f>'[21]Summary - LDC'!H22*1000</f>
        <v>823886.74545574235</v>
      </c>
      <c r="F44" s="316">
        <f>'[21]Summary - LDC'!I22*1000</f>
        <v>753946.71894111647</v>
      </c>
      <c r="G44" s="316">
        <f>'[21]Summary - LDC'!J22*1000</f>
        <v>753946.71894111647</v>
      </c>
      <c r="H44" s="316">
        <f>'[21]Summary - LDC'!K22*1000</f>
        <v>753116.27831212443</v>
      </c>
      <c r="I44" s="316">
        <f>'[21]Summary - LDC'!L22*1000</f>
        <v>725050.40238512959</v>
      </c>
      <c r="J44" s="317">
        <f>'[21]Summary - LDC'!M22*1000</f>
        <v>654150.1252715888</v>
      </c>
      <c r="K44" s="316">
        <f>'[21]Summary - LDC'!N22*1000</f>
        <v>643460.90401315992</v>
      </c>
      <c r="L44" s="316">
        <f>'[21]Summary - LDC'!O22*1000</f>
        <v>643227.67287644988</v>
      </c>
    </row>
    <row r="45" spans="1:17">
      <c r="A45" s="153" t="s">
        <v>123</v>
      </c>
      <c r="B45" s="321"/>
      <c r="C45" s="321"/>
      <c r="D45" s="321"/>
      <c r="E45" s="321"/>
      <c r="F45" s="318">
        <f>'[21]Summary - LDC'!I23*1000</f>
        <v>490659.22630354261</v>
      </c>
      <c r="G45" s="318">
        <f>'[21]Summary - LDC'!J23*1000</f>
        <v>372935.92627486284</v>
      </c>
      <c r="H45" s="318">
        <f>'[21]Summary - LDC'!K23*1000</f>
        <v>372355.19439150492</v>
      </c>
      <c r="I45" s="318">
        <f>'[21]Summary - LDC'!L23*1000</f>
        <v>372086.38908714731</v>
      </c>
      <c r="J45" s="319">
        <f>'[21]Summary - LDC'!M23*1000</f>
        <v>350309.73119312461</v>
      </c>
      <c r="K45" s="318">
        <f>'[21]Summary - LDC'!N23*1000</f>
        <v>286647.10263024451</v>
      </c>
      <c r="L45" s="318">
        <f>'[21]Summary - LDC'!O23*1000</f>
        <v>284496.86309639667</v>
      </c>
      <c r="N45" s="150"/>
    </row>
    <row r="46" spans="1:17">
      <c r="A46" s="150" t="s">
        <v>69</v>
      </c>
      <c r="B46" s="132"/>
      <c r="C46" s="132"/>
      <c r="D46" s="132"/>
      <c r="E46" s="132"/>
      <c r="F46" s="132"/>
      <c r="G46" s="132">
        <f>B27</f>
        <v>1014000</v>
      </c>
      <c r="H46" s="132">
        <f>C27</f>
        <v>1014000</v>
      </c>
      <c r="I46" s="132">
        <f>D27</f>
        <v>1014000</v>
      </c>
      <c r="J46" s="151">
        <f>E27</f>
        <v>928000</v>
      </c>
      <c r="K46" s="413">
        <f>J46*J46/I46</f>
        <v>849293.88560157793</v>
      </c>
      <c r="L46" s="413">
        <f>K46*J46/I46</f>
        <v>777263.0432330023</v>
      </c>
      <c r="M46" s="123" t="s">
        <v>231</v>
      </c>
    </row>
    <row r="47" spans="1:17">
      <c r="A47" s="150" t="s">
        <v>70</v>
      </c>
      <c r="B47" s="132"/>
      <c r="C47" s="132"/>
      <c r="D47" s="132"/>
      <c r="E47" s="132"/>
      <c r="F47" s="132"/>
      <c r="G47" s="152">
        <f>B28</f>
        <v>-147000</v>
      </c>
      <c r="H47" s="132">
        <f t="shared" ref="H47:J48" si="7">C28</f>
        <v>475000</v>
      </c>
      <c r="I47" s="132">
        <f t="shared" si="7"/>
        <v>475000</v>
      </c>
      <c r="J47" s="151">
        <f t="shared" si="7"/>
        <v>475000</v>
      </c>
      <c r="K47" s="413">
        <f>J47*J46/I46</f>
        <v>434714.00394477317</v>
      </c>
      <c r="L47" s="413">
        <f>K47*J46/I46</f>
        <v>397844.76889620267</v>
      </c>
      <c r="M47" s="123" t="s">
        <v>230</v>
      </c>
    </row>
    <row r="48" spans="1:17">
      <c r="A48" s="150" t="s">
        <v>71</v>
      </c>
      <c r="B48" s="132"/>
      <c r="C48" s="132"/>
      <c r="D48" s="132"/>
      <c r="E48" s="132"/>
      <c r="F48" s="132"/>
      <c r="G48" s="132"/>
      <c r="H48" s="132">
        <f t="shared" si="7"/>
        <v>7000</v>
      </c>
      <c r="I48" s="132">
        <f t="shared" si="7"/>
        <v>280000</v>
      </c>
      <c r="J48" s="151">
        <f t="shared" si="7"/>
        <v>280000</v>
      </c>
      <c r="K48" s="320">
        <f>J48</f>
        <v>280000</v>
      </c>
      <c r="L48" s="413">
        <f>K48*J46/I46</f>
        <v>256252.4654832347</v>
      </c>
    </row>
    <row r="49" spans="1:12">
      <c r="A49" s="153" t="s">
        <v>72</v>
      </c>
      <c r="B49" s="154"/>
      <c r="C49" s="154"/>
      <c r="D49" s="154"/>
      <c r="E49" s="154"/>
      <c r="F49" s="154"/>
      <c r="G49" s="154"/>
      <c r="H49" s="321">
        <f>C30</f>
        <v>99000</v>
      </c>
      <c r="I49" s="321">
        <f>D30</f>
        <v>126000</v>
      </c>
      <c r="J49" s="407">
        <f>E30</f>
        <v>1211000</v>
      </c>
      <c r="K49" s="408">
        <f>J49</f>
        <v>1211000</v>
      </c>
      <c r="L49" s="321">
        <f>K49</f>
        <v>1211000</v>
      </c>
    </row>
    <row r="50" spans="1:12">
      <c r="A50" s="150" t="s">
        <v>99</v>
      </c>
      <c r="B50" s="132"/>
      <c r="C50" s="132"/>
      <c r="D50" s="132"/>
      <c r="E50" s="132"/>
      <c r="F50" s="132"/>
      <c r="G50" s="132"/>
      <c r="H50" s="132"/>
      <c r="I50" s="132"/>
      <c r="J50" s="151"/>
      <c r="K50" s="250">
        <f>G33</f>
        <v>833333.33333333337</v>
      </c>
      <c r="L50" s="250">
        <f>K50</f>
        <v>833333.33333333337</v>
      </c>
    </row>
    <row r="51" spans="1:12">
      <c r="A51" s="150" t="s">
        <v>100</v>
      </c>
      <c r="B51" s="132"/>
      <c r="C51" s="132"/>
      <c r="D51" s="132"/>
      <c r="E51" s="132"/>
      <c r="F51" s="132"/>
      <c r="J51" s="155"/>
      <c r="K51" s="130"/>
      <c r="L51" s="322">
        <f>H34</f>
        <v>833333.33333333337</v>
      </c>
    </row>
    <row r="52" spans="1:12">
      <c r="A52" s="156" t="s">
        <v>5</v>
      </c>
      <c r="B52" s="157">
        <f>SUM(B41:B51)</f>
        <v>415552.6948728204</v>
      </c>
      <c r="C52" s="157">
        <f t="shared" ref="C52:L52" si="8">SUM(C41:C51)</f>
        <v>749106.26563565712</v>
      </c>
      <c r="D52" s="157">
        <f t="shared" si="8"/>
        <v>1039688.903973503</v>
      </c>
      <c r="E52" s="157">
        <f t="shared" si="8"/>
        <v>1802169.88608751</v>
      </c>
      <c r="F52" s="157">
        <f t="shared" si="8"/>
        <v>1879508.692706482</v>
      </c>
      <c r="G52" s="157">
        <f t="shared" si="8"/>
        <v>2628630.1213701144</v>
      </c>
      <c r="H52" s="157">
        <f t="shared" si="8"/>
        <v>3322946.3621967593</v>
      </c>
      <c r="I52" s="157">
        <f t="shared" si="8"/>
        <v>3594186.1609654073</v>
      </c>
      <c r="J52" s="158">
        <f t="shared" si="8"/>
        <v>4476156.1417619446</v>
      </c>
      <c r="K52" s="157">
        <f t="shared" si="8"/>
        <v>4966234.280361928</v>
      </c>
      <c r="L52" s="157">
        <f t="shared" si="8"/>
        <v>5564716.3408678044</v>
      </c>
    </row>
    <row r="53" spans="1:12">
      <c r="A53" s="167"/>
      <c r="B53" s="261"/>
      <c r="C53" s="261"/>
      <c r="D53" s="261"/>
      <c r="E53" s="261"/>
      <c r="F53" s="261"/>
      <c r="G53" s="261"/>
      <c r="H53" s="261"/>
      <c r="I53" s="261"/>
      <c r="J53" s="261"/>
      <c r="K53" s="261"/>
      <c r="L53" s="261"/>
    </row>
    <row r="54" spans="1:12">
      <c r="D54" s="126"/>
      <c r="F54" s="126"/>
    </row>
    <row r="55" spans="1:12" ht="24.75" customHeight="1">
      <c r="A55" s="251"/>
      <c r="B55" s="265" t="s">
        <v>147</v>
      </c>
      <c r="C55" s="253"/>
      <c r="D55" s="253" t="s">
        <v>146</v>
      </c>
      <c r="E55" s="254"/>
      <c r="F55" s="252"/>
      <c r="G55" s="255"/>
      <c r="H55" s="255"/>
    </row>
    <row r="56" spans="1:12">
      <c r="A56" s="256"/>
      <c r="B56" s="167"/>
      <c r="C56" s="167">
        <v>2011</v>
      </c>
      <c r="D56" s="257">
        <v>2012</v>
      </c>
      <c r="E56" s="167">
        <v>2013</v>
      </c>
      <c r="F56" s="167">
        <v>2014</v>
      </c>
      <c r="G56" s="167">
        <v>2015</v>
      </c>
      <c r="H56" s="155">
        <v>2016</v>
      </c>
    </row>
    <row r="57" spans="1:12">
      <c r="A57" s="256">
        <v>2015</v>
      </c>
      <c r="B57" s="401">
        <f>K49*F57+K50*G57</f>
        <v>416666.66666666669</v>
      </c>
      <c r="C57" s="257">
        <v>0</v>
      </c>
      <c r="D57" s="257">
        <v>0</v>
      </c>
      <c r="E57" s="257">
        <v>0</v>
      </c>
      <c r="F57" s="445">
        <v>0</v>
      </c>
      <c r="G57" s="262">
        <v>0.5</v>
      </c>
      <c r="H57" s="155"/>
    </row>
    <row r="58" spans="1:12">
      <c r="A58" s="258">
        <v>2016</v>
      </c>
      <c r="B58" s="266">
        <f>L49*F58+L50*G58+L51*H58</f>
        <v>1250000</v>
      </c>
      <c r="C58" s="259"/>
      <c r="D58" s="260"/>
      <c r="E58" s="259"/>
      <c r="F58" s="446">
        <v>0</v>
      </c>
      <c r="G58" s="263">
        <v>1</v>
      </c>
      <c r="H58" s="264">
        <v>0.5</v>
      </c>
    </row>
    <row r="59" spans="1:12">
      <c r="D59" s="126"/>
      <c r="F59" s="126" t="s">
        <v>238</v>
      </c>
    </row>
    <row r="60" spans="1:12">
      <c r="D60" s="126"/>
      <c r="F60" s="444"/>
    </row>
    <row r="61" spans="1:12" ht="39.75" customHeight="1">
      <c r="C61" s="428" t="s">
        <v>124</v>
      </c>
      <c r="G61" s="399" t="s">
        <v>125</v>
      </c>
    </row>
    <row r="62" spans="1:12" ht="29.25" customHeight="1">
      <c r="C62" s="159" t="s">
        <v>126</v>
      </c>
      <c r="D62" s="160" t="s">
        <v>127</v>
      </c>
      <c r="E62" s="160" t="s">
        <v>128</v>
      </c>
      <c r="K62" s="331" t="s">
        <v>0</v>
      </c>
    </row>
    <row r="63" spans="1:12" ht="11.25" customHeight="1">
      <c r="C63" s="161" t="s">
        <v>116</v>
      </c>
      <c r="D63" s="160"/>
      <c r="E63" s="160"/>
      <c r="G63" s="123" t="s">
        <v>218</v>
      </c>
      <c r="K63" s="162"/>
    </row>
    <row r="64" spans="1:12" ht="12.75" customHeight="1">
      <c r="A64" s="163">
        <v>38718</v>
      </c>
      <c r="B64" s="164"/>
      <c r="C64" s="126">
        <f>$G$4</f>
        <v>2663.7993261078232</v>
      </c>
      <c r="G64" s="129">
        <f>C64*$K$64</f>
        <v>2866.2763044831449</v>
      </c>
      <c r="H64" s="129"/>
      <c r="J64" s="123">
        <v>2006</v>
      </c>
      <c r="K64" s="330">
        <f>'Rate Class Energy Model '!C4</f>
        <v>1.0760105974916543</v>
      </c>
    </row>
    <row r="65" spans="1:57">
      <c r="A65" s="163">
        <v>38749</v>
      </c>
      <c r="B65" s="165"/>
      <c r="C65" s="126">
        <f t="shared" ref="C65:C75" si="9">C64+$G$4</f>
        <v>5327.5986522156463</v>
      </c>
      <c r="G65" s="129">
        <f t="shared" ref="G65:G75" si="10">C65*$K$64</f>
        <v>5732.5526089662899</v>
      </c>
      <c r="J65" s="123">
        <v>2007</v>
      </c>
      <c r="K65" s="330">
        <f>'Rate Class Energy Model '!C5</f>
        <v>1.101430100970306</v>
      </c>
    </row>
    <row r="66" spans="1:57">
      <c r="A66" s="163">
        <v>38777</v>
      </c>
      <c r="B66" s="165"/>
      <c r="C66" s="126">
        <f t="shared" si="9"/>
        <v>7991.3979783234699</v>
      </c>
      <c r="G66" s="129">
        <f t="shared" si="10"/>
        <v>8598.8289134494353</v>
      </c>
      <c r="J66" s="123">
        <v>2008</v>
      </c>
      <c r="K66" s="330">
        <f>'Rate Class Energy Model '!C6</f>
        <v>1.0854276060712418</v>
      </c>
    </row>
    <row r="67" spans="1:57">
      <c r="A67" s="163">
        <v>38808</v>
      </c>
      <c r="B67" s="165"/>
      <c r="C67" s="126">
        <f t="shared" si="9"/>
        <v>10655.197304431293</v>
      </c>
      <c r="G67" s="129">
        <f t="shared" si="10"/>
        <v>11465.10521793258</v>
      </c>
      <c r="J67" s="123">
        <v>2009</v>
      </c>
      <c r="K67" s="330">
        <f>'Rate Class Energy Model '!C7</f>
        <v>1.0796335435033315</v>
      </c>
    </row>
    <row r="68" spans="1:57">
      <c r="A68" s="163">
        <v>38838</v>
      </c>
      <c r="B68" s="165"/>
      <c r="C68" s="126">
        <f t="shared" si="9"/>
        <v>13318.996630539115</v>
      </c>
      <c r="G68" s="129">
        <f t="shared" si="10"/>
        <v>14331.381522415724</v>
      </c>
      <c r="J68" s="123">
        <v>2010</v>
      </c>
      <c r="K68" s="330">
        <f>'Rate Class Energy Model '!C8</f>
        <v>1.0811683120293523</v>
      </c>
    </row>
    <row r="69" spans="1:57">
      <c r="A69" s="163">
        <v>38869</v>
      </c>
      <c r="B69" s="165"/>
      <c r="C69" s="126">
        <f t="shared" si="9"/>
        <v>15982.795956646938</v>
      </c>
      <c r="G69" s="129">
        <f t="shared" si="10"/>
        <v>17197.657826898867</v>
      </c>
      <c r="J69" s="123">
        <v>2011</v>
      </c>
      <c r="K69" s="330">
        <f>'Rate Class Energy Model '!C9</f>
        <v>1.0844748144207903</v>
      </c>
    </row>
    <row r="70" spans="1:57">
      <c r="A70" s="163">
        <v>38899</v>
      </c>
      <c r="B70" s="165"/>
      <c r="C70" s="126">
        <f t="shared" si="9"/>
        <v>18646.595282754763</v>
      </c>
      <c r="G70" s="129">
        <f t="shared" si="10"/>
        <v>20063.934131382015</v>
      </c>
      <c r="J70" s="123">
        <v>2012</v>
      </c>
      <c r="K70" s="330">
        <f>'Rate Class Energy Model '!C10</f>
        <v>1.0834939346930714</v>
      </c>
    </row>
    <row r="71" spans="1:57">
      <c r="A71" s="163">
        <v>38930</v>
      </c>
      <c r="B71" s="165"/>
      <c r="C71" s="126">
        <f t="shared" si="9"/>
        <v>21310.394608862585</v>
      </c>
      <c r="G71" s="129">
        <f t="shared" si="10"/>
        <v>22930.21043586516</v>
      </c>
      <c r="J71" s="123">
        <v>2013</v>
      </c>
      <c r="K71" s="330">
        <f>'Rate Class Energy Model '!C11</f>
        <v>1.0877151768064881</v>
      </c>
    </row>
    <row r="72" spans="1:57">
      <c r="A72" s="163">
        <v>38961</v>
      </c>
      <c r="B72" s="165"/>
      <c r="C72" s="126">
        <f t="shared" si="9"/>
        <v>23974.193934970408</v>
      </c>
      <c r="G72" s="129">
        <f t="shared" si="10"/>
        <v>25796.486740348304</v>
      </c>
      <c r="J72" s="123">
        <v>2014</v>
      </c>
      <c r="K72" s="330">
        <f>'Rate Class Energy Model '!C12</f>
        <v>1.0776588339607704</v>
      </c>
      <c r="BE72" s="123" t="s">
        <v>63</v>
      </c>
    </row>
    <row r="73" spans="1:57">
      <c r="A73" s="163">
        <v>38991</v>
      </c>
      <c r="B73" s="165"/>
      <c r="C73" s="126">
        <f t="shared" si="9"/>
        <v>26637.993261078231</v>
      </c>
      <c r="G73" s="129">
        <f t="shared" si="10"/>
        <v>28662.763044831448</v>
      </c>
      <c r="J73" s="123">
        <v>2015</v>
      </c>
      <c r="K73" s="330">
        <f>'Rate Class Energy Model '!$C$16</f>
        <v>1.083</v>
      </c>
      <c r="AA73" s="130"/>
    </row>
    <row r="74" spans="1:57">
      <c r="A74" s="163">
        <v>39022</v>
      </c>
      <c r="B74" s="165"/>
      <c r="C74" s="126">
        <f t="shared" si="9"/>
        <v>29301.792587186053</v>
      </c>
      <c r="D74" s="166" t="s">
        <v>11</v>
      </c>
      <c r="G74" s="129">
        <f t="shared" si="10"/>
        <v>31529.039349314593</v>
      </c>
      <c r="H74" s="166" t="s">
        <v>11</v>
      </c>
      <c r="J74" s="123">
        <v>2016</v>
      </c>
      <c r="K74" s="330">
        <f>K73</f>
        <v>1.083</v>
      </c>
    </row>
    <row r="75" spans="1:57">
      <c r="A75" s="324">
        <v>39052</v>
      </c>
      <c r="B75" s="324"/>
      <c r="C75" s="325">
        <f t="shared" si="9"/>
        <v>31965.591913293876</v>
      </c>
      <c r="D75" s="325">
        <f>SUM(C64:C75)</f>
        <v>207776.3474364102</v>
      </c>
      <c r="E75" s="325">
        <f>C75*12</f>
        <v>383587.10295952653</v>
      </c>
      <c r="F75" s="324"/>
      <c r="G75" s="326">
        <f t="shared" si="10"/>
        <v>34395.315653797734</v>
      </c>
      <c r="H75" s="325">
        <f>SUM(G64:G75)</f>
        <v>223569.55174968528</v>
      </c>
      <c r="I75" s="327">
        <f>H75-D75*K64</f>
        <v>0</v>
      </c>
    </row>
    <row r="76" spans="1:57">
      <c r="A76" s="163">
        <v>39083</v>
      </c>
      <c r="B76" s="163"/>
      <c r="C76" s="126">
        <f t="shared" ref="C76:C87" si="11">C75+$G$5</f>
        <v>34513.571109379933</v>
      </c>
      <c r="D76" s="129">
        <f>D75-P5</f>
        <v>207776.3474364102</v>
      </c>
      <c r="G76" s="129">
        <f>C76*$K$65</f>
        <v>38014.286111850175</v>
      </c>
    </row>
    <row r="77" spans="1:57">
      <c r="A77" s="163">
        <v>39114</v>
      </c>
      <c r="B77" s="163"/>
      <c r="C77" s="126">
        <f t="shared" si="11"/>
        <v>37061.550305465986</v>
      </c>
      <c r="G77" s="129">
        <f t="shared" ref="G77:G87" si="12">C77*$K$65</f>
        <v>40820.707095065474</v>
      </c>
    </row>
    <row r="78" spans="1:57">
      <c r="A78" s="163">
        <v>39142</v>
      </c>
      <c r="B78" s="163"/>
      <c r="C78" s="126">
        <f t="shared" si="11"/>
        <v>39609.529501552039</v>
      </c>
      <c r="G78" s="129">
        <f t="shared" si="12"/>
        <v>43627.128078280781</v>
      </c>
    </row>
    <row r="79" spans="1:57">
      <c r="A79" s="163">
        <v>39173</v>
      </c>
      <c r="B79" s="163"/>
      <c r="C79" s="126">
        <f t="shared" si="11"/>
        <v>42157.508697638092</v>
      </c>
      <c r="G79" s="129">
        <f t="shared" si="12"/>
        <v>46433.54906149608</v>
      </c>
    </row>
    <row r="80" spans="1:57">
      <c r="A80" s="163">
        <v>39203</v>
      </c>
      <c r="B80" s="163"/>
      <c r="C80" s="126">
        <f t="shared" si="11"/>
        <v>44705.487893724145</v>
      </c>
      <c r="G80" s="129">
        <f t="shared" si="12"/>
        <v>49239.970044711379</v>
      </c>
    </row>
    <row r="81" spans="1:24">
      <c r="A81" s="163">
        <v>39234</v>
      </c>
      <c r="B81" s="163"/>
      <c r="C81" s="126">
        <f t="shared" si="11"/>
        <v>47253.467089810198</v>
      </c>
      <c r="G81" s="129">
        <f t="shared" si="12"/>
        <v>52046.391027926678</v>
      </c>
    </row>
    <row r="82" spans="1:24">
      <c r="A82" s="163">
        <v>39264</v>
      </c>
      <c r="B82" s="163"/>
      <c r="C82" s="126">
        <f t="shared" si="11"/>
        <v>49801.446285896251</v>
      </c>
      <c r="G82" s="129">
        <f t="shared" si="12"/>
        <v>54852.812011141978</v>
      </c>
    </row>
    <row r="83" spans="1:24">
      <c r="A83" s="163">
        <v>39295</v>
      </c>
      <c r="B83" s="163"/>
      <c r="C83" s="126">
        <f t="shared" si="11"/>
        <v>52349.425481982304</v>
      </c>
      <c r="G83" s="129">
        <f t="shared" si="12"/>
        <v>57659.232994357277</v>
      </c>
    </row>
    <row r="84" spans="1:24">
      <c r="A84" s="163">
        <v>39326</v>
      </c>
      <c r="B84" s="163"/>
      <c r="C84" s="126">
        <f t="shared" si="11"/>
        <v>54897.404678068357</v>
      </c>
      <c r="G84" s="129">
        <f t="shared" si="12"/>
        <v>60465.653977572583</v>
      </c>
    </row>
    <row r="85" spans="1:24">
      <c r="A85" s="163">
        <v>39356</v>
      </c>
      <c r="B85" s="163"/>
      <c r="C85" s="126">
        <f t="shared" si="11"/>
        <v>57445.38387415441</v>
      </c>
      <c r="G85" s="129">
        <f t="shared" si="12"/>
        <v>63272.074960787882</v>
      </c>
      <c r="W85" s="167"/>
    </row>
    <row r="86" spans="1:24">
      <c r="A86" s="163">
        <v>39387</v>
      </c>
      <c r="B86" s="163"/>
      <c r="C86" s="126">
        <f t="shared" si="11"/>
        <v>59993.363070240463</v>
      </c>
      <c r="D86" s="166" t="s">
        <v>11</v>
      </c>
      <c r="G86" s="129">
        <f t="shared" si="12"/>
        <v>66078.495944003182</v>
      </c>
    </row>
    <row r="87" spans="1:24">
      <c r="A87" s="324">
        <v>39417</v>
      </c>
      <c r="B87" s="324"/>
      <c r="C87" s="325">
        <f t="shared" si="11"/>
        <v>62541.342266326516</v>
      </c>
      <c r="D87" s="325">
        <f>SUM(C76:C87)</f>
        <v>582329.4802542387</v>
      </c>
      <c r="E87" s="325">
        <f>C87*12</f>
        <v>750496.10719591822</v>
      </c>
      <c r="F87" s="328"/>
      <c r="G87" s="326">
        <f t="shared" si="12"/>
        <v>68884.916927218481</v>
      </c>
      <c r="H87" s="325">
        <f>SUM(G76:G87)</f>
        <v>641395.21823441191</v>
      </c>
      <c r="I87" s="327">
        <f>H87-D87*K65</f>
        <v>0</v>
      </c>
    </row>
    <row r="88" spans="1:24">
      <c r="A88" s="163">
        <v>39448</v>
      </c>
      <c r="B88" s="163"/>
      <c r="C88" s="126">
        <f t="shared" ref="C88:C99" si="13">C87+$G$6</f>
        <v>64386.233004899106</v>
      </c>
      <c r="D88" s="129"/>
      <c r="G88" s="129">
        <f>C88*$K$66</f>
        <v>69886.594754452817</v>
      </c>
    </row>
    <row r="89" spans="1:24">
      <c r="A89" s="163">
        <v>39479</v>
      </c>
      <c r="B89" s="163"/>
      <c r="C89" s="126">
        <f t="shared" si="13"/>
        <v>66231.12374347169</v>
      </c>
      <c r="G89" s="129">
        <f t="shared" ref="G89:G99" si="14">C89*$K$66</f>
        <v>71889.090092284663</v>
      </c>
    </row>
    <row r="90" spans="1:24">
      <c r="A90" s="163">
        <v>39508</v>
      </c>
      <c r="B90" s="163"/>
      <c r="C90" s="126">
        <f t="shared" si="13"/>
        <v>68076.01448204428</v>
      </c>
      <c r="G90" s="129">
        <f t="shared" si="14"/>
        <v>73891.585430116509</v>
      </c>
    </row>
    <row r="91" spans="1:24">
      <c r="A91" s="163">
        <v>39539</v>
      </c>
      <c r="B91" s="163"/>
      <c r="C91" s="126">
        <f t="shared" si="13"/>
        <v>69920.905220616871</v>
      </c>
      <c r="G91" s="129">
        <f t="shared" si="14"/>
        <v>75894.080767948355</v>
      </c>
    </row>
    <row r="92" spans="1:24">
      <c r="A92" s="163">
        <v>39569</v>
      </c>
      <c r="B92" s="163"/>
      <c r="C92" s="126">
        <f t="shared" si="13"/>
        <v>71765.795959189461</v>
      </c>
      <c r="G92" s="129">
        <f t="shared" si="14"/>
        <v>77896.576105780216</v>
      </c>
      <c r="O92" s="130"/>
      <c r="P92" s="130"/>
      <c r="Q92" s="130"/>
      <c r="R92" s="130"/>
    </row>
    <row r="93" spans="1:24">
      <c r="A93" s="163">
        <v>39600</v>
      </c>
      <c r="B93" s="163"/>
      <c r="C93" s="126">
        <f t="shared" si="13"/>
        <v>73610.686697762052</v>
      </c>
      <c r="G93" s="129">
        <f t="shared" si="14"/>
        <v>79899.071443612062</v>
      </c>
      <c r="O93" s="168"/>
      <c r="P93" s="168"/>
      <c r="Q93" s="168"/>
      <c r="R93" s="168"/>
      <c r="S93" s="168"/>
      <c r="T93" s="130"/>
      <c r="U93" s="130"/>
      <c r="V93" s="130"/>
      <c r="W93" s="130"/>
    </row>
    <row r="94" spans="1:24">
      <c r="A94" s="163">
        <v>39630</v>
      </c>
      <c r="B94" s="163"/>
      <c r="C94" s="126">
        <f t="shared" si="13"/>
        <v>75455.577436334643</v>
      </c>
      <c r="G94" s="129">
        <f t="shared" si="14"/>
        <v>81901.566781443922</v>
      </c>
      <c r="O94" s="168"/>
      <c r="P94" s="168"/>
      <c r="Q94" s="168"/>
      <c r="R94" s="168"/>
      <c r="S94" s="168"/>
      <c r="T94" s="130"/>
      <c r="U94" s="130"/>
      <c r="V94" s="130"/>
      <c r="W94" s="130"/>
      <c r="X94" s="130"/>
    </row>
    <row r="95" spans="1:24">
      <c r="A95" s="163">
        <v>39661</v>
      </c>
      <c r="B95" s="163"/>
      <c r="C95" s="126">
        <f t="shared" si="13"/>
        <v>77300.468174907233</v>
      </c>
      <c r="G95" s="129">
        <f t="shared" si="14"/>
        <v>83904.062119275768</v>
      </c>
      <c r="O95" s="168"/>
      <c r="P95" s="168"/>
      <c r="Q95" s="168"/>
      <c r="R95" s="168"/>
      <c r="S95" s="168"/>
      <c r="T95" s="130"/>
      <c r="U95" s="130"/>
      <c r="V95" s="130"/>
      <c r="W95" s="130"/>
      <c r="X95" s="130"/>
    </row>
    <row r="96" spans="1:24">
      <c r="A96" s="163">
        <v>39692</v>
      </c>
      <c r="B96" s="163"/>
      <c r="C96" s="126">
        <f t="shared" si="13"/>
        <v>79145.358913479824</v>
      </c>
      <c r="G96" s="129">
        <f t="shared" si="14"/>
        <v>85906.557457107629</v>
      </c>
      <c r="O96" s="168"/>
      <c r="P96" s="168"/>
      <c r="Q96" s="168"/>
      <c r="R96" s="168"/>
      <c r="S96" s="168"/>
      <c r="T96" s="130"/>
      <c r="U96" s="130"/>
      <c r="V96" s="130"/>
      <c r="W96" s="130"/>
      <c r="X96" s="130"/>
    </row>
    <row r="97" spans="1:24">
      <c r="A97" s="163">
        <v>39722</v>
      </c>
      <c r="B97" s="163"/>
      <c r="C97" s="126">
        <f t="shared" si="13"/>
        <v>80990.249652052415</v>
      </c>
      <c r="G97" s="129">
        <f t="shared" si="14"/>
        <v>87909.052794939475</v>
      </c>
      <c r="O97" s="168"/>
      <c r="P97" s="168"/>
      <c r="Q97" s="168"/>
      <c r="R97" s="168"/>
      <c r="S97" s="168"/>
      <c r="T97" s="130"/>
      <c r="U97" s="130"/>
      <c r="V97" s="130"/>
      <c r="W97" s="130"/>
      <c r="X97" s="130"/>
    </row>
    <row r="98" spans="1:24">
      <c r="A98" s="163">
        <v>39753</v>
      </c>
      <c r="B98" s="163"/>
      <c r="C98" s="126">
        <f t="shared" si="13"/>
        <v>82835.140390625005</v>
      </c>
      <c r="G98" s="129">
        <f t="shared" si="14"/>
        <v>89911.548132771321</v>
      </c>
      <c r="U98" s="130"/>
      <c r="V98" s="130"/>
      <c r="W98" s="130"/>
      <c r="X98" s="130"/>
    </row>
    <row r="99" spans="1:24">
      <c r="A99" s="324">
        <v>39783</v>
      </c>
      <c r="B99" s="324"/>
      <c r="C99" s="325">
        <f t="shared" si="13"/>
        <v>84680.031129197596</v>
      </c>
      <c r="D99" s="325">
        <f>SUM(C88:C99)</f>
        <v>894397.58480458008</v>
      </c>
      <c r="E99" s="325">
        <f>C99*12</f>
        <v>1016160.3735503712</v>
      </c>
      <c r="F99" s="328"/>
      <c r="G99" s="326">
        <f t="shared" si="14"/>
        <v>91914.043470603181</v>
      </c>
      <c r="H99" s="325">
        <f>SUM(G88:G99)</f>
        <v>970803.82935033587</v>
      </c>
      <c r="I99" s="329">
        <f>H99-D99*K66</f>
        <v>0</v>
      </c>
      <c r="O99" s="132"/>
      <c r="P99" s="132"/>
      <c r="Q99" s="132"/>
      <c r="R99" s="132"/>
      <c r="S99" s="132"/>
      <c r="V99" s="130"/>
      <c r="W99" s="130"/>
      <c r="X99" s="130"/>
    </row>
    <row r="100" spans="1:24">
      <c r="A100" s="163">
        <v>39814</v>
      </c>
      <c r="B100" s="163"/>
      <c r="C100" s="126">
        <f t="shared" ref="C100:C111" si="15">C99+$G$7</f>
        <v>89869.377558430104</v>
      </c>
      <c r="D100" s="129"/>
      <c r="G100" s="129">
        <f>C100*$K$67</f>
        <v>97025.994545846668</v>
      </c>
      <c r="O100" s="132"/>
      <c r="P100" s="132"/>
      <c r="Q100" s="132"/>
      <c r="R100" s="132"/>
      <c r="S100" s="132"/>
      <c r="U100" s="130"/>
      <c r="V100" s="130"/>
      <c r="W100" s="130"/>
      <c r="X100" s="130"/>
    </row>
    <row r="101" spans="1:24">
      <c r="A101" s="163">
        <v>39845</v>
      </c>
      <c r="B101" s="163"/>
      <c r="C101" s="126">
        <f t="shared" si="15"/>
        <v>95058.723987662612</v>
      </c>
      <c r="G101" s="129">
        <f t="shared" ref="G101:G111" si="16">C101*$K$67</f>
        <v>102628.58701970533</v>
      </c>
      <c r="O101" s="132"/>
      <c r="P101" s="132"/>
      <c r="Q101" s="132"/>
      <c r="R101" s="132"/>
      <c r="S101" s="132"/>
      <c r="W101" s="130"/>
      <c r="X101" s="130"/>
    </row>
    <row r="102" spans="1:24">
      <c r="A102" s="163">
        <v>39873</v>
      </c>
      <c r="B102" s="163"/>
      <c r="C102" s="126">
        <f t="shared" si="15"/>
        <v>100248.07041689512</v>
      </c>
      <c r="G102" s="129">
        <f t="shared" si="16"/>
        <v>108231.17949356398</v>
      </c>
      <c r="O102" s="132"/>
      <c r="P102" s="132"/>
      <c r="Q102" s="132"/>
      <c r="R102" s="132"/>
      <c r="S102" s="132"/>
      <c r="X102" s="130"/>
    </row>
    <row r="103" spans="1:24">
      <c r="A103" s="163">
        <v>39904</v>
      </c>
      <c r="B103" s="163"/>
      <c r="C103" s="126">
        <f t="shared" si="15"/>
        <v>105437.41684612763</v>
      </c>
      <c r="G103" s="129">
        <f t="shared" si="16"/>
        <v>113833.77196742262</v>
      </c>
      <c r="O103" s="132"/>
      <c r="P103" s="132"/>
      <c r="Q103" s="132"/>
      <c r="R103" s="132"/>
      <c r="S103" s="132"/>
      <c r="T103" s="130"/>
      <c r="U103" s="130"/>
      <c r="V103" s="130"/>
      <c r="W103" s="130"/>
      <c r="X103" s="130"/>
    </row>
    <row r="104" spans="1:24">
      <c r="A104" s="163">
        <v>39934</v>
      </c>
      <c r="B104" s="163"/>
      <c r="C104" s="126">
        <f t="shared" si="15"/>
        <v>110626.76327536014</v>
      </c>
      <c r="G104" s="129">
        <f t="shared" si="16"/>
        <v>119436.36444128129</v>
      </c>
    </row>
    <row r="105" spans="1:24">
      <c r="A105" s="163">
        <v>39965</v>
      </c>
      <c r="B105" s="163"/>
      <c r="C105" s="126">
        <f t="shared" si="15"/>
        <v>115816.10970459264</v>
      </c>
      <c r="G105" s="129">
        <f t="shared" si="16"/>
        <v>125038.95691513993</v>
      </c>
    </row>
    <row r="106" spans="1:24">
      <c r="A106" s="163">
        <v>39995</v>
      </c>
      <c r="B106" s="163"/>
      <c r="C106" s="126">
        <f t="shared" si="15"/>
        <v>121005.45613382515</v>
      </c>
      <c r="G106" s="129">
        <f t="shared" si="16"/>
        <v>130641.5493889986</v>
      </c>
    </row>
    <row r="107" spans="1:24">
      <c r="A107" s="163">
        <v>40026</v>
      </c>
      <c r="B107" s="163"/>
      <c r="C107" s="126">
        <f t="shared" si="15"/>
        <v>126194.80256305766</v>
      </c>
      <c r="G107" s="129">
        <f t="shared" si="16"/>
        <v>136244.14186285724</v>
      </c>
    </row>
    <row r="108" spans="1:24">
      <c r="A108" s="163">
        <v>40057</v>
      </c>
      <c r="B108" s="163"/>
      <c r="C108" s="126">
        <f t="shared" si="15"/>
        <v>131384.14899229017</v>
      </c>
      <c r="G108" s="129">
        <f t="shared" si="16"/>
        <v>141846.73433671589</v>
      </c>
    </row>
    <row r="109" spans="1:24">
      <c r="A109" s="163">
        <v>40087</v>
      </c>
      <c r="B109" s="163"/>
      <c r="C109" s="126">
        <f t="shared" si="15"/>
        <v>136573.49542152268</v>
      </c>
      <c r="G109" s="129">
        <f t="shared" si="16"/>
        <v>147449.32681057454</v>
      </c>
    </row>
    <row r="110" spans="1:24">
      <c r="A110" s="163">
        <v>40118</v>
      </c>
      <c r="B110" s="163"/>
      <c r="C110" s="126">
        <f t="shared" si="15"/>
        <v>141762.84185075518</v>
      </c>
      <c r="G110" s="129">
        <f t="shared" si="16"/>
        <v>153051.91928443321</v>
      </c>
    </row>
    <row r="111" spans="1:24">
      <c r="A111" s="324">
        <v>40148</v>
      </c>
      <c r="B111" s="324"/>
      <c r="C111" s="325">
        <f t="shared" si="15"/>
        <v>146952.18827998769</v>
      </c>
      <c r="D111" s="325">
        <f>SUM(C100:C111)</f>
        <v>1420929.3950305069</v>
      </c>
      <c r="E111" s="325">
        <f>C111*12</f>
        <v>1763426.2593598524</v>
      </c>
      <c r="F111" s="328"/>
      <c r="G111" s="326">
        <f t="shared" si="16"/>
        <v>158654.51175829186</v>
      </c>
      <c r="H111" s="325">
        <f>SUM(G100:G111)</f>
        <v>1534083.0378248312</v>
      </c>
      <c r="I111" s="329">
        <f>H111-D111*K67</f>
        <v>0</v>
      </c>
    </row>
    <row r="112" spans="1:24">
      <c r="A112" s="163">
        <v>40179</v>
      </c>
      <c r="B112" s="163"/>
      <c r="C112" s="126">
        <f t="shared" ref="C112:C123" si="17">C111+$G$8</f>
        <v>147944.66302405365</v>
      </c>
      <c r="D112" s="129"/>
      <c r="G112" s="129">
        <f>C112*$K$68</f>
        <v>159953.0815954674</v>
      </c>
    </row>
    <row r="113" spans="1:9">
      <c r="A113" s="163">
        <v>40210</v>
      </c>
      <c r="B113" s="163"/>
      <c r="C113" s="126">
        <f t="shared" si="17"/>
        <v>148937.1377681196</v>
      </c>
      <c r="G113" s="129">
        <f t="shared" ref="G113:G123" si="18">C113*$K$68</f>
        <v>161026.11383924095</v>
      </c>
    </row>
    <row r="114" spans="1:9">
      <c r="A114" s="163">
        <v>40238</v>
      </c>
      <c r="B114" s="163"/>
      <c r="C114" s="126">
        <f t="shared" si="17"/>
        <v>149929.61251218556</v>
      </c>
      <c r="G114" s="129">
        <f t="shared" si="18"/>
        <v>162099.14608301452</v>
      </c>
    </row>
    <row r="115" spans="1:9">
      <c r="A115" s="163">
        <v>40269</v>
      </c>
      <c r="B115" s="163"/>
      <c r="C115" s="126">
        <f t="shared" si="17"/>
        <v>150922.08725625151</v>
      </c>
      <c r="G115" s="129">
        <f t="shared" si="18"/>
        <v>163172.17832678807</v>
      </c>
    </row>
    <row r="116" spans="1:9">
      <c r="A116" s="163">
        <v>40299</v>
      </c>
      <c r="B116" s="163"/>
      <c r="C116" s="126">
        <f t="shared" si="17"/>
        <v>151914.56200031747</v>
      </c>
      <c r="G116" s="129">
        <f t="shared" si="18"/>
        <v>164245.21057056161</v>
      </c>
    </row>
    <row r="117" spans="1:9">
      <c r="A117" s="163">
        <v>40330</v>
      </c>
      <c r="B117" s="163"/>
      <c r="C117" s="126">
        <f t="shared" si="17"/>
        <v>152907.03674438343</v>
      </c>
      <c r="G117" s="129">
        <f t="shared" si="18"/>
        <v>165318.24281433516</v>
      </c>
    </row>
    <row r="118" spans="1:9">
      <c r="A118" s="163">
        <v>40360</v>
      </c>
      <c r="B118" s="163"/>
      <c r="C118" s="126">
        <f t="shared" si="17"/>
        <v>153899.51148844938</v>
      </c>
      <c r="G118" s="129">
        <f t="shared" si="18"/>
        <v>166391.27505810873</v>
      </c>
    </row>
    <row r="119" spans="1:9">
      <c r="A119" s="163">
        <v>40391</v>
      </c>
      <c r="B119" s="163"/>
      <c r="C119" s="126">
        <f t="shared" si="17"/>
        <v>154891.98623251534</v>
      </c>
      <c r="G119" s="129">
        <f t="shared" si="18"/>
        <v>167464.30730188228</v>
      </c>
    </row>
    <row r="120" spans="1:9">
      <c r="A120" s="163">
        <v>40422</v>
      </c>
      <c r="B120" s="163"/>
      <c r="C120" s="126">
        <f t="shared" si="17"/>
        <v>155884.46097658129</v>
      </c>
      <c r="G120" s="129">
        <f t="shared" si="18"/>
        <v>168537.33954565582</v>
      </c>
    </row>
    <row r="121" spans="1:9">
      <c r="A121" s="163">
        <v>40452</v>
      </c>
      <c r="B121" s="163"/>
      <c r="C121" s="126">
        <f t="shared" si="17"/>
        <v>156876.93572064725</v>
      </c>
      <c r="G121" s="129">
        <f t="shared" si="18"/>
        <v>169610.37178942939</v>
      </c>
    </row>
    <row r="122" spans="1:9">
      <c r="A122" s="163">
        <v>40483</v>
      </c>
      <c r="B122" s="163"/>
      <c r="C122" s="126">
        <f t="shared" si="17"/>
        <v>157869.4104647132</v>
      </c>
      <c r="G122" s="129">
        <f t="shared" si="18"/>
        <v>170683.40403320294</v>
      </c>
    </row>
    <row r="123" spans="1:9">
      <c r="A123" s="324">
        <v>40513</v>
      </c>
      <c r="B123" s="324"/>
      <c r="C123" s="325">
        <f t="shared" si="17"/>
        <v>158861.88520877916</v>
      </c>
      <c r="D123" s="325">
        <f>SUM(C112:C123)</f>
        <v>1840839.2893969968</v>
      </c>
      <c r="E123" s="325">
        <f>C123*12</f>
        <v>1906342.62250535</v>
      </c>
      <c r="F123" s="328"/>
      <c r="G123" s="326">
        <f t="shared" si="18"/>
        <v>171756.43627697648</v>
      </c>
      <c r="H123" s="325">
        <f>SUM(G112:G123)</f>
        <v>1990257.1072346633</v>
      </c>
      <c r="I123" s="329">
        <f>H123-D123*K68</f>
        <v>0</v>
      </c>
    </row>
    <row r="124" spans="1:9">
      <c r="A124" s="163">
        <v>40544</v>
      </c>
      <c r="B124" s="163"/>
      <c r="C124" s="126">
        <f t="shared" ref="C124:C135" si="19">C123+$G$9</f>
        <v>163319.92090791953</v>
      </c>
      <c r="D124" s="129"/>
      <c r="G124" s="129">
        <f>C124*$K$69</f>
        <v>177116.34091783417</v>
      </c>
    </row>
    <row r="125" spans="1:9">
      <c r="A125" s="163">
        <v>40575</v>
      </c>
      <c r="B125" s="163"/>
      <c r="C125" s="126">
        <f t="shared" si="19"/>
        <v>167777.9566070599</v>
      </c>
      <c r="G125" s="129">
        <f t="shared" ref="G125:G135" si="20">C125*$K$69</f>
        <v>181950.96835534068</v>
      </c>
    </row>
    <row r="126" spans="1:9">
      <c r="A126" s="163">
        <v>40603</v>
      </c>
      <c r="B126" s="163"/>
      <c r="C126" s="126">
        <f t="shared" si="19"/>
        <v>172235.99230620026</v>
      </c>
      <c r="G126" s="129">
        <f t="shared" si="20"/>
        <v>186785.59579284719</v>
      </c>
    </row>
    <row r="127" spans="1:9">
      <c r="A127" s="163">
        <v>40634</v>
      </c>
      <c r="B127" s="163"/>
      <c r="C127" s="126">
        <f t="shared" si="19"/>
        <v>176694.02800534063</v>
      </c>
      <c r="G127" s="129">
        <f t="shared" si="20"/>
        <v>191620.2232303537</v>
      </c>
    </row>
    <row r="128" spans="1:9">
      <c r="A128" s="163">
        <v>40664</v>
      </c>
      <c r="B128" s="163"/>
      <c r="C128" s="126">
        <f t="shared" si="19"/>
        <v>181152.063704481</v>
      </c>
      <c r="G128" s="129">
        <f t="shared" si="20"/>
        <v>196454.85066786021</v>
      </c>
    </row>
    <row r="129" spans="1:9">
      <c r="A129" s="163">
        <v>40695</v>
      </c>
      <c r="B129" s="163"/>
      <c r="C129" s="126">
        <f t="shared" si="19"/>
        <v>185610.09940362137</v>
      </c>
      <c r="G129" s="129">
        <f t="shared" si="20"/>
        <v>201289.47810536672</v>
      </c>
    </row>
    <row r="130" spans="1:9">
      <c r="A130" s="163">
        <v>40725</v>
      </c>
      <c r="B130" s="163"/>
      <c r="C130" s="126">
        <f t="shared" si="19"/>
        <v>190068.13510276173</v>
      </c>
      <c r="G130" s="129">
        <f t="shared" si="20"/>
        <v>206124.10554287324</v>
      </c>
    </row>
    <row r="131" spans="1:9">
      <c r="A131" s="163">
        <v>40756</v>
      </c>
      <c r="B131" s="163"/>
      <c r="C131" s="126">
        <f t="shared" si="19"/>
        <v>194526.1708019021</v>
      </c>
      <c r="G131" s="129">
        <f t="shared" si="20"/>
        <v>210958.73298037975</v>
      </c>
    </row>
    <row r="132" spans="1:9">
      <c r="A132" s="163">
        <v>40787</v>
      </c>
      <c r="B132" s="163"/>
      <c r="C132" s="126">
        <f t="shared" si="19"/>
        <v>198984.20650104247</v>
      </c>
      <c r="G132" s="129">
        <f t="shared" si="20"/>
        <v>215793.36041788626</v>
      </c>
    </row>
    <row r="133" spans="1:9">
      <c r="A133" s="163">
        <v>40817</v>
      </c>
      <c r="B133" s="163"/>
      <c r="C133" s="126">
        <f t="shared" si="19"/>
        <v>203442.24220018284</v>
      </c>
      <c r="G133" s="129">
        <f t="shared" si="20"/>
        <v>220627.98785539277</v>
      </c>
    </row>
    <row r="134" spans="1:9">
      <c r="A134" s="163">
        <v>40848</v>
      </c>
      <c r="B134" s="163"/>
      <c r="C134" s="126">
        <f t="shared" si="19"/>
        <v>207900.27789932321</v>
      </c>
      <c r="G134" s="129">
        <f t="shared" si="20"/>
        <v>225462.61529289925</v>
      </c>
    </row>
    <row r="135" spans="1:9">
      <c r="A135" s="324">
        <v>40878</v>
      </c>
      <c r="B135" s="324"/>
      <c r="C135" s="325">
        <f t="shared" si="19"/>
        <v>212358.31359846357</v>
      </c>
      <c r="D135" s="325">
        <f>SUM(C124:C135)</f>
        <v>2254069.4070382989</v>
      </c>
      <c r="E135" s="325">
        <f>C135*12</f>
        <v>2548299.763181563</v>
      </c>
      <c r="F135" s="328"/>
      <c r="G135" s="326">
        <f t="shared" si="20"/>
        <v>230297.24273040576</v>
      </c>
      <c r="H135" s="325">
        <f>SUM(G124:G135)</f>
        <v>2444481.5018894398</v>
      </c>
      <c r="I135" s="329">
        <f>H135-D135*K69</f>
        <v>0</v>
      </c>
    </row>
    <row r="136" spans="1:9">
      <c r="A136" s="163">
        <v>40909</v>
      </c>
      <c r="B136" s="163"/>
      <c r="C136" s="126">
        <f t="shared" ref="C136:C147" si="21">C135+$G$10</f>
        <v>217838.93511900041</v>
      </c>
      <c r="D136" s="129"/>
      <c r="G136" s="129">
        <f>C136*$K$70</f>
        <v>236027.16494143446</v>
      </c>
    </row>
    <row r="137" spans="1:9">
      <c r="A137" s="163">
        <v>40940</v>
      </c>
      <c r="B137" s="163"/>
      <c r="C137" s="126">
        <f t="shared" si="21"/>
        <v>223319.55663953724</v>
      </c>
      <c r="G137" s="129">
        <f t="shared" ref="G137:G147" si="22">C137*$K$70</f>
        <v>241965.38511728443</v>
      </c>
    </row>
    <row r="138" spans="1:9">
      <c r="A138" s="163">
        <v>40969</v>
      </c>
      <c r="B138" s="163"/>
      <c r="C138" s="126">
        <f t="shared" si="21"/>
        <v>228800.17816007408</v>
      </c>
      <c r="G138" s="129">
        <f t="shared" si="22"/>
        <v>247903.6052931344</v>
      </c>
    </row>
    <row r="139" spans="1:9">
      <c r="A139" s="163">
        <v>41000</v>
      </c>
      <c r="B139" s="163"/>
      <c r="C139" s="126">
        <f t="shared" si="21"/>
        <v>234280.79968061091</v>
      </c>
      <c r="G139" s="129">
        <f t="shared" si="22"/>
        <v>253841.8254689844</v>
      </c>
    </row>
    <row r="140" spans="1:9">
      <c r="A140" s="163">
        <v>41030</v>
      </c>
      <c r="B140" s="163"/>
      <c r="C140" s="126">
        <f t="shared" si="21"/>
        <v>239761.42120114775</v>
      </c>
      <c r="G140" s="129">
        <f t="shared" si="22"/>
        <v>259780.04564483438</v>
      </c>
    </row>
    <row r="141" spans="1:9">
      <c r="A141" s="163">
        <v>41061</v>
      </c>
      <c r="B141" s="163"/>
      <c r="C141" s="126">
        <f t="shared" si="21"/>
        <v>245242.04272168459</v>
      </c>
      <c r="G141" s="129">
        <f t="shared" si="22"/>
        <v>265718.26582068438</v>
      </c>
    </row>
    <row r="142" spans="1:9">
      <c r="A142" s="163">
        <v>41091</v>
      </c>
      <c r="B142" s="163"/>
      <c r="C142" s="126">
        <f t="shared" si="21"/>
        <v>250722.66424222142</v>
      </c>
      <c r="G142" s="129">
        <f t="shared" si="22"/>
        <v>271656.48599653435</v>
      </c>
    </row>
    <row r="143" spans="1:9">
      <c r="A143" s="163">
        <v>41122</v>
      </c>
      <c r="B143" s="163"/>
      <c r="C143" s="126">
        <f t="shared" si="21"/>
        <v>256203.28576275826</v>
      </c>
      <c r="G143" s="129">
        <f t="shared" si="22"/>
        <v>277594.70617238432</v>
      </c>
    </row>
    <row r="144" spans="1:9">
      <c r="A144" s="163">
        <v>41153</v>
      </c>
      <c r="B144" s="163"/>
      <c r="C144" s="126">
        <f t="shared" si="21"/>
        <v>261683.90728329509</v>
      </c>
      <c r="G144" s="129">
        <f t="shared" si="22"/>
        <v>283532.92634823429</v>
      </c>
    </row>
    <row r="145" spans="1:9">
      <c r="A145" s="163">
        <v>41183</v>
      </c>
      <c r="B145" s="163"/>
      <c r="C145" s="126">
        <f t="shared" si="21"/>
        <v>267164.52880383196</v>
      </c>
      <c r="G145" s="129">
        <f t="shared" si="22"/>
        <v>289471.14652408432</v>
      </c>
    </row>
    <row r="146" spans="1:9">
      <c r="A146" s="163">
        <v>41214</v>
      </c>
      <c r="B146" s="163"/>
      <c r="C146" s="126">
        <f t="shared" si="21"/>
        <v>272645.15032436879</v>
      </c>
      <c r="G146" s="129">
        <f t="shared" si="22"/>
        <v>295409.3666999343</v>
      </c>
    </row>
    <row r="147" spans="1:9">
      <c r="A147" s="324">
        <v>41244</v>
      </c>
      <c r="B147" s="324"/>
      <c r="C147" s="325">
        <f t="shared" si="21"/>
        <v>278125.77184490563</v>
      </c>
      <c r="D147" s="325">
        <f>SUM(C136:C147)</f>
        <v>2975788.2417834364</v>
      </c>
      <c r="E147" s="325">
        <f>C147*12</f>
        <v>3337509.2621388678</v>
      </c>
      <c r="F147" s="328"/>
      <c r="G147" s="326">
        <f t="shared" si="22"/>
        <v>301347.58687578427</v>
      </c>
      <c r="H147" s="325">
        <f>SUM(G136:G147)</f>
        <v>3224248.5109033124</v>
      </c>
      <c r="I147" s="329">
        <f>H147-D147*K70</f>
        <v>0</v>
      </c>
    </row>
    <row r="148" spans="1:9">
      <c r="A148" s="163">
        <v>41275</v>
      </c>
      <c r="B148" s="163"/>
      <c r="C148" s="126">
        <f t="shared" ref="C148:C159" si="23">C147+$G$11</f>
        <v>279677.78465826734</v>
      </c>
      <c r="D148" s="129"/>
      <c r="G148" s="129">
        <f>C148*$K$71</f>
        <v>304209.77098841418</v>
      </c>
    </row>
    <row r="149" spans="1:9">
      <c r="A149" s="163">
        <v>41306</v>
      </c>
      <c r="B149" s="163"/>
      <c r="C149" s="126">
        <f t="shared" si="23"/>
        <v>281229.79747162905</v>
      </c>
      <c r="G149" s="129">
        <f t="shared" ref="G149:G159" si="24">C149*$K$71</f>
        <v>305897.91888010583</v>
      </c>
    </row>
    <row r="150" spans="1:9">
      <c r="A150" s="163">
        <v>41334</v>
      </c>
      <c r="B150" s="163"/>
      <c r="C150" s="126">
        <f t="shared" si="23"/>
        <v>282781.81028499076</v>
      </c>
      <c r="G150" s="129">
        <f t="shared" si="24"/>
        <v>307586.06677179749</v>
      </c>
    </row>
    <row r="151" spans="1:9">
      <c r="A151" s="163">
        <v>41365</v>
      </c>
      <c r="B151" s="163"/>
      <c r="C151" s="126">
        <f t="shared" si="23"/>
        <v>284333.82309835247</v>
      </c>
      <c r="G151" s="129">
        <f t="shared" si="24"/>
        <v>309274.21466348914</v>
      </c>
    </row>
    <row r="152" spans="1:9">
      <c r="A152" s="163">
        <v>41395</v>
      </c>
      <c r="B152" s="163"/>
      <c r="C152" s="126">
        <f t="shared" si="23"/>
        <v>285885.83591171418</v>
      </c>
      <c r="G152" s="129">
        <f t="shared" si="24"/>
        <v>310962.36255518085</v>
      </c>
    </row>
    <row r="153" spans="1:9">
      <c r="A153" s="163">
        <v>41426</v>
      </c>
      <c r="B153" s="163"/>
      <c r="C153" s="126">
        <f t="shared" si="23"/>
        <v>287437.84872507589</v>
      </c>
      <c r="G153" s="129">
        <f t="shared" si="24"/>
        <v>312650.5104468725</v>
      </c>
    </row>
    <row r="154" spans="1:9">
      <c r="A154" s="163">
        <v>41456</v>
      </c>
      <c r="B154" s="163"/>
      <c r="C154" s="126">
        <f t="shared" si="23"/>
        <v>288989.8615384376</v>
      </c>
      <c r="G154" s="129">
        <f t="shared" si="24"/>
        <v>314338.65833856416</v>
      </c>
    </row>
    <row r="155" spans="1:9">
      <c r="A155" s="163">
        <v>41487</v>
      </c>
      <c r="B155" s="163"/>
      <c r="C155" s="126">
        <f t="shared" si="23"/>
        <v>290541.87435179931</v>
      </c>
      <c r="G155" s="129">
        <f t="shared" si="24"/>
        <v>316026.80623025587</v>
      </c>
    </row>
    <row r="156" spans="1:9">
      <c r="A156" s="163">
        <v>41518</v>
      </c>
      <c r="B156" s="163"/>
      <c r="C156" s="126">
        <f t="shared" si="23"/>
        <v>292093.88716516102</v>
      </c>
      <c r="G156" s="129">
        <f t="shared" si="24"/>
        <v>317714.95412194752</v>
      </c>
    </row>
    <row r="157" spans="1:9">
      <c r="A157" s="163">
        <v>41548</v>
      </c>
      <c r="B157" s="163"/>
      <c r="C157" s="126">
        <f t="shared" si="23"/>
        <v>293645.89997852274</v>
      </c>
      <c r="G157" s="129">
        <f t="shared" si="24"/>
        <v>319403.10201363917</v>
      </c>
    </row>
    <row r="158" spans="1:9">
      <c r="A158" s="163">
        <v>41579</v>
      </c>
      <c r="B158" s="163"/>
      <c r="C158" s="126">
        <f t="shared" si="23"/>
        <v>295197.91279188445</v>
      </c>
      <c r="G158" s="129">
        <f t="shared" si="24"/>
        <v>321091.24990533083</v>
      </c>
    </row>
    <row r="159" spans="1:9">
      <c r="A159" s="324">
        <v>41609</v>
      </c>
      <c r="B159" s="324"/>
      <c r="C159" s="325">
        <f t="shared" si="23"/>
        <v>296749.92560524616</v>
      </c>
      <c r="D159" s="325">
        <f>SUM(C148:C159)</f>
        <v>3458566.261581081</v>
      </c>
      <c r="E159" s="325">
        <f>C159*12</f>
        <v>3560999.1072629541</v>
      </c>
      <c r="F159" s="328"/>
      <c r="G159" s="326">
        <f t="shared" si="24"/>
        <v>322779.39779702254</v>
      </c>
      <c r="H159" s="325">
        <f>SUM(G148:G159)</f>
        <v>3761935.0127126207</v>
      </c>
      <c r="I159" s="329">
        <f>H159-D159*K71</f>
        <v>0</v>
      </c>
    </row>
    <row r="160" spans="1:9">
      <c r="A160" s="163">
        <v>41640</v>
      </c>
      <c r="C160" s="129">
        <f t="shared" ref="C160:C171" si="25">C159+$G$12</f>
        <v>302829.05437576823</v>
      </c>
      <c r="D160" s="129"/>
      <c r="G160" s="129">
        <f>C160*$K$72</f>
        <v>326346.40562803316</v>
      </c>
    </row>
    <row r="161" spans="1:9">
      <c r="A161" s="163">
        <v>41671</v>
      </c>
      <c r="C161" s="129">
        <f t="shared" si="25"/>
        <v>308908.18314629031</v>
      </c>
      <c r="G161" s="129">
        <f t="shared" ref="G161:G171" si="26">C161*$K$72</f>
        <v>332897.63245037134</v>
      </c>
    </row>
    <row r="162" spans="1:9">
      <c r="A162" s="163">
        <v>41699</v>
      </c>
      <c r="C162" s="129">
        <f t="shared" si="25"/>
        <v>314987.31191681238</v>
      </c>
      <c r="G162" s="129">
        <f t="shared" si="26"/>
        <v>339448.85927270952</v>
      </c>
    </row>
    <row r="163" spans="1:9">
      <c r="A163" s="163">
        <v>41730</v>
      </c>
      <c r="C163" s="129">
        <f t="shared" si="25"/>
        <v>321066.44068733446</v>
      </c>
      <c r="G163" s="129">
        <f t="shared" si="26"/>
        <v>346000.08609504771</v>
      </c>
    </row>
    <row r="164" spans="1:9">
      <c r="A164" s="163">
        <v>41760</v>
      </c>
      <c r="C164" s="129">
        <f t="shared" si="25"/>
        <v>327145.56945785653</v>
      </c>
      <c r="G164" s="129">
        <f t="shared" si="26"/>
        <v>352551.31291738589</v>
      </c>
    </row>
    <row r="165" spans="1:9">
      <c r="A165" s="163">
        <v>41791</v>
      </c>
      <c r="C165" s="129">
        <f t="shared" si="25"/>
        <v>333224.69822837861</v>
      </c>
      <c r="G165" s="129">
        <f t="shared" si="26"/>
        <v>359102.53973972407</v>
      </c>
    </row>
    <row r="166" spans="1:9">
      <c r="A166" s="163">
        <v>41821</v>
      </c>
      <c r="C166" s="129">
        <f t="shared" si="25"/>
        <v>339303.82699890068</v>
      </c>
      <c r="G166" s="129">
        <f t="shared" si="26"/>
        <v>365653.76656206232</v>
      </c>
    </row>
    <row r="167" spans="1:9">
      <c r="A167" s="163">
        <v>41852</v>
      </c>
      <c r="C167" s="129">
        <f t="shared" si="25"/>
        <v>345382.95576942276</v>
      </c>
      <c r="G167" s="129">
        <f t="shared" si="26"/>
        <v>372204.9933844005</v>
      </c>
    </row>
    <row r="168" spans="1:9">
      <c r="A168" s="163">
        <v>41883</v>
      </c>
      <c r="C168" s="129">
        <f t="shared" si="25"/>
        <v>351462.08453994483</v>
      </c>
      <c r="G168" s="129">
        <f t="shared" si="26"/>
        <v>378756.22020673868</v>
      </c>
    </row>
    <row r="169" spans="1:9">
      <c r="A169" s="163">
        <v>41913</v>
      </c>
      <c r="C169" s="129">
        <f t="shared" si="25"/>
        <v>357541.2133104669</v>
      </c>
      <c r="G169" s="129">
        <f t="shared" si="26"/>
        <v>385307.44702907687</v>
      </c>
    </row>
    <row r="170" spans="1:9">
      <c r="A170" s="163">
        <v>41944</v>
      </c>
      <c r="C170" s="129">
        <f t="shared" si="25"/>
        <v>363620.34208098898</v>
      </c>
      <c r="G170" s="129">
        <f t="shared" si="26"/>
        <v>391858.67385141505</v>
      </c>
    </row>
    <row r="171" spans="1:9">
      <c r="A171" s="324">
        <v>41974</v>
      </c>
      <c r="B171" s="328"/>
      <c r="C171" s="326">
        <f t="shared" si="25"/>
        <v>369699.47085151105</v>
      </c>
      <c r="D171" s="325">
        <f>SUM(C160:C171)</f>
        <v>4035171.1513636759</v>
      </c>
      <c r="E171" s="325">
        <f>C171*12</f>
        <v>4436393.6502181329</v>
      </c>
      <c r="F171" s="328"/>
      <c r="G171" s="326">
        <f t="shared" si="26"/>
        <v>398409.90067375323</v>
      </c>
      <c r="H171" s="325">
        <f>SUM(G160:G171)</f>
        <v>4348537.8378107185</v>
      </c>
      <c r="I171" s="329">
        <f>H171-D171*K72</f>
        <v>0</v>
      </c>
    </row>
    <row r="172" spans="1:9">
      <c r="A172" s="163">
        <v>42005</v>
      </c>
      <c r="C172" s="129">
        <f t="shared" ref="C172:C183" si="27">C171+$G$13</f>
        <v>368008.89257173077</v>
      </c>
      <c r="D172" s="129"/>
      <c r="G172" s="129">
        <f>C172*$K$73</f>
        <v>398553.63065518439</v>
      </c>
    </row>
    <row r="173" spans="1:9">
      <c r="A173" s="163">
        <v>42036</v>
      </c>
      <c r="C173" s="129">
        <f t="shared" si="27"/>
        <v>366318.31429195049</v>
      </c>
      <c r="G173" s="129">
        <f t="shared" ref="G173:G183" si="28">C173*$K$73</f>
        <v>396722.73437818239</v>
      </c>
    </row>
    <row r="174" spans="1:9">
      <c r="A174" s="163">
        <v>42064</v>
      </c>
      <c r="C174" s="129">
        <f t="shared" si="27"/>
        <v>364627.73601217021</v>
      </c>
      <c r="G174" s="129">
        <f t="shared" si="28"/>
        <v>394891.83810118033</v>
      </c>
    </row>
    <row r="175" spans="1:9">
      <c r="A175" s="163">
        <v>42095</v>
      </c>
      <c r="C175" s="129">
        <f t="shared" si="27"/>
        <v>362937.15773238993</v>
      </c>
      <c r="G175" s="129">
        <f t="shared" si="28"/>
        <v>393060.94182417827</v>
      </c>
    </row>
    <row r="176" spans="1:9">
      <c r="A176" s="163">
        <v>42125</v>
      </c>
      <c r="C176" s="129">
        <f t="shared" si="27"/>
        <v>361246.57945260964</v>
      </c>
      <c r="G176" s="129">
        <f t="shared" si="28"/>
        <v>391230.04554717621</v>
      </c>
    </row>
    <row r="177" spans="1:9">
      <c r="A177" s="163">
        <v>42156</v>
      </c>
      <c r="C177" s="129">
        <f t="shared" si="27"/>
        <v>359556.00117282936</v>
      </c>
      <c r="G177" s="129">
        <f t="shared" si="28"/>
        <v>389399.14927017421</v>
      </c>
    </row>
    <row r="178" spans="1:9">
      <c r="A178" s="163">
        <v>42186</v>
      </c>
      <c r="C178" s="129">
        <f t="shared" si="27"/>
        <v>357865.42289304908</v>
      </c>
      <c r="G178" s="129">
        <f t="shared" si="28"/>
        <v>387568.25299317215</v>
      </c>
    </row>
    <row r="179" spans="1:9">
      <c r="A179" s="163">
        <v>42217</v>
      </c>
      <c r="C179" s="129">
        <f t="shared" si="27"/>
        <v>356174.8446132688</v>
      </c>
      <c r="G179" s="129">
        <f t="shared" si="28"/>
        <v>385737.35671617009</v>
      </c>
    </row>
    <row r="180" spans="1:9">
      <c r="A180" s="163">
        <v>42248</v>
      </c>
      <c r="C180" s="129">
        <f t="shared" si="27"/>
        <v>354484.26633348851</v>
      </c>
      <c r="G180" s="129">
        <f t="shared" si="28"/>
        <v>383906.46043916803</v>
      </c>
    </row>
    <row r="181" spans="1:9">
      <c r="A181" s="163">
        <v>42278</v>
      </c>
      <c r="C181" s="129">
        <f t="shared" si="27"/>
        <v>352793.68805370823</v>
      </c>
      <c r="G181" s="129">
        <f t="shared" si="28"/>
        <v>382075.56416216597</v>
      </c>
    </row>
    <row r="182" spans="1:9">
      <c r="A182" s="163">
        <v>42309</v>
      </c>
      <c r="C182" s="129">
        <f t="shared" si="27"/>
        <v>351103.10977392795</v>
      </c>
      <c r="G182" s="129">
        <f t="shared" si="28"/>
        <v>380244.66788516397</v>
      </c>
    </row>
    <row r="183" spans="1:9">
      <c r="A183" s="324">
        <v>42339</v>
      </c>
      <c r="B183" s="328"/>
      <c r="C183" s="326">
        <f t="shared" si="27"/>
        <v>349412.53149414767</v>
      </c>
      <c r="D183" s="325">
        <f>SUM(C172:C183)</f>
        <v>4304528.5443952708</v>
      </c>
      <c r="E183" s="325">
        <f>C183*12</f>
        <v>4192950.3779297723</v>
      </c>
      <c r="F183" s="328"/>
      <c r="G183" s="326">
        <f t="shared" si="28"/>
        <v>378413.77160816191</v>
      </c>
      <c r="H183" s="325">
        <f>SUM(G172:G183)</f>
        <v>4661804.4135800768</v>
      </c>
      <c r="I183" s="329">
        <f>H183-D183*K73</f>
        <v>0</v>
      </c>
    </row>
    <row r="184" spans="1:9">
      <c r="A184" s="163">
        <v>42370</v>
      </c>
      <c r="C184" s="129">
        <f t="shared" ref="C184:C195" si="29">C183+$G$14</f>
        <v>347137.21011831553</v>
      </c>
      <c r="D184" s="129"/>
      <c r="G184" s="129">
        <f>C184*$K$74</f>
        <v>375949.59855813568</v>
      </c>
    </row>
    <row r="185" spans="1:9">
      <c r="A185" s="163">
        <v>42401</v>
      </c>
      <c r="C185" s="129">
        <f t="shared" si="29"/>
        <v>344861.8887424834</v>
      </c>
      <c r="G185" s="129">
        <f t="shared" ref="G185:G195" si="30">C185*$K$74</f>
        <v>373485.4255081095</v>
      </c>
    </row>
    <row r="186" spans="1:9">
      <c r="A186" s="163">
        <v>42430</v>
      </c>
      <c r="C186" s="129">
        <f t="shared" si="29"/>
        <v>342586.56736665126</v>
      </c>
      <c r="G186" s="129">
        <f t="shared" si="30"/>
        <v>371021.25245808333</v>
      </c>
    </row>
    <row r="187" spans="1:9">
      <c r="A187" s="163">
        <v>42461</v>
      </c>
      <c r="C187" s="129">
        <f t="shared" si="29"/>
        <v>340311.24599081912</v>
      </c>
      <c r="G187" s="129">
        <f t="shared" si="30"/>
        <v>368557.07940805709</v>
      </c>
    </row>
    <row r="188" spans="1:9">
      <c r="A188" s="163">
        <v>42491</v>
      </c>
      <c r="C188" s="129">
        <f t="shared" si="29"/>
        <v>338035.92461498699</v>
      </c>
      <c r="G188" s="129">
        <f t="shared" si="30"/>
        <v>366092.90635803092</v>
      </c>
    </row>
    <row r="189" spans="1:9">
      <c r="A189" s="163">
        <v>42522</v>
      </c>
      <c r="C189" s="129">
        <f t="shared" si="29"/>
        <v>335760.60323915485</v>
      </c>
      <c r="G189" s="129">
        <f t="shared" si="30"/>
        <v>363628.73330800468</v>
      </c>
    </row>
    <row r="190" spans="1:9">
      <c r="A190" s="163">
        <v>42552</v>
      </c>
      <c r="C190" s="129">
        <f t="shared" si="29"/>
        <v>333485.28186332271</v>
      </c>
      <c r="G190" s="129">
        <f t="shared" si="30"/>
        <v>361164.5602579785</v>
      </c>
    </row>
    <row r="191" spans="1:9">
      <c r="A191" s="163">
        <v>42583</v>
      </c>
      <c r="C191" s="129">
        <f t="shared" si="29"/>
        <v>331209.96048749058</v>
      </c>
      <c r="G191" s="129">
        <f t="shared" si="30"/>
        <v>358700.38720795227</v>
      </c>
    </row>
    <row r="192" spans="1:9">
      <c r="A192" s="163">
        <v>42614</v>
      </c>
      <c r="C192" s="129">
        <f t="shared" si="29"/>
        <v>328934.63911165844</v>
      </c>
      <c r="G192" s="129">
        <f t="shared" si="30"/>
        <v>356236.21415792609</v>
      </c>
    </row>
    <row r="193" spans="1:9">
      <c r="A193" s="163">
        <v>42644</v>
      </c>
      <c r="C193" s="129">
        <f t="shared" si="29"/>
        <v>326659.31773582631</v>
      </c>
      <c r="G193" s="129">
        <f t="shared" si="30"/>
        <v>353772.04110789986</v>
      </c>
    </row>
    <row r="194" spans="1:9">
      <c r="A194" s="163">
        <v>42675</v>
      </c>
      <c r="C194" s="129">
        <f t="shared" si="29"/>
        <v>324383.99635999417</v>
      </c>
      <c r="G194" s="129">
        <f t="shared" si="30"/>
        <v>351307.86805787368</v>
      </c>
    </row>
    <row r="195" spans="1:9">
      <c r="A195" s="324">
        <v>42705</v>
      </c>
      <c r="B195" s="328"/>
      <c r="C195" s="326">
        <f t="shared" si="29"/>
        <v>322108.67498416203</v>
      </c>
      <c r="D195" s="325">
        <f>SUM(C184:C195)</f>
        <v>4015475.3106148657</v>
      </c>
      <c r="E195" s="325">
        <f>C195*12</f>
        <v>3865304.0998099446</v>
      </c>
      <c r="F195" s="328"/>
      <c r="G195" s="326">
        <f t="shared" si="30"/>
        <v>348843.69500784745</v>
      </c>
      <c r="H195" s="325">
        <f>SUM(G184:G195)</f>
        <v>4348759.7613958996</v>
      </c>
      <c r="I195" s="329">
        <f>H195-D195*K74</f>
        <v>0</v>
      </c>
    </row>
    <row r="196" spans="1:9">
      <c r="A196" s="163"/>
      <c r="C196" s="129">
        <f>SUM(C64:C195)</f>
        <v>25989871.013699364</v>
      </c>
      <c r="D196" s="129"/>
    </row>
    <row r="197" spans="1:9">
      <c r="A197" s="163"/>
      <c r="C197" s="129">
        <f>C196-E15</f>
        <v>0</v>
      </c>
    </row>
    <row r="201" spans="1:9">
      <c r="A201" s="163"/>
    </row>
  </sheetData>
  <mergeCells count="2">
    <mergeCell ref="G21:H25"/>
    <mergeCell ref="A32:H3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40"/>
  <sheetViews>
    <sheetView topLeftCell="O2" zoomScale="110" zoomScaleNormal="110" workbookViewId="0">
      <selection activeCell="AA26" sqref="AA26"/>
    </sheetView>
  </sheetViews>
  <sheetFormatPr defaultRowHeight="12.75"/>
  <cols>
    <col min="1" max="1" width="8.85546875" style="27" customWidth="1"/>
    <col min="2" max="2" width="6.85546875" style="27" bestFit="1" customWidth="1"/>
    <col min="3" max="3" width="6.28515625" style="27" bestFit="1" customWidth="1"/>
    <col min="4" max="4" width="6" style="27" bestFit="1" customWidth="1"/>
    <col min="5" max="5" width="6" style="30" bestFit="1" customWidth="1"/>
    <col min="6" max="6" width="6.85546875" style="30" bestFit="1" customWidth="1"/>
    <col min="7" max="7" width="6" style="27" bestFit="1" customWidth="1"/>
    <col min="8" max="10" width="6.85546875" style="27" bestFit="1" customWidth="1"/>
    <col min="11" max="11" width="6.7109375" style="27" customWidth="1"/>
    <col min="12" max="22" width="8.42578125" style="27" bestFit="1" customWidth="1"/>
    <col min="23" max="23" width="10.140625" style="27" bestFit="1" customWidth="1"/>
    <col min="24" max="24" width="11.85546875" style="27" bestFit="1" customWidth="1"/>
    <col min="25" max="25" width="10.140625" style="27" bestFit="1" customWidth="1"/>
    <col min="26" max="261" width="9.140625" style="27"/>
    <col min="262" max="262" width="9.28515625" style="27" customWidth="1"/>
    <col min="263" max="263" width="9.5703125" style="27" customWidth="1"/>
    <col min="264" max="277" width="9.140625" style="27"/>
    <col min="278" max="278" width="9.85546875" style="27" bestFit="1" customWidth="1"/>
    <col min="279" max="279" width="11" style="27" bestFit="1" customWidth="1"/>
    <col min="280" max="517" width="9.140625" style="27"/>
    <col min="518" max="518" width="9.28515625" style="27" customWidth="1"/>
    <col min="519" max="519" width="9.5703125" style="27" customWidth="1"/>
    <col min="520" max="533" width="9.140625" style="27"/>
    <col min="534" max="534" width="9.85546875" style="27" bestFit="1" customWidth="1"/>
    <col min="535" max="535" width="11" style="27" bestFit="1" customWidth="1"/>
    <col min="536" max="773" width="9.140625" style="27"/>
    <col min="774" max="774" width="9.28515625" style="27" customWidth="1"/>
    <col min="775" max="775" width="9.5703125" style="27" customWidth="1"/>
    <col min="776" max="789" width="9.140625" style="27"/>
    <col min="790" max="790" width="9.85546875" style="27" bestFit="1" customWidth="1"/>
    <col min="791" max="791" width="11" style="27" bestFit="1" customWidth="1"/>
    <col min="792" max="1029" width="9.140625" style="27"/>
    <col min="1030" max="1030" width="9.28515625" style="27" customWidth="1"/>
    <col min="1031" max="1031" width="9.5703125" style="27" customWidth="1"/>
    <col min="1032" max="1045" width="9.140625" style="27"/>
    <col min="1046" max="1046" width="9.85546875" style="27" bestFit="1" customWidth="1"/>
    <col min="1047" max="1047" width="11" style="27" bestFit="1" customWidth="1"/>
    <col min="1048" max="1285" width="9.140625" style="27"/>
    <col min="1286" max="1286" width="9.28515625" style="27" customWidth="1"/>
    <col min="1287" max="1287" width="9.5703125" style="27" customWidth="1"/>
    <col min="1288" max="1301" width="9.140625" style="27"/>
    <col min="1302" max="1302" width="9.85546875" style="27" bestFit="1" customWidth="1"/>
    <col min="1303" max="1303" width="11" style="27" bestFit="1" customWidth="1"/>
    <col min="1304" max="1541" width="9.140625" style="27"/>
    <col min="1542" max="1542" width="9.28515625" style="27" customWidth="1"/>
    <col min="1543" max="1543" width="9.5703125" style="27" customWidth="1"/>
    <col min="1544" max="1557" width="9.140625" style="27"/>
    <col min="1558" max="1558" width="9.85546875" style="27" bestFit="1" customWidth="1"/>
    <col min="1559" max="1559" width="11" style="27" bestFit="1" customWidth="1"/>
    <col min="1560" max="1797" width="9.140625" style="27"/>
    <col min="1798" max="1798" width="9.28515625" style="27" customWidth="1"/>
    <col min="1799" max="1799" width="9.5703125" style="27" customWidth="1"/>
    <col min="1800" max="1813" width="9.140625" style="27"/>
    <col min="1814" max="1814" width="9.85546875" style="27" bestFit="1" customWidth="1"/>
    <col min="1815" max="1815" width="11" style="27" bestFit="1" customWidth="1"/>
    <col min="1816" max="2053" width="9.140625" style="27"/>
    <col min="2054" max="2054" width="9.28515625" style="27" customWidth="1"/>
    <col min="2055" max="2055" width="9.5703125" style="27" customWidth="1"/>
    <col min="2056" max="2069" width="9.140625" style="27"/>
    <col min="2070" max="2070" width="9.85546875" style="27" bestFit="1" customWidth="1"/>
    <col min="2071" max="2071" width="11" style="27" bestFit="1" customWidth="1"/>
    <col min="2072" max="2309" width="9.140625" style="27"/>
    <col min="2310" max="2310" width="9.28515625" style="27" customWidth="1"/>
    <col min="2311" max="2311" width="9.5703125" style="27" customWidth="1"/>
    <col min="2312" max="2325" width="9.140625" style="27"/>
    <col min="2326" max="2326" width="9.85546875" style="27" bestFit="1" customWidth="1"/>
    <col min="2327" max="2327" width="11" style="27" bestFit="1" customWidth="1"/>
    <col min="2328" max="2565" width="9.140625" style="27"/>
    <col min="2566" max="2566" width="9.28515625" style="27" customWidth="1"/>
    <col min="2567" max="2567" width="9.5703125" style="27" customWidth="1"/>
    <col min="2568" max="2581" width="9.140625" style="27"/>
    <col min="2582" max="2582" width="9.85546875" style="27" bestFit="1" customWidth="1"/>
    <col min="2583" max="2583" width="11" style="27" bestFit="1" customWidth="1"/>
    <col min="2584" max="2821" width="9.140625" style="27"/>
    <col min="2822" max="2822" width="9.28515625" style="27" customWidth="1"/>
    <col min="2823" max="2823" width="9.5703125" style="27" customWidth="1"/>
    <col min="2824" max="2837" width="9.140625" style="27"/>
    <col min="2838" max="2838" width="9.85546875" style="27" bestFit="1" customWidth="1"/>
    <col min="2839" max="2839" width="11" style="27" bestFit="1" customWidth="1"/>
    <col min="2840" max="3077" width="9.140625" style="27"/>
    <col min="3078" max="3078" width="9.28515625" style="27" customWidth="1"/>
    <col min="3079" max="3079" width="9.5703125" style="27" customWidth="1"/>
    <col min="3080" max="3093" width="9.140625" style="27"/>
    <col min="3094" max="3094" width="9.85546875" style="27" bestFit="1" customWidth="1"/>
    <col min="3095" max="3095" width="11" style="27" bestFit="1" customWidth="1"/>
    <col min="3096" max="3333" width="9.140625" style="27"/>
    <col min="3334" max="3334" width="9.28515625" style="27" customWidth="1"/>
    <col min="3335" max="3335" width="9.5703125" style="27" customWidth="1"/>
    <col min="3336" max="3349" width="9.140625" style="27"/>
    <col min="3350" max="3350" width="9.85546875" style="27" bestFit="1" customWidth="1"/>
    <col min="3351" max="3351" width="11" style="27" bestFit="1" customWidth="1"/>
    <col min="3352" max="3589" width="9.140625" style="27"/>
    <col min="3590" max="3590" width="9.28515625" style="27" customWidth="1"/>
    <col min="3591" max="3591" width="9.5703125" style="27" customWidth="1"/>
    <col min="3592" max="3605" width="9.140625" style="27"/>
    <col min="3606" max="3606" width="9.85546875" style="27" bestFit="1" customWidth="1"/>
    <col min="3607" max="3607" width="11" style="27" bestFit="1" customWidth="1"/>
    <col min="3608" max="3845" width="9.140625" style="27"/>
    <col min="3846" max="3846" width="9.28515625" style="27" customWidth="1"/>
    <col min="3847" max="3847" width="9.5703125" style="27" customWidth="1"/>
    <col min="3848" max="3861" width="9.140625" style="27"/>
    <col min="3862" max="3862" width="9.85546875" style="27" bestFit="1" customWidth="1"/>
    <col min="3863" max="3863" width="11" style="27" bestFit="1" customWidth="1"/>
    <col min="3864" max="4101" width="9.140625" style="27"/>
    <col min="4102" max="4102" width="9.28515625" style="27" customWidth="1"/>
    <col min="4103" max="4103" width="9.5703125" style="27" customWidth="1"/>
    <col min="4104" max="4117" width="9.140625" style="27"/>
    <col min="4118" max="4118" width="9.85546875" style="27" bestFit="1" customWidth="1"/>
    <col min="4119" max="4119" width="11" style="27" bestFit="1" customWidth="1"/>
    <col min="4120" max="4357" width="9.140625" style="27"/>
    <col min="4358" max="4358" width="9.28515625" style="27" customWidth="1"/>
    <col min="4359" max="4359" width="9.5703125" style="27" customWidth="1"/>
    <col min="4360" max="4373" width="9.140625" style="27"/>
    <col min="4374" max="4374" width="9.85546875" style="27" bestFit="1" customWidth="1"/>
    <col min="4375" max="4375" width="11" style="27" bestFit="1" customWidth="1"/>
    <col min="4376" max="4613" width="9.140625" style="27"/>
    <col min="4614" max="4614" width="9.28515625" style="27" customWidth="1"/>
    <col min="4615" max="4615" width="9.5703125" style="27" customWidth="1"/>
    <col min="4616" max="4629" width="9.140625" style="27"/>
    <col min="4630" max="4630" width="9.85546875" style="27" bestFit="1" customWidth="1"/>
    <col min="4631" max="4631" width="11" style="27" bestFit="1" customWidth="1"/>
    <col min="4632" max="4869" width="9.140625" style="27"/>
    <col min="4870" max="4870" width="9.28515625" style="27" customWidth="1"/>
    <col min="4871" max="4871" width="9.5703125" style="27" customWidth="1"/>
    <col min="4872" max="4885" width="9.140625" style="27"/>
    <col min="4886" max="4886" width="9.85546875" style="27" bestFit="1" customWidth="1"/>
    <col min="4887" max="4887" width="11" style="27" bestFit="1" customWidth="1"/>
    <col min="4888" max="5125" width="9.140625" style="27"/>
    <col min="5126" max="5126" width="9.28515625" style="27" customWidth="1"/>
    <col min="5127" max="5127" width="9.5703125" style="27" customWidth="1"/>
    <col min="5128" max="5141" width="9.140625" style="27"/>
    <col min="5142" max="5142" width="9.85546875" style="27" bestFit="1" customWidth="1"/>
    <col min="5143" max="5143" width="11" style="27" bestFit="1" customWidth="1"/>
    <col min="5144" max="5381" width="9.140625" style="27"/>
    <col min="5382" max="5382" width="9.28515625" style="27" customWidth="1"/>
    <col min="5383" max="5383" width="9.5703125" style="27" customWidth="1"/>
    <col min="5384" max="5397" width="9.140625" style="27"/>
    <col min="5398" max="5398" width="9.85546875" style="27" bestFit="1" customWidth="1"/>
    <col min="5399" max="5399" width="11" style="27" bestFit="1" customWidth="1"/>
    <col min="5400" max="5637" width="9.140625" style="27"/>
    <col min="5638" max="5638" width="9.28515625" style="27" customWidth="1"/>
    <col min="5639" max="5639" width="9.5703125" style="27" customWidth="1"/>
    <col min="5640" max="5653" width="9.140625" style="27"/>
    <col min="5654" max="5654" width="9.85546875" style="27" bestFit="1" customWidth="1"/>
    <col min="5655" max="5655" width="11" style="27" bestFit="1" customWidth="1"/>
    <col min="5656" max="5893" width="9.140625" style="27"/>
    <col min="5894" max="5894" width="9.28515625" style="27" customWidth="1"/>
    <col min="5895" max="5895" width="9.5703125" style="27" customWidth="1"/>
    <col min="5896" max="5909" width="9.140625" style="27"/>
    <col min="5910" max="5910" width="9.85546875" style="27" bestFit="1" customWidth="1"/>
    <col min="5911" max="5911" width="11" style="27" bestFit="1" customWidth="1"/>
    <col min="5912" max="6149" width="9.140625" style="27"/>
    <col min="6150" max="6150" width="9.28515625" style="27" customWidth="1"/>
    <col min="6151" max="6151" width="9.5703125" style="27" customWidth="1"/>
    <col min="6152" max="6165" width="9.140625" style="27"/>
    <col min="6166" max="6166" width="9.85546875" style="27" bestFit="1" customWidth="1"/>
    <col min="6167" max="6167" width="11" style="27" bestFit="1" customWidth="1"/>
    <col min="6168" max="6405" width="9.140625" style="27"/>
    <col min="6406" max="6406" width="9.28515625" style="27" customWidth="1"/>
    <col min="6407" max="6407" width="9.5703125" style="27" customWidth="1"/>
    <col min="6408" max="6421" width="9.140625" style="27"/>
    <col min="6422" max="6422" width="9.85546875" style="27" bestFit="1" customWidth="1"/>
    <col min="6423" max="6423" width="11" style="27" bestFit="1" customWidth="1"/>
    <col min="6424" max="6661" width="9.140625" style="27"/>
    <col min="6662" max="6662" width="9.28515625" style="27" customWidth="1"/>
    <col min="6663" max="6663" width="9.5703125" style="27" customWidth="1"/>
    <col min="6664" max="6677" width="9.140625" style="27"/>
    <col min="6678" max="6678" width="9.85546875" style="27" bestFit="1" customWidth="1"/>
    <col min="6679" max="6679" width="11" style="27" bestFit="1" customWidth="1"/>
    <col min="6680" max="6917" width="9.140625" style="27"/>
    <col min="6918" max="6918" width="9.28515625" style="27" customWidth="1"/>
    <col min="6919" max="6919" width="9.5703125" style="27" customWidth="1"/>
    <col min="6920" max="6933" width="9.140625" style="27"/>
    <col min="6934" max="6934" width="9.85546875" style="27" bestFit="1" customWidth="1"/>
    <col min="6935" max="6935" width="11" style="27" bestFit="1" customWidth="1"/>
    <col min="6936" max="7173" width="9.140625" style="27"/>
    <col min="7174" max="7174" width="9.28515625" style="27" customWidth="1"/>
    <col min="7175" max="7175" width="9.5703125" style="27" customWidth="1"/>
    <col min="7176" max="7189" width="9.140625" style="27"/>
    <col min="7190" max="7190" width="9.85546875" style="27" bestFit="1" customWidth="1"/>
    <col min="7191" max="7191" width="11" style="27" bestFit="1" customWidth="1"/>
    <col min="7192" max="7429" width="9.140625" style="27"/>
    <col min="7430" max="7430" width="9.28515625" style="27" customWidth="1"/>
    <col min="7431" max="7431" width="9.5703125" style="27" customWidth="1"/>
    <col min="7432" max="7445" width="9.140625" style="27"/>
    <col min="7446" max="7446" width="9.85546875" style="27" bestFit="1" customWidth="1"/>
    <col min="7447" max="7447" width="11" style="27" bestFit="1" customWidth="1"/>
    <col min="7448" max="7685" width="9.140625" style="27"/>
    <col min="7686" max="7686" width="9.28515625" style="27" customWidth="1"/>
    <col min="7687" max="7687" width="9.5703125" style="27" customWidth="1"/>
    <col min="7688" max="7701" width="9.140625" style="27"/>
    <col min="7702" max="7702" width="9.85546875" style="27" bestFit="1" customWidth="1"/>
    <col min="7703" max="7703" width="11" style="27" bestFit="1" customWidth="1"/>
    <col min="7704" max="7941" width="9.140625" style="27"/>
    <col min="7942" max="7942" width="9.28515625" style="27" customWidth="1"/>
    <col min="7943" max="7943" width="9.5703125" style="27" customWidth="1"/>
    <col min="7944" max="7957" width="9.140625" style="27"/>
    <col min="7958" max="7958" width="9.85546875" style="27" bestFit="1" customWidth="1"/>
    <col min="7959" max="7959" width="11" style="27" bestFit="1" customWidth="1"/>
    <col min="7960" max="8197" width="9.140625" style="27"/>
    <col min="8198" max="8198" width="9.28515625" style="27" customWidth="1"/>
    <col min="8199" max="8199" width="9.5703125" style="27" customWidth="1"/>
    <col min="8200" max="8213" width="9.140625" style="27"/>
    <col min="8214" max="8214" width="9.85546875" style="27" bestFit="1" customWidth="1"/>
    <col min="8215" max="8215" width="11" style="27" bestFit="1" customWidth="1"/>
    <col min="8216" max="8453" width="9.140625" style="27"/>
    <col min="8454" max="8454" width="9.28515625" style="27" customWidth="1"/>
    <col min="8455" max="8455" width="9.5703125" style="27" customWidth="1"/>
    <col min="8456" max="8469" width="9.140625" style="27"/>
    <col min="8470" max="8470" width="9.85546875" style="27" bestFit="1" customWidth="1"/>
    <col min="8471" max="8471" width="11" style="27" bestFit="1" customWidth="1"/>
    <col min="8472" max="8709" width="9.140625" style="27"/>
    <col min="8710" max="8710" width="9.28515625" style="27" customWidth="1"/>
    <col min="8711" max="8711" width="9.5703125" style="27" customWidth="1"/>
    <col min="8712" max="8725" width="9.140625" style="27"/>
    <col min="8726" max="8726" width="9.85546875" style="27" bestFit="1" customWidth="1"/>
    <col min="8727" max="8727" width="11" style="27" bestFit="1" customWidth="1"/>
    <col min="8728" max="8965" width="9.140625" style="27"/>
    <col min="8966" max="8966" width="9.28515625" style="27" customWidth="1"/>
    <col min="8967" max="8967" width="9.5703125" style="27" customWidth="1"/>
    <col min="8968" max="8981" width="9.140625" style="27"/>
    <col min="8982" max="8982" width="9.85546875" style="27" bestFit="1" customWidth="1"/>
    <col min="8983" max="8983" width="11" style="27" bestFit="1" customWidth="1"/>
    <col min="8984" max="9221" width="9.140625" style="27"/>
    <col min="9222" max="9222" width="9.28515625" style="27" customWidth="1"/>
    <col min="9223" max="9223" width="9.5703125" style="27" customWidth="1"/>
    <col min="9224" max="9237" width="9.140625" style="27"/>
    <col min="9238" max="9238" width="9.85546875" style="27" bestFit="1" customWidth="1"/>
    <col min="9239" max="9239" width="11" style="27" bestFit="1" customWidth="1"/>
    <col min="9240" max="9477" width="9.140625" style="27"/>
    <col min="9478" max="9478" width="9.28515625" style="27" customWidth="1"/>
    <col min="9479" max="9479" width="9.5703125" style="27" customWidth="1"/>
    <col min="9480" max="9493" width="9.140625" style="27"/>
    <col min="9494" max="9494" width="9.85546875" style="27" bestFit="1" customWidth="1"/>
    <col min="9495" max="9495" width="11" style="27" bestFit="1" customWidth="1"/>
    <col min="9496" max="9733" width="9.140625" style="27"/>
    <col min="9734" max="9734" width="9.28515625" style="27" customWidth="1"/>
    <col min="9735" max="9735" width="9.5703125" style="27" customWidth="1"/>
    <col min="9736" max="9749" width="9.140625" style="27"/>
    <col min="9750" max="9750" width="9.85546875" style="27" bestFit="1" customWidth="1"/>
    <col min="9751" max="9751" width="11" style="27" bestFit="1" customWidth="1"/>
    <col min="9752" max="9989" width="9.140625" style="27"/>
    <col min="9990" max="9990" width="9.28515625" style="27" customWidth="1"/>
    <col min="9991" max="9991" width="9.5703125" style="27" customWidth="1"/>
    <col min="9992" max="10005" width="9.140625" style="27"/>
    <col min="10006" max="10006" width="9.85546875" style="27" bestFit="1" customWidth="1"/>
    <col min="10007" max="10007" width="11" style="27" bestFit="1" customWidth="1"/>
    <col min="10008" max="10245" width="9.140625" style="27"/>
    <col min="10246" max="10246" width="9.28515625" style="27" customWidth="1"/>
    <col min="10247" max="10247" width="9.5703125" style="27" customWidth="1"/>
    <col min="10248" max="10261" width="9.140625" style="27"/>
    <col min="10262" max="10262" width="9.85546875" style="27" bestFit="1" customWidth="1"/>
    <col min="10263" max="10263" width="11" style="27" bestFit="1" customWidth="1"/>
    <col min="10264" max="10501" width="9.140625" style="27"/>
    <col min="10502" max="10502" width="9.28515625" style="27" customWidth="1"/>
    <col min="10503" max="10503" width="9.5703125" style="27" customWidth="1"/>
    <col min="10504" max="10517" width="9.140625" style="27"/>
    <col min="10518" max="10518" width="9.85546875" style="27" bestFit="1" customWidth="1"/>
    <col min="10519" max="10519" width="11" style="27" bestFit="1" customWidth="1"/>
    <col min="10520" max="10757" width="9.140625" style="27"/>
    <col min="10758" max="10758" width="9.28515625" style="27" customWidth="1"/>
    <col min="10759" max="10759" width="9.5703125" style="27" customWidth="1"/>
    <col min="10760" max="10773" width="9.140625" style="27"/>
    <col min="10774" max="10774" width="9.85546875" style="27" bestFit="1" customWidth="1"/>
    <col min="10775" max="10775" width="11" style="27" bestFit="1" customWidth="1"/>
    <col min="10776" max="11013" width="9.140625" style="27"/>
    <col min="11014" max="11014" width="9.28515625" style="27" customWidth="1"/>
    <col min="11015" max="11015" width="9.5703125" style="27" customWidth="1"/>
    <col min="11016" max="11029" width="9.140625" style="27"/>
    <col min="11030" max="11030" width="9.85546875" style="27" bestFit="1" customWidth="1"/>
    <col min="11031" max="11031" width="11" style="27" bestFit="1" customWidth="1"/>
    <col min="11032" max="11269" width="9.140625" style="27"/>
    <col min="11270" max="11270" width="9.28515625" style="27" customWidth="1"/>
    <col min="11271" max="11271" width="9.5703125" style="27" customWidth="1"/>
    <col min="11272" max="11285" width="9.140625" style="27"/>
    <col min="11286" max="11286" width="9.85546875" style="27" bestFit="1" customWidth="1"/>
    <col min="11287" max="11287" width="11" style="27" bestFit="1" customWidth="1"/>
    <col min="11288" max="11525" width="9.140625" style="27"/>
    <col min="11526" max="11526" width="9.28515625" style="27" customWidth="1"/>
    <col min="11527" max="11527" width="9.5703125" style="27" customWidth="1"/>
    <col min="11528" max="11541" width="9.140625" style="27"/>
    <col min="11542" max="11542" width="9.85546875" style="27" bestFit="1" customWidth="1"/>
    <col min="11543" max="11543" width="11" style="27" bestFit="1" customWidth="1"/>
    <col min="11544" max="11781" width="9.140625" style="27"/>
    <col min="11782" max="11782" width="9.28515625" style="27" customWidth="1"/>
    <col min="11783" max="11783" width="9.5703125" style="27" customWidth="1"/>
    <col min="11784" max="11797" width="9.140625" style="27"/>
    <col min="11798" max="11798" width="9.85546875" style="27" bestFit="1" customWidth="1"/>
    <col min="11799" max="11799" width="11" style="27" bestFit="1" customWidth="1"/>
    <col min="11800" max="12037" width="9.140625" style="27"/>
    <col min="12038" max="12038" width="9.28515625" style="27" customWidth="1"/>
    <col min="12039" max="12039" width="9.5703125" style="27" customWidth="1"/>
    <col min="12040" max="12053" width="9.140625" style="27"/>
    <col min="12054" max="12054" width="9.85546875" style="27" bestFit="1" customWidth="1"/>
    <col min="12055" max="12055" width="11" style="27" bestFit="1" customWidth="1"/>
    <col min="12056" max="12293" width="9.140625" style="27"/>
    <col min="12294" max="12294" width="9.28515625" style="27" customWidth="1"/>
    <col min="12295" max="12295" width="9.5703125" style="27" customWidth="1"/>
    <col min="12296" max="12309" width="9.140625" style="27"/>
    <col min="12310" max="12310" width="9.85546875" style="27" bestFit="1" customWidth="1"/>
    <col min="12311" max="12311" width="11" style="27" bestFit="1" customWidth="1"/>
    <col min="12312" max="12549" width="9.140625" style="27"/>
    <col min="12550" max="12550" width="9.28515625" style="27" customWidth="1"/>
    <col min="12551" max="12551" width="9.5703125" style="27" customWidth="1"/>
    <col min="12552" max="12565" width="9.140625" style="27"/>
    <col min="12566" max="12566" width="9.85546875" style="27" bestFit="1" customWidth="1"/>
    <col min="12567" max="12567" width="11" style="27" bestFit="1" customWidth="1"/>
    <col min="12568" max="12805" width="9.140625" style="27"/>
    <col min="12806" max="12806" width="9.28515625" style="27" customWidth="1"/>
    <col min="12807" max="12807" width="9.5703125" style="27" customWidth="1"/>
    <col min="12808" max="12821" width="9.140625" style="27"/>
    <col min="12822" max="12822" width="9.85546875" style="27" bestFit="1" customWidth="1"/>
    <col min="12823" max="12823" width="11" style="27" bestFit="1" customWidth="1"/>
    <col min="12824" max="13061" width="9.140625" style="27"/>
    <col min="13062" max="13062" width="9.28515625" style="27" customWidth="1"/>
    <col min="13063" max="13063" width="9.5703125" style="27" customWidth="1"/>
    <col min="13064" max="13077" width="9.140625" style="27"/>
    <col min="13078" max="13078" width="9.85546875" style="27" bestFit="1" customWidth="1"/>
    <col min="13079" max="13079" width="11" style="27" bestFit="1" customWidth="1"/>
    <col min="13080" max="13317" width="9.140625" style="27"/>
    <col min="13318" max="13318" width="9.28515625" style="27" customWidth="1"/>
    <col min="13319" max="13319" width="9.5703125" style="27" customWidth="1"/>
    <col min="13320" max="13333" width="9.140625" style="27"/>
    <col min="13334" max="13334" width="9.85546875" style="27" bestFit="1" customWidth="1"/>
    <col min="13335" max="13335" width="11" style="27" bestFit="1" customWidth="1"/>
    <col min="13336" max="13573" width="9.140625" style="27"/>
    <col min="13574" max="13574" width="9.28515625" style="27" customWidth="1"/>
    <col min="13575" max="13575" width="9.5703125" style="27" customWidth="1"/>
    <col min="13576" max="13589" width="9.140625" style="27"/>
    <col min="13590" max="13590" width="9.85546875" style="27" bestFit="1" customWidth="1"/>
    <col min="13591" max="13591" width="11" style="27" bestFit="1" customWidth="1"/>
    <col min="13592" max="13829" width="9.140625" style="27"/>
    <col min="13830" max="13830" width="9.28515625" style="27" customWidth="1"/>
    <col min="13831" max="13831" width="9.5703125" style="27" customWidth="1"/>
    <col min="13832" max="13845" width="9.140625" style="27"/>
    <col min="13846" max="13846" width="9.85546875" style="27" bestFit="1" customWidth="1"/>
    <col min="13847" max="13847" width="11" style="27" bestFit="1" customWidth="1"/>
    <col min="13848" max="14085" width="9.140625" style="27"/>
    <col min="14086" max="14086" width="9.28515625" style="27" customWidth="1"/>
    <col min="14087" max="14087" width="9.5703125" style="27" customWidth="1"/>
    <col min="14088" max="14101" width="9.140625" style="27"/>
    <col min="14102" max="14102" width="9.85546875" style="27" bestFit="1" customWidth="1"/>
    <col min="14103" max="14103" width="11" style="27" bestFit="1" customWidth="1"/>
    <col min="14104" max="14341" width="9.140625" style="27"/>
    <col min="14342" max="14342" width="9.28515625" style="27" customWidth="1"/>
    <col min="14343" max="14343" width="9.5703125" style="27" customWidth="1"/>
    <col min="14344" max="14357" width="9.140625" style="27"/>
    <col min="14358" max="14358" width="9.85546875" style="27" bestFit="1" customWidth="1"/>
    <col min="14359" max="14359" width="11" style="27" bestFit="1" customWidth="1"/>
    <col min="14360" max="14597" width="9.140625" style="27"/>
    <col min="14598" max="14598" width="9.28515625" style="27" customWidth="1"/>
    <col min="14599" max="14599" width="9.5703125" style="27" customWidth="1"/>
    <col min="14600" max="14613" width="9.140625" style="27"/>
    <col min="14614" max="14614" width="9.85546875" style="27" bestFit="1" customWidth="1"/>
    <col min="14615" max="14615" width="11" style="27" bestFit="1" customWidth="1"/>
    <col min="14616" max="14853" width="9.140625" style="27"/>
    <col min="14854" max="14854" width="9.28515625" style="27" customWidth="1"/>
    <col min="14855" max="14855" width="9.5703125" style="27" customWidth="1"/>
    <col min="14856" max="14869" width="9.140625" style="27"/>
    <col min="14870" max="14870" width="9.85546875" style="27" bestFit="1" customWidth="1"/>
    <col min="14871" max="14871" width="11" style="27" bestFit="1" customWidth="1"/>
    <col min="14872" max="15109" width="9.140625" style="27"/>
    <col min="15110" max="15110" width="9.28515625" style="27" customWidth="1"/>
    <col min="15111" max="15111" width="9.5703125" style="27" customWidth="1"/>
    <col min="15112" max="15125" width="9.140625" style="27"/>
    <col min="15126" max="15126" width="9.85546875" style="27" bestFit="1" customWidth="1"/>
    <col min="15127" max="15127" width="11" style="27" bestFit="1" customWidth="1"/>
    <col min="15128" max="15365" width="9.140625" style="27"/>
    <col min="15366" max="15366" width="9.28515625" style="27" customWidth="1"/>
    <col min="15367" max="15367" width="9.5703125" style="27" customWidth="1"/>
    <col min="15368" max="15381" width="9.140625" style="27"/>
    <col min="15382" max="15382" width="9.85546875" style="27" bestFit="1" customWidth="1"/>
    <col min="15383" max="15383" width="11" style="27" bestFit="1" customWidth="1"/>
    <col min="15384" max="15621" width="9.140625" style="27"/>
    <col min="15622" max="15622" width="9.28515625" style="27" customWidth="1"/>
    <col min="15623" max="15623" width="9.5703125" style="27" customWidth="1"/>
    <col min="15624" max="15637" width="9.140625" style="27"/>
    <col min="15638" max="15638" width="9.85546875" style="27" bestFit="1" customWidth="1"/>
    <col min="15639" max="15639" width="11" style="27" bestFit="1" customWidth="1"/>
    <col min="15640" max="15877" width="9.140625" style="27"/>
    <col min="15878" max="15878" width="9.28515625" style="27" customWidth="1"/>
    <col min="15879" max="15879" width="9.5703125" style="27" customWidth="1"/>
    <col min="15880" max="15893" width="9.140625" style="27"/>
    <col min="15894" max="15894" width="9.85546875" style="27" bestFit="1" customWidth="1"/>
    <col min="15895" max="15895" width="11" style="27" bestFit="1" customWidth="1"/>
    <col min="15896" max="16133" width="9.140625" style="27"/>
    <col min="16134" max="16134" width="9.28515625" style="27" customWidth="1"/>
    <col min="16135" max="16135" width="9.5703125" style="27" customWidth="1"/>
    <col min="16136" max="16149" width="9.140625" style="27"/>
    <col min="16150" max="16150" width="9.85546875" style="27" bestFit="1" customWidth="1"/>
    <col min="16151" max="16151" width="11" style="27" bestFit="1" customWidth="1"/>
    <col min="16152" max="16384" width="9.140625" style="27"/>
  </cols>
  <sheetData>
    <row r="1" spans="1:29">
      <c r="A1" s="108" t="s">
        <v>79</v>
      </c>
      <c r="D1" s="416"/>
      <c r="E1" s="416"/>
      <c r="F1" s="28"/>
      <c r="G1" s="28"/>
      <c r="H1" s="28"/>
      <c r="I1" s="28"/>
    </row>
    <row r="2" spans="1:29">
      <c r="A2" s="29"/>
    </row>
    <row r="3" spans="1:29" ht="15">
      <c r="B3" s="31"/>
      <c r="C3" s="31"/>
      <c r="D3" s="31"/>
      <c r="E3" s="32"/>
      <c r="F3" s="32"/>
      <c r="K3" s="533" t="s">
        <v>115</v>
      </c>
    </row>
    <row r="4" spans="1:29" ht="11.25" customHeight="1" thickBot="1">
      <c r="A4" s="33"/>
      <c r="B4" s="33" t="s">
        <v>117</v>
      </c>
      <c r="C4" s="33" t="s">
        <v>117</v>
      </c>
      <c r="D4" s="33"/>
      <c r="E4" s="34"/>
      <c r="F4" s="34"/>
      <c r="W4" s="617" t="s">
        <v>116</v>
      </c>
    </row>
    <row r="5" spans="1:29" ht="13.5" thickTop="1">
      <c r="A5" s="551" t="s">
        <v>80</v>
      </c>
      <c r="B5" s="552">
        <v>1995</v>
      </c>
      <c r="C5" s="552">
        <v>1996</v>
      </c>
      <c r="D5" s="552">
        <v>1997</v>
      </c>
      <c r="E5" s="552">
        <v>1998</v>
      </c>
      <c r="F5" s="552">
        <v>1999</v>
      </c>
      <c r="G5" s="552">
        <v>2000</v>
      </c>
      <c r="H5" s="552">
        <v>2001</v>
      </c>
      <c r="I5" s="552">
        <v>2002</v>
      </c>
      <c r="J5" s="552">
        <v>2003</v>
      </c>
      <c r="K5" s="552">
        <v>2004</v>
      </c>
      <c r="L5" s="553">
        <v>2005</v>
      </c>
      <c r="M5" s="552">
        <v>2006</v>
      </c>
      <c r="N5" s="552">
        <v>2007</v>
      </c>
      <c r="O5" s="552">
        <v>2008</v>
      </c>
      <c r="P5" s="552">
        <v>2009</v>
      </c>
      <c r="Q5" s="552">
        <v>2010</v>
      </c>
      <c r="R5" s="552">
        <v>2011</v>
      </c>
      <c r="S5" s="552">
        <v>2012</v>
      </c>
      <c r="T5" s="552">
        <v>2013</v>
      </c>
      <c r="U5" s="552">
        <v>2014</v>
      </c>
      <c r="V5" s="552">
        <v>2015</v>
      </c>
      <c r="W5" s="554" t="s">
        <v>81</v>
      </c>
      <c r="X5" s="554" t="s">
        <v>82</v>
      </c>
      <c r="Y5" s="565" t="s">
        <v>94</v>
      </c>
    </row>
    <row r="6" spans="1:29">
      <c r="A6" s="555" t="s">
        <v>83</v>
      </c>
      <c r="B6" s="112">
        <v>773.9</v>
      </c>
      <c r="C6" s="112">
        <v>920.10000000000014</v>
      </c>
      <c r="D6" s="112">
        <v>923</v>
      </c>
      <c r="E6" s="112">
        <v>801.59999999999991</v>
      </c>
      <c r="F6" s="112">
        <v>875.4</v>
      </c>
      <c r="G6" s="112">
        <v>875.3</v>
      </c>
      <c r="H6" s="112">
        <v>848.19999999999993</v>
      </c>
      <c r="I6" s="112">
        <v>709.39999999999986</v>
      </c>
      <c r="J6" s="112">
        <v>977.30000000000018</v>
      </c>
      <c r="K6" s="112">
        <v>1045.3</v>
      </c>
      <c r="L6" s="114">
        <v>920.6999999999997</v>
      </c>
      <c r="M6" s="112">
        <v>733.50000000000023</v>
      </c>
      <c r="N6" s="112">
        <v>797.09999999999991</v>
      </c>
      <c r="O6" s="112">
        <v>754.20000000000016</v>
      </c>
      <c r="P6" s="112">
        <v>979.5</v>
      </c>
      <c r="Q6" s="112">
        <v>789.2</v>
      </c>
      <c r="R6" s="112">
        <v>888.7</v>
      </c>
      <c r="S6" s="112">
        <v>831.00000000000023</v>
      </c>
      <c r="T6" s="112">
        <v>839.90000000000009</v>
      </c>
      <c r="U6" s="112">
        <v>918.30000000000007</v>
      </c>
      <c r="V6" s="112">
        <v>968.19999999999982</v>
      </c>
      <c r="W6" s="456">
        <f>AVERAGE(M6:V6)</f>
        <v>849.96</v>
      </c>
      <c r="X6" s="457">
        <f>TREND(C6:V6,$C$23:$V$23,2016)</f>
        <v>872.09315789473703</v>
      </c>
      <c r="Y6" s="539">
        <f>AVERAGE(C6:V6)</f>
        <v>869.79500000000007</v>
      </c>
      <c r="AA6" s="110"/>
      <c r="AC6" s="111"/>
    </row>
    <row r="7" spans="1:29">
      <c r="A7" s="555" t="s">
        <v>84</v>
      </c>
      <c r="B7" s="112">
        <v>796.2</v>
      </c>
      <c r="C7" s="112">
        <v>783.29999999999984</v>
      </c>
      <c r="D7" s="112">
        <v>736.40000000000009</v>
      </c>
      <c r="E7" s="112">
        <v>609.79999999999995</v>
      </c>
      <c r="F7" s="112">
        <v>670.89999999999986</v>
      </c>
      <c r="G7" s="112">
        <v>728.2</v>
      </c>
      <c r="H7" s="112">
        <v>746.80000000000007</v>
      </c>
      <c r="I7" s="112">
        <v>668.8</v>
      </c>
      <c r="J7" s="112">
        <v>841.5</v>
      </c>
      <c r="K7" s="112">
        <v>750</v>
      </c>
      <c r="L7" s="114">
        <v>700.60000000000014</v>
      </c>
      <c r="M7" s="112">
        <v>720.9</v>
      </c>
      <c r="N7" s="112">
        <v>820</v>
      </c>
      <c r="O7" s="112">
        <v>774.30000000000007</v>
      </c>
      <c r="P7" s="112">
        <v>711.5</v>
      </c>
      <c r="Q7" s="112">
        <v>655.8</v>
      </c>
      <c r="R7" s="112">
        <v>731.6</v>
      </c>
      <c r="S7" s="112">
        <v>671.39999999999986</v>
      </c>
      <c r="T7" s="112">
        <v>728.5</v>
      </c>
      <c r="U7" s="112">
        <v>793.2</v>
      </c>
      <c r="V7" s="112">
        <v>957.8000000000003</v>
      </c>
      <c r="W7" s="456">
        <f t="shared" ref="W7:W17" si="0">AVERAGE(M7:V7)</f>
        <v>756.5</v>
      </c>
      <c r="X7" s="457">
        <f t="shared" ref="X7:X17" si="1">TREND(C7:V7,$C$23:$V$23,2016)</f>
        <v>783.32578947368529</v>
      </c>
      <c r="Y7" s="539">
        <f t="shared" ref="Y7:Y17" si="2">AVERAGE(C7:V7)</f>
        <v>740.06500000000005</v>
      </c>
      <c r="AA7" s="110"/>
      <c r="AC7" s="111"/>
    </row>
    <row r="8" spans="1:29">
      <c r="A8" s="555" t="s">
        <v>85</v>
      </c>
      <c r="B8" s="112">
        <v>537.00000000000011</v>
      </c>
      <c r="C8" s="112">
        <v>656.2</v>
      </c>
      <c r="D8" s="112">
        <v>703.9</v>
      </c>
      <c r="E8" s="112">
        <v>575.79999999999995</v>
      </c>
      <c r="F8" s="112">
        <v>645.69999999999993</v>
      </c>
      <c r="G8" s="112">
        <v>502.29999999999984</v>
      </c>
      <c r="H8" s="112">
        <v>652.29999999999995</v>
      </c>
      <c r="I8" s="112">
        <v>651.69999999999993</v>
      </c>
      <c r="J8" s="112">
        <v>675.00000000000011</v>
      </c>
      <c r="K8" s="112">
        <v>559.19999999999993</v>
      </c>
      <c r="L8" s="114">
        <v>668.8</v>
      </c>
      <c r="M8" s="112">
        <v>600.4</v>
      </c>
      <c r="N8" s="112">
        <v>643.00000000000023</v>
      </c>
      <c r="O8" s="112">
        <v>721.1</v>
      </c>
      <c r="P8" s="112">
        <v>598.30000000000007</v>
      </c>
      <c r="Q8" s="112">
        <v>460.7000000000001</v>
      </c>
      <c r="R8" s="112">
        <v>634.59999999999991</v>
      </c>
      <c r="S8" s="112">
        <v>460.29999999999984</v>
      </c>
      <c r="T8" s="112">
        <v>612.9</v>
      </c>
      <c r="U8" s="112">
        <v>783.6</v>
      </c>
      <c r="V8" s="112">
        <v>718.59999999999991</v>
      </c>
      <c r="W8" s="456">
        <f t="shared" si="0"/>
        <v>623.35</v>
      </c>
      <c r="X8" s="457">
        <f t="shared" si="1"/>
        <v>629.83105263157893</v>
      </c>
      <c r="Y8" s="539">
        <f t="shared" si="2"/>
        <v>626.22</v>
      </c>
      <c r="AA8" s="110"/>
      <c r="AC8" s="111"/>
    </row>
    <row r="9" spans="1:29">
      <c r="A9" s="555" t="s">
        <v>86</v>
      </c>
      <c r="B9" s="112">
        <v>434.90000000000003</v>
      </c>
      <c r="C9" s="112">
        <v>418.40000000000015</v>
      </c>
      <c r="D9" s="112">
        <v>378.59999999999991</v>
      </c>
      <c r="E9" s="112">
        <v>285.89999999999992</v>
      </c>
      <c r="F9" s="112">
        <v>336.79999999999995</v>
      </c>
      <c r="G9" s="112">
        <v>390.99999999999994</v>
      </c>
      <c r="H9" s="112">
        <v>338.1</v>
      </c>
      <c r="I9" s="112">
        <v>358.79999999999995</v>
      </c>
      <c r="J9" s="112">
        <v>424.6</v>
      </c>
      <c r="K9" s="112">
        <v>377.79999999999995</v>
      </c>
      <c r="L9" s="114">
        <v>324.8</v>
      </c>
      <c r="M9" s="112">
        <v>321.59999999999991</v>
      </c>
      <c r="N9" s="112">
        <v>361.1</v>
      </c>
      <c r="O9" s="112">
        <v>299.60000000000008</v>
      </c>
      <c r="P9" s="112">
        <v>334.2999999999999</v>
      </c>
      <c r="Q9" s="112">
        <v>258.09999999999997</v>
      </c>
      <c r="R9" s="112">
        <v>347.40000000000009</v>
      </c>
      <c r="S9" s="112">
        <v>363.30000000000007</v>
      </c>
      <c r="T9" s="112">
        <v>381.1</v>
      </c>
      <c r="U9" s="112">
        <v>384.20000000000005</v>
      </c>
      <c r="V9" s="112">
        <v>352.59999999999991</v>
      </c>
      <c r="W9" s="456">
        <f t="shared" si="0"/>
        <v>340.33</v>
      </c>
      <c r="X9" s="457">
        <f t="shared" si="1"/>
        <v>340.60052631578992</v>
      </c>
      <c r="Y9" s="539">
        <f t="shared" si="2"/>
        <v>351.90500000000003</v>
      </c>
      <c r="AA9" s="110"/>
      <c r="AC9" s="111"/>
    </row>
    <row r="10" spans="1:29">
      <c r="A10" s="555" t="s">
        <v>55</v>
      </c>
      <c r="B10" s="112">
        <v>148.00000000000006</v>
      </c>
      <c r="C10" s="112">
        <v>187.9</v>
      </c>
      <c r="D10" s="112">
        <v>240.5</v>
      </c>
      <c r="E10" s="112">
        <v>43.6</v>
      </c>
      <c r="F10" s="112">
        <v>83.3</v>
      </c>
      <c r="G10" s="112">
        <v>152</v>
      </c>
      <c r="H10" s="112">
        <v>109.6</v>
      </c>
      <c r="I10" s="112">
        <v>227.6</v>
      </c>
      <c r="J10" s="112">
        <v>154.10000000000002</v>
      </c>
      <c r="K10" s="112">
        <v>166.20000000000002</v>
      </c>
      <c r="L10" s="114">
        <v>205</v>
      </c>
      <c r="M10" s="112">
        <v>128.19999999999999</v>
      </c>
      <c r="N10" s="112">
        <v>157.30000000000001</v>
      </c>
      <c r="O10" s="112">
        <v>185.40000000000003</v>
      </c>
      <c r="P10" s="112">
        <v>181.6</v>
      </c>
      <c r="Q10" s="112">
        <v>112.30000000000001</v>
      </c>
      <c r="R10" s="112">
        <v>142.79999999999998</v>
      </c>
      <c r="S10" s="112">
        <v>102.4</v>
      </c>
      <c r="T10" s="112">
        <v>121.2</v>
      </c>
      <c r="U10" s="112">
        <v>127.3</v>
      </c>
      <c r="V10" s="112">
        <v>94.200000000000031</v>
      </c>
      <c r="W10" s="456">
        <f t="shared" si="0"/>
        <v>135.26999999999998</v>
      </c>
      <c r="X10" s="457">
        <f t="shared" si="1"/>
        <v>125.29631578947419</v>
      </c>
      <c r="Y10" s="539">
        <f t="shared" si="2"/>
        <v>146.12500000000003</v>
      </c>
      <c r="AA10" s="110"/>
      <c r="AC10" s="111"/>
    </row>
    <row r="11" spans="1:29">
      <c r="A11" s="555" t="s">
        <v>87</v>
      </c>
      <c r="B11" s="112">
        <v>19</v>
      </c>
      <c r="C11" s="112">
        <v>20.900000000000002</v>
      </c>
      <c r="D11" s="112">
        <v>11.700000000000001</v>
      </c>
      <c r="E11" s="112">
        <v>43.4</v>
      </c>
      <c r="F11" s="112">
        <v>20.3</v>
      </c>
      <c r="G11" s="112">
        <v>63.2</v>
      </c>
      <c r="H11" s="112">
        <v>25.5</v>
      </c>
      <c r="I11" s="112">
        <v>61.699999999999996</v>
      </c>
      <c r="J11" s="112">
        <v>38.900000000000006</v>
      </c>
      <c r="K11" s="112">
        <v>53.999999999999993</v>
      </c>
      <c r="L11" s="114">
        <v>16.099999999999998</v>
      </c>
      <c r="M11" s="112">
        <v>27.599999999999998</v>
      </c>
      <c r="N11" s="112">
        <v>34.200000000000003</v>
      </c>
      <c r="O11" s="112">
        <v>22.400000000000002</v>
      </c>
      <c r="P11" s="112">
        <v>50.4</v>
      </c>
      <c r="Q11" s="112">
        <v>37.600000000000009</v>
      </c>
      <c r="R11" s="112">
        <v>18.5</v>
      </c>
      <c r="S11" s="112">
        <v>31.4</v>
      </c>
      <c r="T11" s="112">
        <v>58.1</v>
      </c>
      <c r="U11" s="112">
        <v>20.299999999999997</v>
      </c>
      <c r="V11" s="112">
        <v>45.199999999999996</v>
      </c>
      <c r="W11" s="456">
        <f t="shared" si="0"/>
        <v>34.57</v>
      </c>
      <c r="X11" s="457">
        <f t="shared" si="1"/>
        <v>38.073157894736937</v>
      </c>
      <c r="Y11" s="539">
        <f t="shared" si="2"/>
        <v>35.07</v>
      </c>
      <c r="AA11" s="110"/>
      <c r="AC11" s="111"/>
    </row>
    <row r="12" spans="1:29">
      <c r="A12" s="555" t="s">
        <v>88</v>
      </c>
      <c r="B12" s="112">
        <v>6.8</v>
      </c>
      <c r="C12" s="112">
        <v>1.6</v>
      </c>
      <c r="D12" s="112">
        <v>10.499999999999998</v>
      </c>
      <c r="E12" s="112">
        <v>3.4</v>
      </c>
      <c r="F12" s="112">
        <v>3.8</v>
      </c>
      <c r="G12" s="112">
        <v>12.200000000000001</v>
      </c>
      <c r="H12" s="112">
        <v>21.599999999999998</v>
      </c>
      <c r="I12" s="112">
        <v>5.3</v>
      </c>
      <c r="J12" s="112">
        <v>2</v>
      </c>
      <c r="K12" s="112">
        <v>1.7999999999999998</v>
      </c>
      <c r="L12" s="114">
        <v>2.9000000000000004</v>
      </c>
      <c r="M12" s="112">
        <v>0.3</v>
      </c>
      <c r="N12" s="112">
        <v>11.799999999999999</v>
      </c>
      <c r="O12" s="112">
        <v>0.3</v>
      </c>
      <c r="P12" s="112">
        <v>13.1</v>
      </c>
      <c r="Q12" s="112">
        <v>4.5</v>
      </c>
      <c r="R12" s="112">
        <v>0</v>
      </c>
      <c r="S12" s="112">
        <v>0</v>
      </c>
      <c r="T12" s="112">
        <v>7.7</v>
      </c>
      <c r="U12" s="112">
        <v>8.8000000000000007</v>
      </c>
      <c r="V12" s="112">
        <v>9.3000000000000007</v>
      </c>
      <c r="W12" s="456">
        <f t="shared" si="0"/>
        <v>5.58</v>
      </c>
      <c r="X12" s="457">
        <f t="shared" si="1"/>
        <v>5.3968421052631612</v>
      </c>
      <c r="Y12" s="539">
        <f t="shared" si="2"/>
        <v>6.044999999999999</v>
      </c>
      <c r="AA12" s="110"/>
      <c r="AC12" s="111"/>
    </row>
    <row r="13" spans="1:29">
      <c r="A13" s="555" t="s">
        <v>89</v>
      </c>
      <c r="B13" s="112">
        <v>9.3000000000000007</v>
      </c>
      <c r="C13" s="112">
        <v>13.7</v>
      </c>
      <c r="D13" s="112">
        <v>14.299999999999999</v>
      </c>
      <c r="E13" s="112">
        <v>7.6999999999999993</v>
      </c>
      <c r="F13" s="112">
        <v>14.8</v>
      </c>
      <c r="G13" s="112">
        <v>18.3</v>
      </c>
      <c r="H13" s="112">
        <v>4.7</v>
      </c>
      <c r="I13" s="112">
        <v>6.8</v>
      </c>
      <c r="J13" s="112">
        <v>13.299999999999999</v>
      </c>
      <c r="K13" s="112">
        <v>29.8</v>
      </c>
      <c r="L13" s="114">
        <v>8.3999999999999986</v>
      </c>
      <c r="M13" s="112">
        <v>18.200000000000003</v>
      </c>
      <c r="N13" s="112">
        <v>20.100000000000001</v>
      </c>
      <c r="O13" s="112">
        <v>14.399999999999999</v>
      </c>
      <c r="P13" s="112">
        <v>26.1</v>
      </c>
      <c r="Q13" s="112">
        <v>14.7</v>
      </c>
      <c r="R13" s="112">
        <v>2.3000000000000003</v>
      </c>
      <c r="S13" s="112">
        <v>8.4</v>
      </c>
      <c r="T13" s="112">
        <v>13.400000000000004</v>
      </c>
      <c r="U13" s="112">
        <v>21.400000000000002</v>
      </c>
      <c r="V13" s="112">
        <v>5.6</v>
      </c>
      <c r="W13" s="456">
        <f t="shared" si="0"/>
        <v>14.460000000000003</v>
      </c>
      <c r="X13" s="457">
        <f t="shared" si="1"/>
        <v>13.854736842105266</v>
      </c>
      <c r="Y13" s="539">
        <f t="shared" si="2"/>
        <v>13.820000000000002</v>
      </c>
      <c r="AA13" s="110"/>
      <c r="AC13" s="111"/>
    </row>
    <row r="14" spans="1:29">
      <c r="A14" s="555" t="s">
        <v>90</v>
      </c>
      <c r="B14" s="112">
        <v>159.30000000000007</v>
      </c>
      <c r="C14" s="112">
        <v>83.8</v>
      </c>
      <c r="D14" s="112">
        <v>120.60000000000001</v>
      </c>
      <c r="E14" s="112">
        <v>81.900000000000006</v>
      </c>
      <c r="F14" s="112">
        <v>65.8</v>
      </c>
      <c r="G14" s="112">
        <v>138.10000000000002</v>
      </c>
      <c r="H14" s="112">
        <v>89.899999999999991</v>
      </c>
      <c r="I14" s="112">
        <v>56.9</v>
      </c>
      <c r="J14" s="112">
        <v>60.400000000000006</v>
      </c>
      <c r="K14" s="112">
        <v>66.8</v>
      </c>
      <c r="L14" s="114">
        <v>59.2</v>
      </c>
      <c r="M14" s="112">
        <v>120.99999999999997</v>
      </c>
      <c r="N14" s="112">
        <v>75.999999999999986</v>
      </c>
      <c r="O14" s="112">
        <v>95.4</v>
      </c>
      <c r="P14" s="112">
        <v>106.49999999999999</v>
      </c>
      <c r="Q14" s="112">
        <v>112</v>
      </c>
      <c r="R14" s="112">
        <v>55.4</v>
      </c>
      <c r="S14" s="112">
        <v>127.30000000000001</v>
      </c>
      <c r="T14" s="112">
        <v>133.20000000000005</v>
      </c>
      <c r="U14" s="112">
        <v>110.3</v>
      </c>
      <c r="V14" s="112">
        <v>48.400000000000006</v>
      </c>
      <c r="W14" s="456">
        <f t="shared" si="0"/>
        <v>98.549999999999983</v>
      </c>
      <c r="X14" s="457">
        <f t="shared" si="1"/>
        <v>95.356315789473797</v>
      </c>
      <c r="Y14" s="539">
        <f t="shared" si="2"/>
        <v>90.445000000000007</v>
      </c>
      <c r="AA14" s="110"/>
      <c r="AC14" s="111"/>
    </row>
    <row r="15" spans="1:29">
      <c r="A15" s="555" t="s">
        <v>91</v>
      </c>
      <c r="B15" s="112">
        <v>237.50000000000003</v>
      </c>
      <c r="C15" s="112">
        <v>314.2</v>
      </c>
      <c r="D15" s="112">
        <v>334.19999999999993</v>
      </c>
      <c r="E15" s="112">
        <v>270.7</v>
      </c>
      <c r="F15" s="112">
        <v>321.50000000000011</v>
      </c>
      <c r="G15" s="112">
        <v>290.79999999999995</v>
      </c>
      <c r="H15" s="112">
        <v>265.99999999999994</v>
      </c>
      <c r="I15" s="112">
        <v>370.00000000000011</v>
      </c>
      <c r="J15" s="112">
        <v>336.59999999999997</v>
      </c>
      <c r="K15" s="112">
        <v>287.00000000000006</v>
      </c>
      <c r="L15" s="114">
        <v>269.70000000000005</v>
      </c>
      <c r="M15" s="112">
        <v>335.70000000000005</v>
      </c>
      <c r="N15" s="112">
        <v>227.49999999999997</v>
      </c>
      <c r="O15" s="112">
        <v>321.80000000000007</v>
      </c>
      <c r="P15" s="112">
        <v>355.5</v>
      </c>
      <c r="Q15" s="112">
        <v>311</v>
      </c>
      <c r="R15" s="112">
        <v>259.10000000000002</v>
      </c>
      <c r="S15" s="112">
        <v>259.8595782569019</v>
      </c>
      <c r="T15" s="112">
        <v>265.2</v>
      </c>
      <c r="U15" s="112">
        <v>257.90000000000003</v>
      </c>
      <c r="V15" s="112">
        <v>337.30000000000007</v>
      </c>
      <c r="W15" s="456">
        <f t="shared" si="0"/>
        <v>293.08595782569017</v>
      </c>
      <c r="X15" s="457">
        <f t="shared" si="1"/>
        <v>283.99593562868495</v>
      </c>
      <c r="Y15" s="539">
        <f t="shared" si="2"/>
        <v>299.57797891284508</v>
      </c>
      <c r="AA15" s="110"/>
      <c r="AC15" s="111"/>
    </row>
    <row r="16" spans="1:29">
      <c r="A16" s="555" t="s">
        <v>92</v>
      </c>
      <c r="B16" s="112">
        <v>611.79999999999995</v>
      </c>
      <c r="C16" s="112">
        <v>575.19999999999993</v>
      </c>
      <c r="D16" s="112">
        <v>552.69999999999993</v>
      </c>
      <c r="E16" s="112">
        <v>452.7</v>
      </c>
      <c r="F16" s="112">
        <v>406.7000000000001</v>
      </c>
      <c r="G16" s="112">
        <v>489.40000000000003</v>
      </c>
      <c r="H16" s="112">
        <v>410.09999999999991</v>
      </c>
      <c r="I16" s="112">
        <v>535.19999999999993</v>
      </c>
      <c r="J16" s="112">
        <v>468.80000000000007</v>
      </c>
      <c r="K16" s="112">
        <v>484.30000000000007</v>
      </c>
      <c r="L16" s="114">
        <v>484.2</v>
      </c>
      <c r="M16" s="112">
        <v>417.3</v>
      </c>
      <c r="N16" s="112">
        <v>517</v>
      </c>
      <c r="O16" s="112">
        <v>502.8</v>
      </c>
      <c r="P16" s="112">
        <v>417.39999999999992</v>
      </c>
      <c r="Q16" s="112">
        <v>491.59999999999985</v>
      </c>
      <c r="R16" s="112">
        <v>392.9</v>
      </c>
      <c r="S16" s="112">
        <v>541.70000000000005</v>
      </c>
      <c r="T16" s="112">
        <v>560.79999999999995</v>
      </c>
      <c r="U16" s="112">
        <v>510.6</v>
      </c>
      <c r="V16" s="112">
        <v>429.00000000000006</v>
      </c>
      <c r="W16" s="456">
        <f t="shared" si="0"/>
        <v>478.11</v>
      </c>
      <c r="X16" s="457">
        <f t="shared" si="1"/>
        <v>473.58526315789436</v>
      </c>
      <c r="Y16" s="539">
        <f t="shared" si="2"/>
        <v>482.01999999999987</v>
      </c>
      <c r="AA16" s="110"/>
      <c r="AC16" s="111"/>
    </row>
    <row r="17" spans="1:29">
      <c r="A17" s="556" t="s">
        <v>93</v>
      </c>
      <c r="B17" s="557">
        <v>850.90000000000009</v>
      </c>
      <c r="C17" s="557">
        <v>634.70000000000005</v>
      </c>
      <c r="D17" s="557">
        <v>754.89999999999986</v>
      </c>
      <c r="E17" s="557">
        <v>648.4</v>
      </c>
      <c r="F17" s="557">
        <v>691.8</v>
      </c>
      <c r="G17" s="557">
        <v>882.60000000000014</v>
      </c>
      <c r="H17" s="557">
        <v>602.20000000000005</v>
      </c>
      <c r="I17" s="557">
        <v>728.3</v>
      </c>
      <c r="J17" s="557">
        <v>722.19999999999993</v>
      </c>
      <c r="K17" s="557">
        <v>814.90000000000009</v>
      </c>
      <c r="L17" s="558">
        <v>761.99999999999989</v>
      </c>
      <c r="M17" s="557">
        <v>609.99999999999989</v>
      </c>
      <c r="N17" s="557">
        <v>787.69999999999982</v>
      </c>
      <c r="O17" s="557">
        <v>796.70000000000027</v>
      </c>
      <c r="P17" s="557">
        <v>759.40000000000009</v>
      </c>
      <c r="Q17" s="557">
        <v>731.39999999999986</v>
      </c>
      <c r="R17" s="557">
        <v>672.19999999999993</v>
      </c>
      <c r="S17" s="557">
        <v>719.1</v>
      </c>
      <c r="T17" s="557">
        <v>858.20000000000016</v>
      </c>
      <c r="U17" s="557">
        <v>696.39999999999986</v>
      </c>
      <c r="V17" s="557">
        <v>519.90000000000009</v>
      </c>
      <c r="W17" s="550">
        <f t="shared" si="0"/>
        <v>715.1</v>
      </c>
      <c r="X17" s="559">
        <f t="shared" si="1"/>
        <v>715.94894736842127</v>
      </c>
      <c r="Y17" s="566">
        <f t="shared" si="2"/>
        <v>719.65000000000009</v>
      </c>
      <c r="AA17" s="110"/>
      <c r="AC17" s="111"/>
    </row>
    <row r="18" spans="1:29" hidden="1">
      <c r="A18" s="538"/>
      <c r="B18" s="540"/>
      <c r="C18" s="540"/>
      <c r="D18" s="540"/>
      <c r="E18" s="540"/>
      <c r="F18" s="540"/>
      <c r="G18" s="541"/>
      <c r="H18" s="541"/>
      <c r="I18" s="541"/>
      <c r="J18" s="541"/>
      <c r="K18" s="541"/>
      <c r="L18" s="541">
        <f t="shared" ref="L18:V18" si="3">SUM(L6:L17)</f>
        <v>4422.3999999999996</v>
      </c>
      <c r="M18" s="541">
        <f t="shared" si="3"/>
        <v>4034.7</v>
      </c>
      <c r="N18" s="541">
        <f t="shared" si="3"/>
        <v>4452.8</v>
      </c>
      <c r="O18" s="541">
        <f t="shared" si="3"/>
        <v>4488.4000000000015</v>
      </c>
      <c r="P18" s="541">
        <f t="shared" si="3"/>
        <v>4533.6000000000004</v>
      </c>
      <c r="Q18" s="541">
        <f t="shared" si="3"/>
        <v>3978.8999999999996</v>
      </c>
      <c r="R18" s="541">
        <f t="shared" si="3"/>
        <v>4145.5000000000009</v>
      </c>
      <c r="S18" s="541">
        <f t="shared" si="3"/>
        <v>4116.1595782569029</v>
      </c>
      <c r="T18" s="541">
        <f t="shared" si="3"/>
        <v>4580.2</v>
      </c>
      <c r="U18" s="541">
        <f t="shared" si="3"/>
        <v>4632.3000000000011</v>
      </c>
      <c r="V18" s="541">
        <f t="shared" si="3"/>
        <v>4486.1000000000004</v>
      </c>
      <c r="W18" s="536"/>
      <c r="X18" s="536"/>
      <c r="Y18" s="537"/>
    </row>
    <row r="19" spans="1:29" hidden="1">
      <c r="A19" s="538" t="s">
        <v>5</v>
      </c>
      <c r="B19" s="542">
        <f t="shared" ref="B19:Y19" si="4">SUM(B6:B17)</f>
        <v>4584.6000000000004</v>
      </c>
      <c r="C19" s="542">
        <f t="shared" si="4"/>
        <v>4610</v>
      </c>
      <c r="D19" s="542">
        <f t="shared" si="4"/>
        <v>4781.2999999999993</v>
      </c>
      <c r="E19" s="542">
        <f t="shared" si="4"/>
        <v>3824.8999999999996</v>
      </c>
      <c r="F19" s="542">
        <f t="shared" si="4"/>
        <v>4136.8</v>
      </c>
      <c r="G19" s="542">
        <f t="shared" si="4"/>
        <v>4543.3999999999996</v>
      </c>
      <c r="H19" s="542">
        <f t="shared" si="4"/>
        <v>4115</v>
      </c>
      <c r="I19" s="542">
        <f t="shared" si="4"/>
        <v>4380.5</v>
      </c>
      <c r="J19" s="542">
        <f t="shared" si="4"/>
        <v>4714.7000000000007</v>
      </c>
      <c r="K19" s="542">
        <f t="shared" si="4"/>
        <v>4637.1000000000004</v>
      </c>
      <c r="L19" s="542">
        <f t="shared" si="4"/>
        <v>4422.3999999999996</v>
      </c>
      <c r="M19" s="542">
        <f t="shared" si="4"/>
        <v>4034.7</v>
      </c>
      <c r="N19" s="542">
        <f t="shared" si="4"/>
        <v>4452.8</v>
      </c>
      <c r="O19" s="542">
        <f t="shared" si="4"/>
        <v>4488.4000000000015</v>
      </c>
      <c r="P19" s="542">
        <f t="shared" si="4"/>
        <v>4533.6000000000004</v>
      </c>
      <c r="Q19" s="542">
        <f t="shared" si="4"/>
        <v>3978.8999999999996</v>
      </c>
      <c r="R19" s="542">
        <f t="shared" si="4"/>
        <v>4145.5000000000009</v>
      </c>
      <c r="S19" s="542">
        <f t="shared" si="4"/>
        <v>4116.1595782569029</v>
      </c>
      <c r="T19" s="542">
        <f t="shared" si="4"/>
        <v>4580.2</v>
      </c>
      <c r="U19" s="542">
        <f t="shared" si="4"/>
        <v>4632.3000000000011</v>
      </c>
      <c r="V19" s="542">
        <f t="shared" si="4"/>
        <v>4486.1000000000004</v>
      </c>
      <c r="W19" s="542">
        <f t="shared" si="4"/>
        <v>4344.8659578256902</v>
      </c>
      <c r="X19" s="542">
        <f t="shared" si="4"/>
        <v>4377.358040891846</v>
      </c>
      <c r="Y19" s="543">
        <f t="shared" si="4"/>
        <v>4380.7379789128463</v>
      </c>
    </row>
    <row r="20" spans="1:29" hidden="1">
      <c r="A20" s="544"/>
      <c r="B20" s="545"/>
      <c r="C20" s="545"/>
      <c r="D20" s="545"/>
      <c r="E20" s="546"/>
      <c r="F20" s="546"/>
      <c r="G20" s="536"/>
      <c r="H20" s="536"/>
      <c r="I20" s="536"/>
      <c r="J20" s="536"/>
      <c r="K20" s="536"/>
      <c r="L20" s="536"/>
      <c r="M20" s="536"/>
      <c r="N20" s="536"/>
      <c r="O20" s="536"/>
      <c r="P20" s="536"/>
      <c r="Q20" s="536"/>
      <c r="R20" s="536"/>
      <c r="S20" s="536"/>
      <c r="T20" s="536"/>
      <c r="U20" s="547"/>
      <c r="V20" s="547">
        <f>SUM(M19:V19)</f>
        <v>43448.659578256906</v>
      </c>
      <c r="W20" s="536"/>
      <c r="X20" s="536"/>
      <c r="Y20" s="537"/>
    </row>
    <row r="21" spans="1:29" ht="28.5" customHeight="1">
      <c r="A21" s="536"/>
      <c r="B21" s="545"/>
      <c r="C21" s="545"/>
      <c r="D21" s="545"/>
      <c r="E21" s="546"/>
      <c r="F21" s="546"/>
      <c r="G21" s="536"/>
      <c r="H21" s="536"/>
      <c r="I21" s="536"/>
      <c r="J21" s="536"/>
      <c r="K21" s="548" t="s">
        <v>234</v>
      </c>
      <c r="L21" s="536"/>
      <c r="M21" s="536"/>
      <c r="N21" s="536"/>
      <c r="O21" s="536"/>
      <c r="P21" s="536"/>
      <c r="Q21" s="536"/>
      <c r="R21" s="536"/>
      <c r="S21" s="536"/>
      <c r="T21" s="536"/>
      <c r="U21" s="547"/>
      <c r="V21" s="547"/>
      <c r="W21" s="536"/>
      <c r="X21" s="536"/>
      <c r="Y21" s="537"/>
    </row>
    <row r="22" spans="1:29" ht="9" customHeight="1">
      <c r="A22" s="616"/>
      <c r="B22" s="534"/>
      <c r="C22" s="534"/>
      <c r="D22" s="534"/>
      <c r="E22" s="535"/>
      <c r="F22" s="535"/>
      <c r="G22" s="536"/>
      <c r="H22" s="536"/>
      <c r="I22" s="536"/>
      <c r="J22" s="536"/>
      <c r="K22" s="536"/>
      <c r="L22" s="536"/>
      <c r="M22" s="536"/>
      <c r="N22" s="536"/>
      <c r="O22" s="536"/>
      <c r="P22" s="536"/>
      <c r="Q22" s="536"/>
      <c r="R22" s="536"/>
      <c r="S22" s="536"/>
      <c r="T22" s="536"/>
      <c r="U22" s="536"/>
      <c r="V22" s="536"/>
      <c r="W22" s="536"/>
      <c r="X22" s="536"/>
      <c r="Y22" s="537"/>
    </row>
    <row r="23" spans="1:29">
      <c r="A23" s="560" t="s">
        <v>80</v>
      </c>
      <c r="B23" s="561">
        <v>1995</v>
      </c>
      <c r="C23" s="561">
        <v>1996</v>
      </c>
      <c r="D23" s="561">
        <v>1997</v>
      </c>
      <c r="E23" s="561">
        <v>1998</v>
      </c>
      <c r="F23" s="561">
        <v>1999</v>
      </c>
      <c r="G23" s="561">
        <v>2000</v>
      </c>
      <c r="H23" s="561">
        <v>2001</v>
      </c>
      <c r="I23" s="561">
        <v>2002</v>
      </c>
      <c r="J23" s="561">
        <v>2003</v>
      </c>
      <c r="K23" s="561">
        <v>2004</v>
      </c>
      <c r="L23" s="562">
        <v>2005</v>
      </c>
      <c r="M23" s="561">
        <v>2006</v>
      </c>
      <c r="N23" s="561">
        <v>2007</v>
      </c>
      <c r="O23" s="561">
        <v>2008</v>
      </c>
      <c r="P23" s="561">
        <v>2009</v>
      </c>
      <c r="Q23" s="561">
        <v>2010</v>
      </c>
      <c r="R23" s="561">
        <v>2011</v>
      </c>
      <c r="S23" s="561">
        <v>2012</v>
      </c>
      <c r="T23" s="561">
        <v>2013</v>
      </c>
      <c r="U23" s="561">
        <v>2014</v>
      </c>
      <c r="V23" s="561">
        <v>2015</v>
      </c>
      <c r="W23" s="563" t="s">
        <v>81</v>
      </c>
      <c r="X23" s="563" t="s">
        <v>82</v>
      </c>
      <c r="Y23" s="567" t="s">
        <v>94</v>
      </c>
    </row>
    <row r="24" spans="1:29">
      <c r="A24" s="555" t="s">
        <v>83</v>
      </c>
      <c r="B24" s="113">
        <v>0</v>
      </c>
      <c r="C24" s="113">
        <v>0</v>
      </c>
      <c r="D24" s="113">
        <v>0</v>
      </c>
      <c r="E24" s="113">
        <v>0</v>
      </c>
      <c r="F24" s="113">
        <v>0</v>
      </c>
      <c r="G24" s="113">
        <v>0</v>
      </c>
      <c r="H24" s="113">
        <v>0</v>
      </c>
      <c r="I24" s="113">
        <v>0</v>
      </c>
      <c r="J24" s="113">
        <v>0</v>
      </c>
      <c r="K24" s="113">
        <v>0</v>
      </c>
      <c r="L24" s="115">
        <v>0</v>
      </c>
      <c r="M24" s="113">
        <v>0</v>
      </c>
      <c r="N24" s="113">
        <v>0</v>
      </c>
      <c r="O24" s="113">
        <v>0</v>
      </c>
      <c r="P24" s="113">
        <v>0</v>
      </c>
      <c r="Q24" s="113">
        <v>0</v>
      </c>
      <c r="R24" s="113">
        <v>0</v>
      </c>
      <c r="S24" s="113">
        <v>0</v>
      </c>
      <c r="T24" s="113">
        <v>0</v>
      </c>
      <c r="U24" s="113">
        <v>0</v>
      </c>
      <c r="V24" s="113">
        <v>0</v>
      </c>
      <c r="W24" s="456">
        <f>AVERAGE(M24:V24)</f>
        <v>0</v>
      </c>
      <c r="X24" s="457">
        <f>TREND(C24:V24,$C$23:$V$23,2016)</f>
        <v>0</v>
      </c>
      <c r="Y24" s="539">
        <f>AVERAGE(C24:V24)</f>
        <v>0</v>
      </c>
      <c r="AA24" s="110"/>
      <c r="AC24" s="111"/>
    </row>
    <row r="25" spans="1:29">
      <c r="A25" s="555" t="s">
        <v>84</v>
      </c>
      <c r="B25" s="113">
        <v>0</v>
      </c>
      <c r="C25" s="113">
        <v>0</v>
      </c>
      <c r="D25" s="113">
        <v>0</v>
      </c>
      <c r="E25" s="113">
        <v>0</v>
      </c>
      <c r="F25" s="113">
        <v>0</v>
      </c>
      <c r="G25" s="113">
        <v>0</v>
      </c>
      <c r="H25" s="113">
        <v>0</v>
      </c>
      <c r="I25" s="113">
        <v>0</v>
      </c>
      <c r="J25" s="113">
        <v>0</v>
      </c>
      <c r="K25" s="113">
        <v>0</v>
      </c>
      <c r="L25" s="115">
        <v>0</v>
      </c>
      <c r="M25" s="113">
        <v>0</v>
      </c>
      <c r="N25" s="113">
        <v>0</v>
      </c>
      <c r="O25" s="113">
        <v>0</v>
      </c>
      <c r="P25" s="113">
        <v>0</v>
      </c>
      <c r="Q25" s="113">
        <v>0</v>
      </c>
      <c r="R25" s="113">
        <v>0</v>
      </c>
      <c r="S25" s="113">
        <v>0</v>
      </c>
      <c r="T25" s="113">
        <v>0</v>
      </c>
      <c r="U25" s="113">
        <v>0</v>
      </c>
      <c r="V25" s="113">
        <v>0</v>
      </c>
      <c r="W25" s="456">
        <f t="shared" ref="W25:W35" si="5">AVERAGE(M25:V25)</f>
        <v>0</v>
      </c>
      <c r="X25" s="457">
        <f t="shared" ref="X25:X35" si="6">TREND(C25:V25,$C$23:$V$23,2016)</f>
        <v>0</v>
      </c>
      <c r="Y25" s="539">
        <f t="shared" ref="Y25:Y35" si="7">AVERAGE(C25:V25)</f>
        <v>0</v>
      </c>
      <c r="AA25" s="110"/>
      <c r="AC25" s="111"/>
    </row>
    <row r="26" spans="1:29">
      <c r="A26" s="555" t="s">
        <v>85</v>
      </c>
      <c r="B26" s="113">
        <v>0</v>
      </c>
      <c r="C26" s="113">
        <v>0</v>
      </c>
      <c r="D26" s="113">
        <v>0</v>
      </c>
      <c r="E26" s="113">
        <v>0</v>
      </c>
      <c r="F26" s="113">
        <v>0</v>
      </c>
      <c r="G26" s="113">
        <v>0</v>
      </c>
      <c r="H26" s="113">
        <v>0</v>
      </c>
      <c r="I26" s="113">
        <v>0</v>
      </c>
      <c r="J26" s="113">
        <v>0</v>
      </c>
      <c r="K26" s="113">
        <v>0</v>
      </c>
      <c r="L26" s="115">
        <v>0</v>
      </c>
      <c r="M26" s="113">
        <v>0</v>
      </c>
      <c r="N26" s="113">
        <v>0</v>
      </c>
      <c r="O26" s="113">
        <v>0</v>
      </c>
      <c r="P26" s="113">
        <v>0</v>
      </c>
      <c r="Q26" s="113">
        <v>0</v>
      </c>
      <c r="R26" s="113">
        <v>0</v>
      </c>
      <c r="S26" s="113">
        <v>0</v>
      </c>
      <c r="T26" s="113">
        <v>0</v>
      </c>
      <c r="U26" s="113">
        <v>0</v>
      </c>
      <c r="V26" s="113">
        <v>0</v>
      </c>
      <c r="W26" s="456">
        <f t="shared" si="5"/>
        <v>0</v>
      </c>
      <c r="X26" s="457">
        <f t="shared" si="6"/>
        <v>0</v>
      </c>
      <c r="Y26" s="539">
        <f t="shared" si="7"/>
        <v>0</v>
      </c>
      <c r="AA26" s="110"/>
      <c r="AC26" s="111"/>
    </row>
    <row r="27" spans="1:29">
      <c r="A27" s="555" t="s">
        <v>86</v>
      </c>
      <c r="B27" s="113">
        <v>0</v>
      </c>
      <c r="C27" s="113">
        <v>0</v>
      </c>
      <c r="D27" s="113">
        <v>0</v>
      </c>
      <c r="E27" s="113">
        <v>0</v>
      </c>
      <c r="F27" s="113">
        <v>0</v>
      </c>
      <c r="G27" s="113">
        <v>0</v>
      </c>
      <c r="H27" s="113">
        <v>0</v>
      </c>
      <c r="I27" s="113">
        <v>10.3</v>
      </c>
      <c r="J27" s="113">
        <v>0</v>
      </c>
      <c r="K27" s="113">
        <v>1.9</v>
      </c>
      <c r="L27" s="115">
        <v>0</v>
      </c>
      <c r="M27" s="113">
        <v>0</v>
      </c>
      <c r="N27" s="113">
        <v>0</v>
      </c>
      <c r="O27" s="113">
        <v>0</v>
      </c>
      <c r="P27" s="113">
        <v>2.5</v>
      </c>
      <c r="Q27" s="113">
        <v>1.6</v>
      </c>
      <c r="R27" s="113">
        <v>0</v>
      </c>
      <c r="S27" s="113">
        <v>3.2</v>
      </c>
      <c r="T27" s="113">
        <v>0</v>
      </c>
      <c r="U27" s="113">
        <v>0</v>
      </c>
      <c r="V27" s="113">
        <v>0</v>
      </c>
      <c r="W27" s="456">
        <f t="shared" si="5"/>
        <v>0.73</v>
      </c>
      <c r="X27" s="457">
        <f t="shared" si="6"/>
        <v>0.94105263157894736</v>
      </c>
      <c r="Y27" s="539">
        <f t="shared" si="7"/>
        <v>0.97499999999999998</v>
      </c>
      <c r="AA27" s="110"/>
      <c r="AC27" s="111"/>
    </row>
    <row r="28" spans="1:29">
      <c r="A28" s="555" t="s">
        <v>55</v>
      </c>
      <c r="B28" s="113">
        <v>5.6999999999999993</v>
      </c>
      <c r="C28" s="113">
        <v>8</v>
      </c>
      <c r="D28" s="113">
        <v>0</v>
      </c>
      <c r="E28" s="113">
        <v>28.6</v>
      </c>
      <c r="F28" s="113">
        <v>31.3</v>
      </c>
      <c r="G28" s="113">
        <v>2.8000000000000003</v>
      </c>
      <c r="H28" s="113">
        <v>13.700000000000001</v>
      </c>
      <c r="I28" s="113">
        <v>6.5</v>
      </c>
      <c r="J28" s="113">
        <v>0.1</v>
      </c>
      <c r="K28" s="113">
        <v>4</v>
      </c>
      <c r="L28" s="115">
        <v>1.9</v>
      </c>
      <c r="M28" s="113">
        <v>16.899999999999999</v>
      </c>
      <c r="N28" s="113">
        <v>17.3</v>
      </c>
      <c r="O28" s="113">
        <v>0</v>
      </c>
      <c r="P28" s="113">
        <v>3.2</v>
      </c>
      <c r="Q28" s="113">
        <v>38.199999999999996</v>
      </c>
      <c r="R28" s="113">
        <v>16.7</v>
      </c>
      <c r="S28" s="113">
        <v>21</v>
      </c>
      <c r="T28" s="113">
        <v>15.3</v>
      </c>
      <c r="U28" s="113">
        <v>8.8000000000000007</v>
      </c>
      <c r="V28" s="113">
        <v>25.299999999999997</v>
      </c>
      <c r="W28" s="456">
        <f t="shared" si="5"/>
        <v>16.27</v>
      </c>
      <c r="X28" s="457">
        <f t="shared" si="6"/>
        <v>17.31894736842105</v>
      </c>
      <c r="Y28" s="539">
        <f t="shared" si="7"/>
        <v>12.98</v>
      </c>
      <c r="AA28" s="110"/>
      <c r="AC28" s="111"/>
    </row>
    <row r="29" spans="1:29">
      <c r="A29" s="555" t="s">
        <v>87</v>
      </c>
      <c r="B29" s="113">
        <v>86.299999999999983</v>
      </c>
      <c r="C29" s="113">
        <v>51.9</v>
      </c>
      <c r="D29" s="113">
        <v>78.7</v>
      </c>
      <c r="E29" s="113">
        <v>77.899999999999991</v>
      </c>
      <c r="F29" s="113">
        <v>99.6</v>
      </c>
      <c r="G29" s="113">
        <v>30.700000000000003</v>
      </c>
      <c r="H29" s="113">
        <v>75.900000000000006</v>
      </c>
      <c r="I29" s="113">
        <v>39.5</v>
      </c>
      <c r="J29" s="113">
        <v>54.800000000000004</v>
      </c>
      <c r="K29" s="113">
        <v>27.1</v>
      </c>
      <c r="L29" s="115">
        <v>111.6</v>
      </c>
      <c r="M29" s="113">
        <v>48.199999999999996</v>
      </c>
      <c r="N29" s="113">
        <v>66.900000000000006</v>
      </c>
      <c r="O29" s="113">
        <v>60.5</v>
      </c>
      <c r="P29" s="113">
        <v>44.9</v>
      </c>
      <c r="Q29" s="113">
        <v>33.4</v>
      </c>
      <c r="R29" s="113">
        <v>59.1</v>
      </c>
      <c r="S29" s="113">
        <v>70.399999999999991</v>
      </c>
      <c r="T29" s="113">
        <v>39.400000000000006</v>
      </c>
      <c r="U29" s="113">
        <v>54.9</v>
      </c>
      <c r="V29" s="113">
        <v>20.3</v>
      </c>
      <c r="W29" s="456">
        <f t="shared" si="5"/>
        <v>49.8</v>
      </c>
      <c r="X29" s="457">
        <f t="shared" si="6"/>
        <v>42.206842105263149</v>
      </c>
      <c r="Y29" s="539">
        <f t="shared" si="7"/>
        <v>57.285000000000011</v>
      </c>
      <c r="AA29" s="110"/>
      <c r="AC29" s="111"/>
    </row>
    <row r="30" spans="1:29">
      <c r="A30" s="555" t="s">
        <v>88</v>
      </c>
      <c r="B30" s="113">
        <v>125.9</v>
      </c>
      <c r="C30" s="113">
        <v>67.699999999999989</v>
      </c>
      <c r="D30" s="113">
        <v>95.8</v>
      </c>
      <c r="E30" s="113">
        <v>89.2</v>
      </c>
      <c r="F30" s="113">
        <v>141.70000000000002</v>
      </c>
      <c r="G30" s="113">
        <v>58.6</v>
      </c>
      <c r="H30" s="113">
        <v>78.399999999999991</v>
      </c>
      <c r="I30" s="113">
        <v>121</v>
      </c>
      <c r="J30" s="113">
        <v>90.1</v>
      </c>
      <c r="K30" s="113">
        <v>86.5</v>
      </c>
      <c r="L30" s="115">
        <v>128.6</v>
      </c>
      <c r="M30" s="113">
        <v>130.59999999999997</v>
      </c>
      <c r="N30" s="113">
        <v>65.100000000000009</v>
      </c>
      <c r="O30" s="113">
        <v>78.899999999999991</v>
      </c>
      <c r="P30" s="113">
        <v>42.899999999999991</v>
      </c>
      <c r="Q30" s="113">
        <v>150.79999999999998</v>
      </c>
      <c r="R30" s="113">
        <v>137.5</v>
      </c>
      <c r="S30" s="113">
        <v>142.20000000000005</v>
      </c>
      <c r="T30" s="113">
        <v>114.89999999999999</v>
      </c>
      <c r="U30" s="113">
        <v>62.800000000000011</v>
      </c>
      <c r="V30" s="113">
        <v>99.999999999999986</v>
      </c>
      <c r="W30" s="456">
        <f t="shared" si="5"/>
        <v>102.57000000000001</v>
      </c>
      <c r="X30" s="457">
        <f t="shared" si="6"/>
        <v>109.42263157894718</v>
      </c>
      <c r="Y30" s="539">
        <f t="shared" si="7"/>
        <v>99.165000000000006</v>
      </c>
      <c r="AA30" s="110"/>
      <c r="AC30" s="111"/>
    </row>
    <row r="31" spans="1:29">
      <c r="A31" s="555" t="s">
        <v>89</v>
      </c>
      <c r="B31" s="113">
        <v>78.90000000000002</v>
      </c>
      <c r="C31" s="113">
        <v>78.699999999999989</v>
      </c>
      <c r="D31" s="113">
        <v>41.29999999999999</v>
      </c>
      <c r="E31" s="113">
        <v>86.09999999999998</v>
      </c>
      <c r="F31" s="113">
        <v>57.599999999999994</v>
      </c>
      <c r="G31" s="113">
        <v>60.099999999999994</v>
      </c>
      <c r="H31" s="113">
        <v>127.49999999999999</v>
      </c>
      <c r="I31" s="113">
        <v>106.50000000000003</v>
      </c>
      <c r="J31" s="113">
        <v>106.19999999999997</v>
      </c>
      <c r="K31" s="113">
        <v>47.5</v>
      </c>
      <c r="L31" s="115">
        <v>115.39999999999999</v>
      </c>
      <c r="M31" s="113">
        <v>68.099999999999994</v>
      </c>
      <c r="N31" s="113">
        <v>79.300000000000026</v>
      </c>
      <c r="O31" s="113">
        <v>49.499999999999993</v>
      </c>
      <c r="P31" s="113">
        <v>82.100000000000009</v>
      </c>
      <c r="Q31" s="113">
        <v>93</v>
      </c>
      <c r="R31" s="113">
        <v>82.300000000000011</v>
      </c>
      <c r="S31" s="113">
        <v>97.600000000000009</v>
      </c>
      <c r="T31" s="113">
        <v>57.199999999999996</v>
      </c>
      <c r="U31" s="113">
        <v>55.800000000000004</v>
      </c>
      <c r="V31" s="113">
        <v>67.399999999999991</v>
      </c>
      <c r="W31" s="456">
        <f t="shared" si="5"/>
        <v>73.23</v>
      </c>
      <c r="X31" s="457">
        <f t="shared" si="6"/>
        <v>75.163684210526412</v>
      </c>
      <c r="Y31" s="539">
        <f t="shared" si="7"/>
        <v>77.959999999999994</v>
      </c>
      <c r="AA31" s="110"/>
      <c r="AC31" s="111"/>
    </row>
    <row r="32" spans="1:29">
      <c r="A32" s="555" t="s">
        <v>90</v>
      </c>
      <c r="B32" s="113">
        <v>5.0999999999999996</v>
      </c>
      <c r="C32" s="113">
        <v>33.799999999999997</v>
      </c>
      <c r="D32" s="113">
        <v>4.4000000000000004</v>
      </c>
      <c r="E32" s="113">
        <v>12.2</v>
      </c>
      <c r="F32" s="113">
        <v>49.600000000000009</v>
      </c>
      <c r="G32" s="113">
        <v>13.7</v>
      </c>
      <c r="H32" s="113">
        <v>25.9</v>
      </c>
      <c r="I32" s="113">
        <v>51.4</v>
      </c>
      <c r="J32" s="113">
        <v>23.7</v>
      </c>
      <c r="K32" s="113">
        <v>11.099999999999998</v>
      </c>
      <c r="L32" s="115">
        <v>33.099999999999994</v>
      </c>
      <c r="M32" s="113">
        <v>5.3</v>
      </c>
      <c r="N32" s="113">
        <v>25.7</v>
      </c>
      <c r="O32" s="113">
        <v>25</v>
      </c>
      <c r="P32" s="113">
        <v>5</v>
      </c>
      <c r="Q32" s="113">
        <v>26.200000000000003</v>
      </c>
      <c r="R32" s="113">
        <v>32.9</v>
      </c>
      <c r="S32" s="113">
        <v>20.6</v>
      </c>
      <c r="T32" s="113">
        <v>10.1</v>
      </c>
      <c r="U32" s="113">
        <v>21.600000000000005</v>
      </c>
      <c r="V32" s="113">
        <v>46.500000000000007</v>
      </c>
      <c r="W32" s="456">
        <f t="shared" si="5"/>
        <v>21.889999999999997</v>
      </c>
      <c r="X32" s="457">
        <f t="shared" si="6"/>
        <v>24.180526315789479</v>
      </c>
      <c r="Y32" s="539">
        <f t="shared" si="7"/>
        <v>23.89</v>
      </c>
      <c r="AA32" s="110"/>
      <c r="AC32" s="111"/>
    </row>
    <row r="33" spans="1:29">
      <c r="A33" s="555" t="s">
        <v>91</v>
      </c>
      <c r="B33" s="113">
        <v>1.3</v>
      </c>
      <c r="C33" s="113">
        <v>0</v>
      </c>
      <c r="D33" s="113">
        <v>0</v>
      </c>
      <c r="E33" s="113">
        <v>0</v>
      </c>
      <c r="F33" s="113">
        <v>0</v>
      </c>
      <c r="G33" s="113">
        <v>0</v>
      </c>
      <c r="H33" s="113">
        <v>0</v>
      </c>
      <c r="I33" s="113">
        <v>4.0999999999999996</v>
      </c>
      <c r="J33" s="113">
        <v>0</v>
      </c>
      <c r="K33" s="113">
        <v>0</v>
      </c>
      <c r="L33" s="115">
        <v>6.4</v>
      </c>
      <c r="M33" s="113">
        <v>0</v>
      </c>
      <c r="N33" s="113">
        <v>1.9</v>
      </c>
      <c r="O33" s="113">
        <v>0</v>
      </c>
      <c r="P33" s="113">
        <v>0</v>
      </c>
      <c r="Q33" s="113">
        <v>0</v>
      </c>
      <c r="R33" s="113">
        <v>1.4</v>
      </c>
      <c r="S33" s="113">
        <v>0</v>
      </c>
      <c r="T33" s="113">
        <v>0.7</v>
      </c>
      <c r="U33" s="113">
        <v>3.1</v>
      </c>
      <c r="V33" s="113">
        <v>0</v>
      </c>
      <c r="W33" s="456">
        <f t="shared" si="5"/>
        <v>0.71</v>
      </c>
      <c r="X33" s="457">
        <f t="shared" si="6"/>
        <v>1.2684210526315809</v>
      </c>
      <c r="Y33" s="539">
        <f t="shared" si="7"/>
        <v>0.88000000000000012</v>
      </c>
      <c r="AA33" s="110"/>
      <c r="AC33" s="111"/>
    </row>
    <row r="34" spans="1:29">
      <c r="A34" s="555" t="s">
        <v>92</v>
      </c>
      <c r="B34" s="113">
        <v>0</v>
      </c>
      <c r="C34" s="113">
        <v>0</v>
      </c>
      <c r="D34" s="113">
        <v>0</v>
      </c>
      <c r="E34" s="113">
        <v>0</v>
      </c>
      <c r="F34" s="113">
        <v>0</v>
      </c>
      <c r="G34" s="113">
        <v>0</v>
      </c>
      <c r="H34" s="113">
        <v>0</v>
      </c>
      <c r="I34" s="113">
        <v>0</v>
      </c>
      <c r="J34" s="113">
        <v>0</v>
      </c>
      <c r="K34" s="113">
        <v>0</v>
      </c>
      <c r="L34" s="115">
        <v>0</v>
      </c>
      <c r="M34" s="113">
        <v>0</v>
      </c>
      <c r="N34" s="113">
        <v>0</v>
      </c>
      <c r="O34" s="113">
        <v>0</v>
      </c>
      <c r="P34" s="113">
        <v>0</v>
      </c>
      <c r="Q34" s="113">
        <v>0</v>
      </c>
      <c r="R34" s="113">
        <v>0</v>
      </c>
      <c r="S34" s="113">
        <v>0</v>
      </c>
      <c r="T34" s="113">
        <v>0</v>
      </c>
      <c r="U34" s="113">
        <v>0</v>
      </c>
      <c r="V34" s="113">
        <v>0</v>
      </c>
      <c r="W34" s="456">
        <f t="shared" si="5"/>
        <v>0</v>
      </c>
      <c r="X34" s="457">
        <f t="shared" si="6"/>
        <v>0</v>
      </c>
      <c r="Y34" s="539">
        <f t="shared" si="7"/>
        <v>0</v>
      </c>
      <c r="AA34" s="110"/>
      <c r="AC34" s="111"/>
    </row>
    <row r="35" spans="1:29">
      <c r="A35" s="556" t="s">
        <v>93</v>
      </c>
      <c r="B35" s="549">
        <v>0</v>
      </c>
      <c r="C35" s="549">
        <v>0</v>
      </c>
      <c r="D35" s="549">
        <v>0</v>
      </c>
      <c r="E35" s="549">
        <v>0</v>
      </c>
      <c r="F35" s="549">
        <v>0</v>
      </c>
      <c r="G35" s="549">
        <v>0</v>
      </c>
      <c r="H35" s="549">
        <v>0</v>
      </c>
      <c r="I35" s="549">
        <v>0</v>
      </c>
      <c r="J35" s="549">
        <v>0</v>
      </c>
      <c r="K35" s="549">
        <v>0</v>
      </c>
      <c r="L35" s="564">
        <v>0</v>
      </c>
      <c r="M35" s="549">
        <v>0</v>
      </c>
      <c r="N35" s="549">
        <v>0</v>
      </c>
      <c r="O35" s="549">
        <v>0</v>
      </c>
      <c r="P35" s="549">
        <v>0</v>
      </c>
      <c r="Q35" s="549">
        <v>0</v>
      </c>
      <c r="R35" s="549">
        <v>0</v>
      </c>
      <c r="S35" s="549">
        <v>0</v>
      </c>
      <c r="T35" s="549">
        <v>0</v>
      </c>
      <c r="U35" s="549">
        <v>0</v>
      </c>
      <c r="V35" s="549">
        <v>0</v>
      </c>
      <c r="W35" s="550">
        <f t="shared" si="5"/>
        <v>0</v>
      </c>
      <c r="X35" s="559">
        <f t="shared" si="6"/>
        <v>0</v>
      </c>
      <c r="Y35" s="566">
        <f t="shared" si="7"/>
        <v>0</v>
      </c>
      <c r="AA35" s="110"/>
      <c r="AC35" s="111"/>
    </row>
    <row r="36" spans="1:29">
      <c r="A36" s="35"/>
      <c r="B36" s="35"/>
      <c r="C36" s="35"/>
      <c r="D36" s="35"/>
      <c r="E36" s="35"/>
      <c r="F36" s="35"/>
      <c r="G36" s="32"/>
      <c r="H36" s="32"/>
      <c r="Q36" s="35"/>
      <c r="R36" s="35"/>
      <c r="S36" s="35"/>
      <c r="T36" s="35"/>
      <c r="U36" s="35"/>
      <c r="V36" s="35"/>
    </row>
    <row r="37" spans="1:29">
      <c r="A37" s="35" t="s">
        <v>5</v>
      </c>
      <c r="B37" s="109">
        <f t="shared" ref="B37:Y37" si="8">SUM(B24:B35)</f>
        <v>303.20000000000005</v>
      </c>
      <c r="C37" s="109">
        <f t="shared" si="8"/>
        <v>240.09999999999997</v>
      </c>
      <c r="D37" s="109">
        <f t="shared" si="8"/>
        <v>220.2</v>
      </c>
      <c r="E37" s="109">
        <f t="shared" si="8"/>
        <v>293.99999999999994</v>
      </c>
      <c r="F37" s="109">
        <f t="shared" si="8"/>
        <v>379.80000000000007</v>
      </c>
      <c r="G37" s="109">
        <f t="shared" si="8"/>
        <v>165.89999999999998</v>
      </c>
      <c r="H37" s="109">
        <f t="shared" si="8"/>
        <v>321.39999999999998</v>
      </c>
      <c r="I37" s="109">
        <f t="shared" si="8"/>
        <v>339.30000000000007</v>
      </c>
      <c r="J37" s="109">
        <f t="shared" si="8"/>
        <v>274.89999999999998</v>
      </c>
      <c r="K37" s="109">
        <f t="shared" si="8"/>
        <v>178.1</v>
      </c>
      <c r="L37" s="109">
        <f t="shared" si="8"/>
        <v>397</v>
      </c>
      <c r="M37" s="109">
        <f t="shared" si="8"/>
        <v>269.09999999999997</v>
      </c>
      <c r="N37" s="109">
        <f t="shared" si="8"/>
        <v>256.2</v>
      </c>
      <c r="O37" s="109">
        <f t="shared" si="8"/>
        <v>213.89999999999998</v>
      </c>
      <c r="P37" s="109">
        <f t="shared" si="8"/>
        <v>180.60000000000002</v>
      </c>
      <c r="Q37" s="109">
        <f t="shared" si="8"/>
        <v>343.2</v>
      </c>
      <c r="R37" s="109">
        <f t="shared" si="8"/>
        <v>329.9</v>
      </c>
      <c r="S37" s="109">
        <f t="shared" si="8"/>
        <v>355.00000000000006</v>
      </c>
      <c r="T37" s="109">
        <f t="shared" si="8"/>
        <v>237.59999999999997</v>
      </c>
      <c r="U37" s="109">
        <f t="shared" si="8"/>
        <v>207</v>
      </c>
      <c r="V37" s="109">
        <f t="shared" si="8"/>
        <v>259.49999999999994</v>
      </c>
      <c r="W37" s="109">
        <f t="shared" si="8"/>
        <v>265.2</v>
      </c>
      <c r="X37" s="109">
        <f t="shared" si="8"/>
        <v>270.50210526315783</v>
      </c>
      <c r="Y37" s="109">
        <f t="shared" si="8"/>
        <v>273.13499999999999</v>
      </c>
    </row>
    <row r="38" spans="1:29">
      <c r="A38" s="35"/>
      <c r="B38" s="35"/>
      <c r="C38" s="35"/>
      <c r="D38" s="35"/>
      <c r="E38" s="32"/>
      <c r="F38" s="32"/>
      <c r="G38" s="32"/>
      <c r="H38" s="32"/>
      <c r="I38" s="32"/>
      <c r="J38" s="32"/>
      <c r="K38" s="32"/>
      <c r="L38" s="32"/>
      <c r="M38" s="32"/>
      <c r="N38" s="32"/>
      <c r="O38" s="32"/>
      <c r="P38" s="32"/>
      <c r="U38" s="309"/>
      <c r="V38" s="309">
        <f>SUM(M37:V37)</f>
        <v>2652</v>
      </c>
    </row>
    <row r="39" spans="1:29">
      <c r="A39" s="35"/>
      <c r="B39" s="35"/>
      <c r="C39" s="35"/>
      <c r="D39" s="35"/>
      <c r="E39" s="32"/>
      <c r="F39" s="32"/>
      <c r="G39" s="32"/>
      <c r="H39" s="32"/>
    </row>
    <row r="40" spans="1:29">
      <c r="A40" s="31"/>
      <c r="B40" s="31"/>
      <c r="C40" s="31"/>
      <c r="D40" s="31"/>
      <c r="E40" s="32"/>
      <c r="F40" s="32"/>
    </row>
  </sheetData>
  <pageMargins left="0.5" right="0.5" top="0.75" bottom="0.75" header="0.5" footer="0.5"/>
  <pageSetup paperSize="5" scale="72" orientation="landscape" r:id="rId1"/>
  <headerFooter alignWithMargins="0">
    <oddFooter>&amp;L&amp;8&amp;D
&amp;Z&amp;F</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BK171"/>
  <sheetViews>
    <sheetView zoomScaleNormal="100" workbookViewId="0">
      <pane xSplit="2" topLeftCell="Y1" activePane="topRight" state="frozen"/>
      <selection activeCell="A4" sqref="A4"/>
      <selection pane="topRight" activeCell="Y21" sqref="Y21"/>
    </sheetView>
  </sheetViews>
  <sheetFormatPr defaultRowHeight="12.75"/>
  <cols>
    <col min="1" max="1" width="2.7109375" style="39" customWidth="1"/>
    <col min="2" max="2" width="15.7109375" style="36" customWidth="1"/>
    <col min="3" max="3" width="14.42578125" style="37" customWidth="1"/>
    <col min="4" max="5" width="14.42578125" style="36" customWidth="1"/>
    <col min="6" max="7" width="14.42578125" style="36" hidden="1" customWidth="1"/>
    <col min="8" max="8" width="15" style="36" customWidth="1"/>
    <col min="9" max="9" width="3.28515625" style="102" customWidth="1"/>
    <col min="10" max="10" width="13.28515625" style="38" customWidth="1"/>
    <col min="11" max="11" width="11.85546875" style="38" customWidth="1"/>
    <col min="12" max="12" width="14.42578125" style="38" customWidth="1"/>
    <col min="13" max="13" width="13" style="38" customWidth="1"/>
    <col min="14" max="16" width="12.7109375" style="38" customWidth="1"/>
    <col min="17" max="17" width="5.7109375" style="621" customWidth="1"/>
    <col min="18" max="18" width="12.42578125" style="38" customWidth="1"/>
    <col min="19" max="22" width="14.42578125" style="38" hidden="1" customWidth="1"/>
    <col min="23" max="25" width="14.42578125" style="38" customWidth="1"/>
    <col min="26" max="26" width="11.5703125" style="39" customWidth="1"/>
    <col min="27" max="27" width="25" style="39" customWidth="1"/>
    <col min="28" max="28" width="25.5703125" style="39" customWidth="1"/>
    <col min="29" max="29" width="18" style="39" bestFit="1" customWidth="1"/>
    <col min="30" max="30" width="14.5703125" style="39" customWidth="1"/>
    <col min="31" max="31" width="13.42578125" style="39" customWidth="1"/>
    <col min="32" max="33" width="14.85546875" style="39" customWidth="1"/>
    <col min="34" max="34" width="12.7109375" style="39" customWidth="1"/>
    <col min="35" max="35" width="12.28515625" style="39" bestFit="1" customWidth="1"/>
    <col min="36" max="36" width="11.85546875" style="39" bestFit="1" customWidth="1"/>
    <col min="37" max="16384" width="9.140625" style="39"/>
  </cols>
  <sheetData>
    <row r="1" spans="2:47">
      <c r="AL1" s="40"/>
      <c r="AM1" s="40"/>
      <c r="AN1" s="40"/>
      <c r="AO1" s="40"/>
      <c r="AP1" s="40"/>
      <c r="AQ1" s="40"/>
      <c r="AR1" s="40"/>
      <c r="AS1" s="40"/>
      <c r="AT1" s="40"/>
    </row>
    <row r="2" spans="2:47" ht="23.25">
      <c r="B2" s="41" t="s">
        <v>103</v>
      </c>
      <c r="C2" s="42"/>
      <c r="D2" s="43"/>
      <c r="E2" s="393" t="s">
        <v>220</v>
      </c>
      <c r="F2" s="43"/>
      <c r="G2" s="43"/>
      <c r="H2" s="43"/>
      <c r="I2" s="302"/>
      <c r="J2" s="44"/>
      <c r="K2" s="44"/>
      <c r="L2" s="44"/>
      <c r="M2" s="44"/>
      <c r="N2" s="44"/>
      <c r="O2" s="44"/>
      <c r="P2" s="44"/>
      <c r="Q2" s="622"/>
      <c r="R2" s="44"/>
      <c r="S2" s="44"/>
      <c r="T2" s="44"/>
      <c r="U2" s="44"/>
      <c r="V2" s="44"/>
      <c r="W2" s="44"/>
      <c r="X2" s="44"/>
      <c r="Y2" s="44"/>
      <c r="AA2" s="46"/>
      <c r="AB2" s="45"/>
      <c r="AC2" s="45"/>
      <c r="AD2" s="45"/>
      <c r="AE2" s="45"/>
      <c r="AF2" s="45"/>
      <c r="AG2" s="45"/>
      <c r="AH2" s="45"/>
      <c r="AI2" s="45"/>
      <c r="AJ2" s="45"/>
      <c r="AK2" s="45"/>
      <c r="AL2" s="40"/>
      <c r="AM2" s="40"/>
      <c r="AN2" s="40"/>
      <c r="AO2" s="40"/>
      <c r="AP2" s="40"/>
      <c r="AQ2" s="40"/>
      <c r="AR2" s="40"/>
      <c r="AS2" s="40"/>
      <c r="AT2" s="40"/>
    </row>
    <row r="3" spans="2:47" ht="15">
      <c r="C3" s="42"/>
      <c r="D3" s="43"/>
      <c r="E3" s="43"/>
      <c r="F3" s="43"/>
      <c r="G3" s="43"/>
      <c r="H3" s="43"/>
      <c r="I3" s="302"/>
      <c r="J3" s="44"/>
      <c r="K3" s="44"/>
      <c r="L3" s="44"/>
      <c r="M3" s="44"/>
      <c r="N3" s="44"/>
      <c r="O3" s="44"/>
      <c r="P3" s="44"/>
      <c r="Q3" s="622"/>
      <c r="R3" s="44"/>
      <c r="S3" s="44"/>
      <c r="T3" s="44"/>
      <c r="U3" s="44"/>
      <c r="V3" s="44"/>
      <c r="W3" s="44"/>
      <c r="X3" s="44"/>
      <c r="Y3" s="44"/>
      <c r="Z3" s="45"/>
      <c r="AA3" s="46"/>
      <c r="AB3" s="46"/>
      <c r="AC3" s="46"/>
      <c r="AD3" s="45"/>
      <c r="AE3" s="45"/>
      <c r="AF3" s="45"/>
      <c r="AG3" s="45"/>
      <c r="AH3" s="45"/>
      <c r="AI3" s="45"/>
      <c r="AJ3" s="45"/>
      <c r="AK3" s="45"/>
      <c r="AL3" s="40"/>
      <c r="AM3" s="40"/>
      <c r="AN3" s="40"/>
      <c r="AO3" s="40"/>
      <c r="AP3" s="40"/>
      <c r="AQ3" s="40"/>
      <c r="AR3" s="40"/>
      <c r="AS3" s="40"/>
      <c r="AT3" s="40"/>
    </row>
    <row r="4" spans="2:47" ht="13.5" customHeight="1">
      <c r="C4" s="47"/>
      <c r="D4" s="41"/>
      <c r="E4" s="41"/>
      <c r="F4" s="41"/>
      <c r="G4" s="41"/>
      <c r="H4" s="43"/>
      <c r="I4" s="302"/>
      <c r="J4" s="44"/>
      <c r="K4" s="44"/>
      <c r="L4" s="44"/>
      <c r="M4" s="44"/>
      <c r="N4" s="44"/>
      <c r="O4" s="44"/>
      <c r="P4" s="44"/>
      <c r="Q4" s="622"/>
      <c r="R4" s="44"/>
      <c r="S4" s="44"/>
      <c r="T4" s="44"/>
      <c r="U4" s="44"/>
      <c r="V4" s="44"/>
      <c r="W4" s="44"/>
      <c r="X4" s="44"/>
      <c r="Y4" s="44"/>
      <c r="Z4" s="45"/>
      <c r="AA4" s="45"/>
      <c r="AB4" s="45"/>
      <c r="AC4" s="45"/>
      <c r="AD4" s="45"/>
      <c r="AE4" s="45"/>
      <c r="AF4" s="45"/>
      <c r="AG4" s="45"/>
      <c r="AH4" s="45"/>
      <c r="AI4" s="45"/>
      <c r="AJ4" s="45"/>
      <c r="AK4" s="45"/>
      <c r="AL4" s="40"/>
      <c r="AM4" s="40"/>
      <c r="AN4" s="40"/>
      <c r="AO4" s="40"/>
      <c r="AP4" s="40"/>
      <c r="AQ4" s="40"/>
      <c r="AR4" s="40"/>
      <c r="AS4" s="40"/>
      <c r="AT4" s="40"/>
    </row>
    <row r="5" spans="2:47" s="49" customFormat="1" ht="21" customHeight="1">
      <c r="B5" s="50"/>
      <c r="C5" s="394" t="s">
        <v>219</v>
      </c>
      <c r="D5" s="394" t="s">
        <v>114</v>
      </c>
      <c r="E5" s="394" t="s">
        <v>104</v>
      </c>
      <c r="F5" s="51" t="s">
        <v>105</v>
      </c>
      <c r="G5" s="52" t="s">
        <v>105</v>
      </c>
      <c r="H5" s="53" t="s">
        <v>210</v>
      </c>
      <c r="I5" s="303"/>
      <c r="J5" s="394" t="s">
        <v>106</v>
      </c>
      <c r="K5" s="394" t="s">
        <v>107</v>
      </c>
      <c r="L5" s="394" t="s">
        <v>3</v>
      </c>
      <c r="M5" s="394" t="s">
        <v>108</v>
      </c>
      <c r="N5" s="394" t="s">
        <v>109</v>
      </c>
      <c r="O5" s="634"/>
      <c r="P5" s="624"/>
      <c r="Q5" s="625"/>
      <c r="R5" s="626" t="s">
        <v>78</v>
      </c>
      <c r="S5" s="55"/>
      <c r="T5" s="627"/>
      <c r="U5" s="627"/>
      <c r="V5" s="55"/>
      <c r="W5" s="394" t="s">
        <v>261</v>
      </c>
      <c r="X5" s="394" t="s">
        <v>262</v>
      </c>
      <c r="Y5" s="628"/>
      <c r="Z5" s="640" t="s">
        <v>263</v>
      </c>
      <c r="AA5" t="s">
        <v>14</v>
      </c>
      <c r="AB5"/>
      <c r="AC5"/>
      <c r="AD5"/>
      <c r="AE5"/>
      <c r="AF5"/>
      <c r="AG5"/>
      <c r="AH5"/>
      <c r="AI5"/>
      <c r="AJ5" s="56"/>
      <c r="AK5" s="48"/>
      <c r="AL5" s="40"/>
      <c r="AM5" s="40"/>
      <c r="AN5" s="40"/>
      <c r="AO5" s="40"/>
      <c r="AP5" s="40"/>
      <c r="AQ5" s="40"/>
      <c r="AR5" s="40"/>
      <c r="AS5" s="40"/>
      <c r="AT5" s="40"/>
      <c r="AU5" s="39"/>
    </row>
    <row r="6" spans="2:47" ht="13.5" thickBot="1">
      <c r="B6" s="308">
        <v>38353</v>
      </c>
      <c r="C6" s="58">
        <f>[16]Sheet1!G5</f>
        <v>14043460</v>
      </c>
      <c r="D6" s="65">
        <f>[16]Sheet1!F5</f>
        <v>-444000</v>
      </c>
      <c r="E6" s="59"/>
      <c r="F6" s="59"/>
      <c r="G6" s="60"/>
      <c r="H6" s="61">
        <f t="shared" ref="H6:H37" si="0">SUM(C6:G6)</f>
        <v>13599460</v>
      </c>
      <c r="I6" s="304"/>
      <c r="J6" s="169">
        <f>'HDD &amp; CDD'!L6</f>
        <v>920.6999999999997</v>
      </c>
      <c r="K6" s="169">
        <f>'HDD &amp; CDD'!L24</f>
        <v>0</v>
      </c>
      <c r="L6" s="397">
        <f>DAY(EOMONTH(B6,0))</f>
        <v>31</v>
      </c>
      <c r="M6" s="169">
        <v>0</v>
      </c>
      <c r="N6" s="397">
        <f>[17]Sheet1!C4</f>
        <v>1</v>
      </c>
      <c r="O6" s="633"/>
      <c r="P6" s="620"/>
      <c r="Q6" s="629"/>
      <c r="R6" s="116">
        <v>0</v>
      </c>
      <c r="S6" s="62"/>
      <c r="T6" s="62"/>
      <c r="U6" s="62"/>
      <c r="V6" s="630"/>
      <c r="W6" s="631">
        <f>[22]GDP!D29</f>
        <v>100.23851279739272</v>
      </c>
      <c r="X6" s="635">
        <f>'[22]Customer Count'!L25</f>
        <v>5705.666666666667</v>
      </c>
      <c r="Y6" s="636"/>
      <c r="Z6" s="310"/>
      <c r="AA6"/>
      <c r="AB6"/>
      <c r="AC6"/>
      <c r="AD6"/>
      <c r="AE6"/>
      <c r="AF6"/>
      <c r="AG6"/>
      <c r="AH6"/>
      <c r="AI6"/>
      <c r="AJ6" s="64"/>
      <c r="AK6" s="45"/>
      <c r="AL6" s="40"/>
      <c r="AM6" s="40"/>
      <c r="AN6" s="40"/>
      <c r="AO6" s="40"/>
      <c r="AP6" s="40"/>
      <c r="AQ6" s="40"/>
      <c r="AR6" s="40"/>
      <c r="AS6" s="40"/>
      <c r="AT6" s="40"/>
    </row>
    <row r="7" spans="2:47">
      <c r="B7" s="57">
        <f>EOMONTH(B6,1)</f>
        <v>38411</v>
      </c>
      <c r="C7" s="65">
        <f>[16]Sheet1!G6</f>
        <v>12095730</v>
      </c>
      <c r="D7" s="65">
        <f>[16]Sheet1!F6</f>
        <v>-498000</v>
      </c>
      <c r="E7" s="59"/>
      <c r="F7" s="66"/>
      <c r="G7" s="66"/>
      <c r="H7" s="67">
        <f t="shared" si="0"/>
        <v>11597730</v>
      </c>
      <c r="I7" s="304"/>
      <c r="J7" s="169">
        <f>'HDD &amp; CDD'!L7</f>
        <v>700.60000000000014</v>
      </c>
      <c r="K7" s="169">
        <f>'HDD &amp; CDD'!L25</f>
        <v>0</v>
      </c>
      <c r="L7" s="397">
        <f t="shared" ref="L7:L70" si="1">DAY(EOMONTH(B7,0))</f>
        <v>28</v>
      </c>
      <c r="M7" s="169">
        <v>0</v>
      </c>
      <c r="N7" s="397">
        <f>[17]Sheet1!C5</f>
        <v>0</v>
      </c>
      <c r="O7" s="633"/>
      <c r="P7" s="620"/>
      <c r="Q7" s="629"/>
      <c r="R7" s="116">
        <v>0</v>
      </c>
      <c r="S7" s="62"/>
      <c r="T7" s="62"/>
      <c r="U7" s="62"/>
      <c r="V7" s="630"/>
      <c r="W7" s="631">
        <f>[22]GDP!D30</f>
        <v>100.47759447833063</v>
      </c>
      <c r="X7" s="635">
        <f>'[22]Customer Count'!L26</f>
        <v>5711.3333333333339</v>
      </c>
      <c r="Y7" s="636"/>
      <c r="Z7" s="310"/>
      <c r="AA7" s="19" t="s">
        <v>15</v>
      </c>
      <c r="AB7" s="19"/>
      <c r="AC7"/>
      <c r="AD7"/>
      <c r="AE7"/>
      <c r="AF7"/>
      <c r="AG7"/>
      <c r="AH7"/>
      <c r="AI7"/>
      <c r="AJ7" s="64"/>
      <c r="AK7" s="45"/>
      <c r="AL7" s="40"/>
      <c r="AM7" s="40"/>
      <c r="AN7" s="40"/>
      <c r="AO7" s="40"/>
      <c r="AP7" s="40"/>
      <c r="AQ7" s="40"/>
      <c r="AR7" s="40"/>
      <c r="AS7" s="40"/>
      <c r="AT7" s="40"/>
    </row>
    <row r="8" spans="2:47">
      <c r="B8" s="57">
        <f t="shared" ref="B8:B71" si="2">EOMONTH(B7,1)</f>
        <v>38442</v>
      </c>
      <c r="C8" s="65">
        <f>[16]Sheet1!G7</f>
        <v>12289830</v>
      </c>
      <c r="D8" s="65">
        <f>[16]Sheet1!F7</f>
        <v>-484000</v>
      </c>
      <c r="E8" s="59"/>
      <c r="F8" s="68"/>
      <c r="G8" s="69"/>
      <c r="H8" s="67">
        <f t="shared" si="0"/>
        <v>11805830</v>
      </c>
      <c r="I8" s="304"/>
      <c r="J8" s="169">
        <f>'HDD &amp; CDD'!L8</f>
        <v>668.8</v>
      </c>
      <c r="K8" s="169">
        <f>'HDD &amp; CDD'!L26</f>
        <v>0</v>
      </c>
      <c r="L8" s="397">
        <f t="shared" si="1"/>
        <v>31</v>
      </c>
      <c r="M8" s="169">
        <v>1</v>
      </c>
      <c r="N8" s="397">
        <f>[17]Sheet1!C6</f>
        <v>2</v>
      </c>
      <c r="O8" s="633"/>
      <c r="P8" s="620"/>
      <c r="Q8" s="629"/>
      <c r="R8" s="116">
        <v>0</v>
      </c>
      <c r="S8" s="62"/>
      <c r="T8" s="62"/>
      <c r="U8" s="62"/>
      <c r="V8" s="630"/>
      <c r="W8" s="631">
        <f>[22]GDP!D31</f>
        <v>100.7172463996738</v>
      </c>
      <c r="X8" s="635">
        <f>'[22]Customer Count'!L27</f>
        <v>5717.0000000000009</v>
      </c>
      <c r="Y8" s="636"/>
      <c r="Z8" s="310"/>
      <c r="AA8" s="16" t="s">
        <v>16</v>
      </c>
      <c r="AB8" s="16">
        <v>0.97502373573057544</v>
      </c>
      <c r="AC8"/>
      <c r="AD8"/>
      <c r="AE8"/>
      <c r="AF8"/>
      <c r="AG8"/>
      <c r="AH8"/>
      <c r="AI8"/>
      <c r="AJ8" s="64"/>
      <c r="AK8" s="45"/>
      <c r="AL8" s="40"/>
      <c r="AM8" s="40"/>
      <c r="AN8" s="40"/>
      <c r="AO8" s="40"/>
      <c r="AP8" s="40"/>
      <c r="AQ8" s="40"/>
      <c r="AR8" s="40"/>
      <c r="AS8" s="40"/>
      <c r="AT8" s="40"/>
    </row>
    <row r="9" spans="2:47">
      <c r="B9" s="57">
        <f t="shared" si="2"/>
        <v>38472</v>
      </c>
      <c r="C9" s="65">
        <f>[16]Sheet1!G8</f>
        <v>10028980</v>
      </c>
      <c r="D9" s="65">
        <f>[16]Sheet1!F8</f>
        <v>-330000</v>
      </c>
      <c r="E9" s="59"/>
      <c r="F9" s="68"/>
      <c r="G9" s="69"/>
      <c r="H9" s="67">
        <f t="shared" si="0"/>
        <v>9698980</v>
      </c>
      <c r="I9" s="304"/>
      <c r="J9" s="169">
        <f>'HDD &amp; CDD'!L9</f>
        <v>324.8</v>
      </c>
      <c r="K9" s="169">
        <f>'HDD &amp; CDD'!L27</f>
        <v>0</v>
      </c>
      <c r="L9" s="397">
        <f t="shared" si="1"/>
        <v>30</v>
      </c>
      <c r="M9" s="169">
        <v>1</v>
      </c>
      <c r="N9" s="397">
        <f>[17]Sheet1!C7</f>
        <v>0</v>
      </c>
      <c r="O9" s="633"/>
      <c r="P9" s="620"/>
      <c r="Q9" s="629"/>
      <c r="R9" s="116">
        <v>0</v>
      </c>
      <c r="S9" s="62"/>
      <c r="T9" s="62"/>
      <c r="U9" s="62"/>
      <c r="V9" s="630"/>
      <c r="W9" s="631">
        <f>[22]GDP!D32</f>
        <v>100.95746992151857</v>
      </c>
      <c r="X9" s="635">
        <f>'[22]Customer Count'!L28</f>
        <v>5722.6666666666679</v>
      </c>
      <c r="Y9" s="636"/>
      <c r="Z9" s="310"/>
      <c r="AA9" s="16" t="s">
        <v>17</v>
      </c>
      <c r="AB9" s="16">
        <v>0.95067128523800704</v>
      </c>
      <c r="AC9"/>
      <c r="AD9"/>
      <c r="AE9"/>
      <c r="AF9"/>
      <c r="AG9"/>
      <c r="AH9"/>
      <c r="AI9"/>
      <c r="AJ9" s="64"/>
      <c r="AK9" s="45"/>
      <c r="AL9" s="40"/>
      <c r="AM9" s="40"/>
      <c r="AN9" s="40"/>
      <c r="AO9" s="40"/>
      <c r="AP9" s="40"/>
      <c r="AQ9" s="40"/>
      <c r="AR9" s="40"/>
      <c r="AS9" s="40"/>
      <c r="AT9" s="40"/>
    </row>
    <row r="10" spans="2:47">
      <c r="B10" s="57">
        <f t="shared" si="2"/>
        <v>38503</v>
      </c>
      <c r="C10" s="65">
        <f>[16]Sheet1!G9</f>
        <v>9635640</v>
      </c>
      <c r="D10" s="65">
        <f>[16]Sheet1!F9</f>
        <v>-432000</v>
      </c>
      <c r="E10" s="59"/>
      <c r="F10" s="68"/>
      <c r="G10" s="69"/>
      <c r="H10" s="67">
        <f t="shared" si="0"/>
        <v>9203640</v>
      </c>
      <c r="I10" s="304"/>
      <c r="J10" s="169">
        <f>'HDD &amp; CDD'!L10</f>
        <v>205</v>
      </c>
      <c r="K10" s="169">
        <f>'HDD &amp; CDD'!L28</f>
        <v>1.9</v>
      </c>
      <c r="L10" s="397">
        <f t="shared" si="1"/>
        <v>31</v>
      </c>
      <c r="M10" s="169">
        <v>1</v>
      </c>
      <c r="N10" s="397">
        <f>[17]Sheet1!C8</f>
        <v>1</v>
      </c>
      <c r="O10" s="633"/>
      <c r="P10" s="620"/>
      <c r="Q10" s="629"/>
      <c r="R10" s="116">
        <v>0</v>
      </c>
      <c r="S10" s="62"/>
      <c r="T10" s="62"/>
      <c r="U10" s="62"/>
      <c r="V10" s="630"/>
      <c r="W10" s="631">
        <f>[22]GDP!D33</f>
        <v>101.19826640720528</v>
      </c>
      <c r="X10" s="635">
        <f>'[22]Customer Count'!L29</f>
        <v>5728.3333333333348</v>
      </c>
      <c r="Y10" s="636"/>
      <c r="Z10" s="310"/>
      <c r="AA10" s="16" t="s">
        <v>18</v>
      </c>
      <c r="AB10" s="16">
        <v>0.94805206144533483</v>
      </c>
      <c r="AC10"/>
      <c r="AD10"/>
      <c r="AE10"/>
      <c r="AF10"/>
      <c r="AG10"/>
      <c r="AH10"/>
      <c r="AI10"/>
      <c r="AJ10" s="64"/>
      <c r="AK10" s="45"/>
      <c r="AL10" s="40"/>
      <c r="AM10" s="40"/>
      <c r="AN10" s="40"/>
      <c r="AO10" s="40"/>
      <c r="AP10" s="40"/>
      <c r="AQ10" s="40"/>
      <c r="AR10" s="40"/>
      <c r="AS10" s="40"/>
      <c r="AT10" s="40"/>
    </row>
    <row r="11" spans="2:47">
      <c r="B11" s="57">
        <f t="shared" si="2"/>
        <v>38533</v>
      </c>
      <c r="C11" s="65">
        <f>[16]Sheet1!G10</f>
        <v>10690860</v>
      </c>
      <c r="D11" s="65">
        <f>[16]Sheet1!F10</f>
        <v>-500000</v>
      </c>
      <c r="E11" s="59"/>
      <c r="F11" s="68"/>
      <c r="G11" s="69"/>
      <c r="H11" s="67">
        <f t="shared" si="0"/>
        <v>10190860</v>
      </c>
      <c r="I11" s="304"/>
      <c r="J11" s="169">
        <f>'HDD &amp; CDD'!L11</f>
        <v>16.099999999999998</v>
      </c>
      <c r="K11" s="169">
        <f>'HDD &amp; CDD'!L29</f>
        <v>111.6</v>
      </c>
      <c r="L11" s="397">
        <f t="shared" si="1"/>
        <v>30</v>
      </c>
      <c r="M11" s="169">
        <v>0</v>
      </c>
      <c r="N11" s="397">
        <f>[17]Sheet1!C9</f>
        <v>0</v>
      </c>
      <c r="O11" s="633"/>
      <c r="P11" s="620"/>
      <c r="Q11" s="629"/>
      <c r="R11" s="116">
        <v>0</v>
      </c>
      <c r="S11" s="62"/>
      <c r="T11" s="62"/>
      <c r="U11" s="62"/>
      <c r="V11" s="630"/>
      <c r="W11" s="631">
        <f>[22]GDP!D34</f>
        <v>101.43963722332603</v>
      </c>
      <c r="X11" s="635">
        <f>'[22]Customer Count'!L30</f>
        <v>5734.0000000000018</v>
      </c>
      <c r="Y11" s="636"/>
      <c r="Z11" s="310"/>
      <c r="AA11" s="16" t="s">
        <v>19</v>
      </c>
      <c r="AB11" s="16">
        <v>290075.02354577521</v>
      </c>
      <c r="AC11"/>
      <c r="AD11"/>
      <c r="AE11"/>
      <c r="AF11"/>
      <c r="AG11"/>
      <c r="AH11"/>
      <c r="AI11"/>
      <c r="AJ11" s="64"/>
      <c r="AK11" s="45"/>
      <c r="AL11" s="40"/>
      <c r="AM11" s="40"/>
      <c r="AN11" s="40"/>
      <c r="AO11" s="40"/>
      <c r="AP11" s="40"/>
      <c r="AQ11" s="40"/>
      <c r="AR11" s="40"/>
      <c r="AS11" s="40"/>
      <c r="AT11" s="40"/>
    </row>
    <row r="12" spans="2:47" ht="13.5" thickBot="1">
      <c r="B12" s="57">
        <f t="shared" si="2"/>
        <v>38564</v>
      </c>
      <c r="C12" s="65">
        <f>[16]Sheet1!G11</f>
        <v>11192530</v>
      </c>
      <c r="D12" s="65">
        <f>[16]Sheet1!F11</f>
        <v>-676000</v>
      </c>
      <c r="E12" s="59"/>
      <c r="F12" s="68"/>
      <c r="G12" s="69"/>
      <c r="H12" s="67">
        <f t="shared" si="0"/>
        <v>10516530</v>
      </c>
      <c r="I12" s="304"/>
      <c r="J12" s="169">
        <f>'HDD &amp; CDD'!L12</f>
        <v>2.9000000000000004</v>
      </c>
      <c r="K12" s="169">
        <f>'HDD &amp; CDD'!L30</f>
        <v>128.6</v>
      </c>
      <c r="L12" s="397">
        <f t="shared" si="1"/>
        <v>31</v>
      </c>
      <c r="M12" s="169">
        <v>0</v>
      </c>
      <c r="N12" s="397">
        <f>[17]Sheet1!C10</f>
        <v>1</v>
      </c>
      <c r="O12" s="633"/>
      <c r="P12" s="620"/>
      <c r="Q12" s="629"/>
      <c r="R12" s="116">
        <v>0</v>
      </c>
      <c r="S12" s="62"/>
      <c r="T12" s="62"/>
      <c r="U12" s="62"/>
      <c r="V12" s="630"/>
      <c r="W12" s="631">
        <f>[22]GDP!D35</f>
        <v>101.6815837397324</v>
      </c>
      <c r="X12" s="635">
        <f>'[22]Customer Count'!L31</f>
        <v>5739.6666666666688</v>
      </c>
      <c r="Y12" s="636"/>
      <c r="Z12" s="310"/>
      <c r="AA12" s="17" t="s">
        <v>20</v>
      </c>
      <c r="AB12" s="17">
        <v>120</v>
      </c>
      <c r="AC12"/>
      <c r="AD12"/>
      <c r="AE12"/>
      <c r="AF12"/>
      <c r="AG12"/>
      <c r="AH12"/>
      <c r="AI12"/>
      <c r="AJ12" s="64"/>
      <c r="AK12" s="45"/>
      <c r="AL12" s="40"/>
      <c r="AM12" s="40"/>
      <c r="AN12" s="40"/>
      <c r="AO12" s="40"/>
      <c r="AP12" s="40"/>
      <c r="AQ12" s="40"/>
      <c r="AR12" s="40"/>
      <c r="AS12" s="40"/>
      <c r="AT12" s="40"/>
    </row>
    <row r="13" spans="2:47">
      <c r="B13" s="57">
        <f t="shared" si="2"/>
        <v>38595</v>
      </c>
      <c r="C13" s="65">
        <f>[16]Sheet1!G12</f>
        <v>11098410</v>
      </c>
      <c r="D13" s="65">
        <f>[16]Sheet1!F12</f>
        <v>-600000</v>
      </c>
      <c r="E13" s="59"/>
      <c r="F13" s="68"/>
      <c r="G13" s="69"/>
      <c r="H13" s="67">
        <f t="shared" si="0"/>
        <v>10498410</v>
      </c>
      <c r="I13" s="304"/>
      <c r="J13" s="169">
        <f>'HDD &amp; CDD'!L13</f>
        <v>8.3999999999999986</v>
      </c>
      <c r="K13" s="169">
        <f>'HDD &amp; CDD'!L31</f>
        <v>115.39999999999999</v>
      </c>
      <c r="L13" s="397">
        <f t="shared" si="1"/>
        <v>31</v>
      </c>
      <c r="M13" s="169">
        <v>0</v>
      </c>
      <c r="N13" s="397">
        <f>[17]Sheet1!C11</f>
        <v>1</v>
      </c>
      <c r="O13" s="633"/>
      <c r="P13" s="620"/>
      <c r="Q13" s="629"/>
      <c r="R13" s="116">
        <v>0</v>
      </c>
      <c r="S13" s="62"/>
      <c r="T13" s="62"/>
      <c r="U13" s="62"/>
      <c r="V13" s="630"/>
      <c r="W13" s="631">
        <f>[22]GDP!D36</f>
        <v>101.92410732954325</v>
      </c>
      <c r="X13" s="635">
        <f>'[22]Customer Count'!L32</f>
        <v>5745.3333333333358</v>
      </c>
      <c r="Y13" s="636"/>
      <c r="Z13" s="310"/>
      <c r="AA13"/>
      <c r="AB13"/>
      <c r="AC13"/>
      <c r="AD13"/>
      <c r="AE13"/>
      <c r="AF13"/>
      <c r="AG13"/>
      <c r="AH13"/>
      <c r="AI13"/>
      <c r="AJ13" s="64"/>
      <c r="AK13" s="45"/>
      <c r="AL13" s="40"/>
      <c r="AM13" s="40"/>
      <c r="AN13" s="40"/>
      <c r="AO13" s="40"/>
      <c r="AP13" s="40"/>
      <c r="AQ13" s="40"/>
      <c r="AR13" s="40"/>
      <c r="AS13" s="40"/>
      <c r="AT13" s="40"/>
    </row>
    <row r="14" spans="2:47" ht="13.5" thickBot="1">
      <c r="B14" s="57">
        <f t="shared" si="2"/>
        <v>38625</v>
      </c>
      <c r="C14" s="65">
        <f>[16]Sheet1!G13</f>
        <v>9976880</v>
      </c>
      <c r="D14" s="65">
        <f>[16]Sheet1!F13</f>
        <v>-472000</v>
      </c>
      <c r="E14" s="59"/>
      <c r="F14" s="68"/>
      <c r="G14" s="69"/>
      <c r="H14" s="67">
        <f t="shared" si="0"/>
        <v>9504880</v>
      </c>
      <c r="I14" s="304"/>
      <c r="J14" s="169">
        <f>'HDD &amp; CDD'!L14</f>
        <v>59.2</v>
      </c>
      <c r="K14" s="169">
        <f>'HDD &amp; CDD'!L32</f>
        <v>33.099999999999994</v>
      </c>
      <c r="L14" s="397">
        <f t="shared" si="1"/>
        <v>30</v>
      </c>
      <c r="M14" s="169">
        <v>1</v>
      </c>
      <c r="N14" s="397">
        <f>[17]Sheet1!C12</f>
        <v>1</v>
      </c>
      <c r="O14" s="633"/>
      <c r="P14" s="620"/>
      <c r="Q14" s="629"/>
      <c r="R14" s="116">
        <v>0</v>
      </c>
      <c r="S14" s="62"/>
      <c r="T14" s="62"/>
      <c r="U14" s="62"/>
      <c r="V14" s="630"/>
      <c r="W14" s="631">
        <f>[22]GDP!D37</f>
        <v>102.16720936915249</v>
      </c>
      <c r="X14" s="635">
        <f>'[22]Customer Count'!L33</f>
        <v>5751.0000000000027</v>
      </c>
      <c r="Y14" s="636"/>
      <c r="Z14" s="310"/>
      <c r="AA14" t="s">
        <v>21</v>
      </c>
      <c r="AB14"/>
      <c r="AC14"/>
      <c r="AD14"/>
      <c r="AE14"/>
      <c r="AF14"/>
      <c r="AG14"/>
      <c r="AH14"/>
      <c r="AI14"/>
      <c r="AJ14" s="64"/>
      <c r="AK14" s="45"/>
      <c r="AL14" s="45"/>
      <c r="AM14" s="45"/>
      <c r="AN14" s="45"/>
      <c r="AO14" s="45"/>
      <c r="AP14" s="45"/>
      <c r="AQ14" s="45"/>
      <c r="AR14" s="45"/>
      <c r="AS14" s="45"/>
    </row>
    <row r="15" spans="2:47">
      <c r="B15" s="57">
        <f t="shared" si="2"/>
        <v>38656</v>
      </c>
      <c r="C15" s="65">
        <f>[16]Sheet1!G14</f>
        <v>10338960</v>
      </c>
      <c r="D15" s="65">
        <f>[16]Sheet1!F14</f>
        <v>-416000</v>
      </c>
      <c r="E15" s="59"/>
      <c r="F15" s="68"/>
      <c r="G15" s="69"/>
      <c r="H15" s="67">
        <f t="shared" si="0"/>
        <v>9922960</v>
      </c>
      <c r="I15" s="304"/>
      <c r="J15" s="169">
        <f>'HDD &amp; CDD'!L15</f>
        <v>269.70000000000005</v>
      </c>
      <c r="K15" s="169">
        <f>'HDD &amp; CDD'!L33</f>
        <v>6.4</v>
      </c>
      <c r="L15" s="397">
        <f t="shared" si="1"/>
        <v>31</v>
      </c>
      <c r="M15" s="169">
        <v>1</v>
      </c>
      <c r="N15" s="397">
        <f>[17]Sheet1!C13</f>
        <v>1</v>
      </c>
      <c r="O15" s="633"/>
      <c r="P15" s="620"/>
      <c r="Q15" s="629"/>
      <c r="R15" s="116">
        <v>0</v>
      </c>
      <c r="S15" s="62"/>
      <c r="T15" s="62"/>
      <c r="U15" s="62"/>
      <c r="V15" s="630"/>
      <c r="W15" s="631">
        <f>[22]GDP!D38</f>
        <v>102.41089123823691</v>
      </c>
      <c r="X15" s="635">
        <f>'[22]Customer Count'!L34</f>
        <v>5756.6666666666697</v>
      </c>
      <c r="Y15" s="636"/>
      <c r="Z15" s="310"/>
      <c r="AA15" s="18"/>
      <c r="AB15" s="18" t="s">
        <v>25</v>
      </c>
      <c r="AC15" s="18" t="s">
        <v>26</v>
      </c>
      <c r="AD15" s="18" t="s">
        <v>27</v>
      </c>
      <c r="AE15" s="18" t="s">
        <v>28</v>
      </c>
      <c r="AF15" s="18" t="s">
        <v>29</v>
      </c>
      <c r="AG15"/>
      <c r="AH15"/>
      <c r="AI15"/>
      <c r="AJ15" s="64"/>
      <c r="AK15" s="45"/>
      <c r="AL15" s="45"/>
      <c r="AM15" s="45"/>
      <c r="AN15" s="45"/>
      <c r="AO15" s="45"/>
      <c r="AP15" s="45"/>
      <c r="AQ15" s="45"/>
      <c r="AR15" s="45"/>
      <c r="AS15" s="45"/>
    </row>
    <row r="16" spans="2:47">
      <c r="B16" s="57">
        <f t="shared" si="2"/>
        <v>38686</v>
      </c>
      <c r="C16" s="65">
        <f>[16]Sheet1!G15</f>
        <v>11286470</v>
      </c>
      <c r="D16" s="65">
        <f>[16]Sheet1!F15</f>
        <v>-634000</v>
      </c>
      <c r="E16" s="59"/>
      <c r="F16" s="68"/>
      <c r="G16" s="69"/>
      <c r="H16" s="67">
        <f t="shared" si="0"/>
        <v>10652470</v>
      </c>
      <c r="I16" s="304"/>
      <c r="J16" s="169">
        <f>'HDD &amp; CDD'!L16</f>
        <v>484.2</v>
      </c>
      <c r="K16" s="169">
        <f>'HDD &amp; CDD'!L34</f>
        <v>0</v>
      </c>
      <c r="L16" s="397">
        <f t="shared" si="1"/>
        <v>30</v>
      </c>
      <c r="M16" s="169">
        <v>1</v>
      </c>
      <c r="N16" s="397">
        <f>[17]Sheet1!C14</f>
        <v>0</v>
      </c>
      <c r="O16" s="633"/>
      <c r="P16" s="620"/>
      <c r="Q16" s="629"/>
      <c r="R16" s="116">
        <v>0</v>
      </c>
      <c r="S16" s="62"/>
      <c r="T16" s="62"/>
      <c r="U16" s="62"/>
      <c r="V16" s="630"/>
      <c r="W16" s="631">
        <f>[22]GDP!D39</f>
        <v>102.65515431976404</v>
      </c>
      <c r="X16" s="635">
        <f>'[22]Customer Count'!L35</f>
        <v>5762.3333333333367</v>
      </c>
      <c r="Y16" s="636"/>
      <c r="Z16" s="310"/>
      <c r="AA16" s="16" t="s">
        <v>22</v>
      </c>
      <c r="AB16" s="16">
        <v>6</v>
      </c>
      <c r="AC16" s="16">
        <v>183243969866937.37</v>
      </c>
      <c r="AD16" s="16">
        <v>30540661644489.562</v>
      </c>
      <c r="AE16" s="16">
        <v>362.95916671866814</v>
      </c>
      <c r="AF16" s="16">
        <v>2.2017955470778606E-71</v>
      </c>
      <c r="AG16"/>
      <c r="AH16"/>
      <c r="AI16"/>
      <c r="AJ16" s="64"/>
      <c r="AK16" s="45"/>
      <c r="AL16" s="45"/>
      <c r="AM16" s="45"/>
      <c r="AN16" s="45"/>
      <c r="AO16" s="45"/>
      <c r="AP16" s="45"/>
      <c r="AQ16" s="45"/>
      <c r="AR16" s="45"/>
      <c r="AS16" s="45"/>
    </row>
    <row r="17" spans="2:45">
      <c r="B17" s="172">
        <f t="shared" si="2"/>
        <v>38717</v>
      </c>
      <c r="C17" s="70">
        <f>[16]Sheet1!G16</f>
        <v>12985440</v>
      </c>
      <c r="D17" s="81">
        <f>[16]Sheet1!F16</f>
        <v>-608000</v>
      </c>
      <c r="E17" s="72"/>
      <c r="F17" s="71"/>
      <c r="G17" s="73"/>
      <c r="H17" s="74">
        <f t="shared" si="0"/>
        <v>12377440</v>
      </c>
      <c r="I17" s="305"/>
      <c r="J17" s="118">
        <f>'HDD &amp; CDD'!L17</f>
        <v>761.99999999999989</v>
      </c>
      <c r="K17" s="118">
        <f>'HDD &amp; CDD'!L35</f>
        <v>0</v>
      </c>
      <c r="L17" s="398">
        <f t="shared" si="1"/>
        <v>31</v>
      </c>
      <c r="M17" s="118">
        <v>0</v>
      </c>
      <c r="N17" s="398">
        <f>[17]Sheet1!C15</f>
        <v>2</v>
      </c>
      <c r="O17" s="633"/>
      <c r="P17" s="620"/>
      <c r="Q17" s="629"/>
      <c r="R17" s="116">
        <v>0</v>
      </c>
      <c r="S17" s="62"/>
      <c r="T17" s="62"/>
      <c r="U17" s="62"/>
      <c r="V17" s="630"/>
      <c r="W17" s="631">
        <f>[22]GDP!D40</f>
        <v>102.89999999999991</v>
      </c>
      <c r="X17" s="635">
        <f>'[22]Customer Count'!L36</f>
        <v>5768</v>
      </c>
      <c r="Y17" s="636"/>
      <c r="Z17" s="310"/>
      <c r="AA17" s="16" t="s">
        <v>23</v>
      </c>
      <c r="AB17" s="16">
        <v>113</v>
      </c>
      <c r="AC17" s="16">
        <v>9508217679214.2715</v>
      </c>
      <c r="AD17" s="16">
        <v>84143519285.082047</v>
      </c>
      <c r="AE17" s="16"/>
      <c r="AF17" s="16"/>
      <c r="AG17"/>
      <c r="AH17"/>
      <c r="AI17"/>
      <c r="AJ17" s="64"/>
      <c r="AK17" s="45"/>
      <c r="AL17" s="45"/>
      <c r="AM17" s="45"/>
      <c r="AN17" s="45"/>
      <c r="AO17" s="45"/>
      <c r="AP17" s="45"/>
      <c r="AQ17" s="45"/>
      <c r="AR17" s="45"/>
      <c r="AS17" s="45"/>
    </row>
    <row r="18" spans="2:45" ht="13.5" thickBot="1">
      <c r="B18" s="57">
        <f t="shared" si="2"/>
        <v>38748</v>
      </c>
      <c r="C18" s="65">
        <f>[16]Sheet1!G17</f>
        <v>12900470</v>
      </c>
      <c r="D18" s="65">
        <f>[16]Sheet1!F17</f>
        <v>-392000</v>
      </c>
      <c r="E18" s="59"/>
      <c r="F18" s="68"/>
      <c r="G18" s="69"/>
      <c r="H18" s="67">
        <f t="shared" si="0"/>
        <v>12508470</v>
      </c>
      <c r="I18" s="304"/>
      <c r="J18" s="169">
        <f>'HDD &amp; CDD'!M6</f>
        <v>733.50000000000023</v>
      </c>
      <c r="K18" s="169">
        <f>'HDD &amp; CDD'!M24</f>
        <v>0</v>
      </c>
      <c r="L18" s="397">
        <f t="shared" si="1"/>
        <v>31</v>
      </c>
      <c r="M18" s="169">
        <v>0</v>
      </c>
      <c r="N18" s="397">
        <f>[17]Sheet1!C16</f>
        <v>1</v>
      </c>
      <c r="O18" s="633"/>
      <c r="P18" s="620"/>
      <c r="Q18" s="629"/>
      <c r="R18" s="632">
        <f>'CDM Activity'!C64</f>
        <v>2663.7993261078232</v>
      </c>
      <c r="S18" s="62"/>
      <c r="T18" s="62"/>
      <c r="U18" s="62"/>
      <c r="V18" s="630"/>
      <c r="W18" s="631">
        <f>[22]GDP!D41</f>
        <v>103.10357031534689</v>
      </c>
      <c r="X18" s="635">
        <f>'[22]Customer Count'!L37</f>
        <v>5770.5</v>
      </c>
      <c r="Y18" s="636"/>
      <c r="Z18" s="310"/>
      <c r="AA18" s="17" t="s">
        <v>5</v>
      </c>
      <c r="AB18" s="17">
        <v>119</v>
      </c>
      <c r="AC18" s="17">
        <v>192752187546151.66</v>
      </c>
      <c r="AD18" s="17"/>
      <c r="AE18" s="17"/>
      <c r="AF18" s="17"/>
      <c r="AG18"/>
      <c r="AH18"/>
      <c r="AI18"/>
      <c r="AJ18" s="64"/>
      <c r="AK18" s="45"/>
      <c r="AL18" s="45"/>
      <c r="AM18" s="45"/>
      <c r="AN18" s="45"/>
      <c r="AO18" s="45"/>
      <c r="AP18" s="45"/>
      <c r="AQ18" s="45"/>
      <c r="AR18" s="45"/>
      <c r="AS18" s="45"/>
    </row>
    <row r="19" spans="2:45" ht="13.5" thickBot="1">
      <c r="B19" s="57">
        <f t="shared" si="2"/>
        <v>38776</v>
      </c>
      <c r="C19" s="65">
        <v>11727560</v>
      </c>
      <c r="D19" s="68"/>
      <c r="E19" s="68"/>
      <c r="F19" s="68"/>
      <c r="G19" s="69"/>
      <c r="H19" s="67">
        <f t="shared" si="0"/>
        <v>11727560</v>
      </c>
      <c r="I19" s="304"/>
      <c r="J19" s="169">
        <f>'HDD &amp; CDD'!M7</f>
        <v>720.9</v>
      </c>
      <c r="K19" s="169">
        <f>'HDD &amp; CDD'!M25</f>
        <v>0</v>
      </c>
      <c r="L19" s="397">
        <f t="shared" si="1"/>
        <v>28</v>
      </c>
      <c r="M19" s="169">
        <v>0</v>
      </c>
      <c r="N19" s="397">
        <f>[17]Sheet1!C17</f>
        <v>0</v>
      </c>
      <c r="O19" s="633"/>
      <c r="P19" s="620"/>
      <c r="Q19" s="629"/>
      <c r="R19" s="632">
        <f>'CDM Activity'!C65</f>
        <v>5327.5986522156463</v>
      </c>
      <c r="S19" s="62"/>
      <c r="T19" s="62"/>
      <c r="U19" s="62"/>
      <c r="V19" s="630"/>
      <c r="W19" s="631">
        <f>[22]GDP!D42</f>
        <v>103.30754336026908</v>
      </c>
      <c r="X19" s="635">
        <f>'[22]Customer Count'!L38</f>
        <v>5773</v>
      </c>
      <c r="Y19" s="636"/>
      <c r="Z19" s="310"/>
      <c r="AA19"/>
      <c r="AB19"/>
      <c r="AC19"/>
      <c r="AD19"/>
      <c r="AE19"/>
      <c r="AF19"/>
      <c r="AG19"/>
      <c r="AH19"/>
      <c r="AI19"/>
      <c r="AJ19" s="64"/>
      <c r="AK19" s="45"/>
      <c r="AL19" s="45"/>
      <c r="AM19" s="45"/>
      <c r="AN19" s="45"/>
      <c r="AO19" s="45"/>
      <c r="AP19" s="45"/>
      <c r="AQ19" s="45"/>
      <c r="AR19" s="45"/>
      <c r="AS19" s="45"/>
    </row>
    <row r="20" spans="2:45">
      <c r="B20" s="57">
        <f t="shared" si="2"/>
        <v>38807</v>
      </c>
      <c r="C20" s="65">
        <v>11784150</v>
      </c>
      <c r="D20" s="68"/>
      <c r="E20" s="80"/>
      <c r="F20" s="68"/>
      <c r="G20" s="69"/>
      <c r="H20" s="67">
        <f t="shared" si="0"/>
        <v>11784150</v>
      </c>
      <c r="I20" s="304"/>
      <c r="J20" s="169">
        <f>'HDD &amp; CDD'!M8</f>
        <v>600.4</v>
      </c>
      <c r="K20" s="169">
        <f>'HDD &amp; CDD'!M26</f>
        <v>0</v>
      </c>
      <c r="L20" s="397">
        <f t="shared" si="1"/>
        <v>31</v>
      </c>
      <c r="M20" s="169">
        <v>1</v>
      </c>
      <c r="N20" s="397">
        <f>[17]Sheet1!C18</f>
        <v>0</v>
      </c>
      <c r="O20" s="633"/>
      <c r="P20" s="620"/>
      <c r="Q20" s="629"/>
      <c r="R20" s="632">
        <f>'CDM Activity'!C66</f>
        <v>7991.3979783234699</v>
      </c>
      <c r="S20" s="62"/>
      <c r="T20" s="62"/>
      <c r="U20" s="62"/>
      <c r="V20" s="630"/>
      <c r="W20" s="631">
        <f>[22]GDP!D43</f>
        <v>103.51191993149912</v>
      </c>
      <c r="X20" s="635">
        <f>'[22]Customer Count'!L39</f>
        <v>5775.5</v>
      </c>
      <c r="Y20" s="636"/>
      <c r="Z20" s="310"/>
      <c r="AA20" s="18"/>
      <c r="AB20" s="18" t="s">
        <v>30</v>
      </c>
      <c r="AC20" s="18" t="s">
        <v>19</v>
      </c>
      <c r="AD20" s="18" t="s">
        <v>31</v>
      </c>
      <c r="AE20" s="18" t="s">
        <v>32</v>
      </c>
      <c r="AF20" s="18" t="s">
        <v>33</v>
      </c>
      <c r="AG20" s="18" t="s">
        <v>34</v>
      </c>
      <c r="AH20" s="18" t="s">
        <v>101</v>
      </c>
      <c r="AI20" s="18" t="s">
        <v>102</v>
      </c>
      <c r="AJ20" s="64"/>
      <c r="AK20" s="45"/>
      <c r="AL20" s="45"/>
      <c r="AM20" s="45"/>
      <c r="AN20" s="45"/>
      <c r="AO20" s="45"/>
      <c r="AP20" s="45"/>
      <c r="AQ20" s="45"/>
      <c r="AR20" s="45"/>
      <c r="AS20" s="45"/>
    </row>
    <row r="21" spans="2:45">
      <c r="B21" s="57">
        <f t="shared" si="2"/>
        <v>38837</v>
      </c>
      <c r="C21" s="65">
        <v>9406440</v>
      </c>
      <c r="D21" s="68"/>
      <c r="E21" s="80"/>
      <c r="F21" s="68"/>
      <c r="G21" s="69"/>
      <c r="H21" s="67">
        <f t="shared" si="0"/>
        <v>9406440</v>
      </c>
      <c r="I21" s="304"/>
      <c r="J21" s="169">
        <f>'HDD &amp; CDD'!M9</f>
        <v>321.59999999999991</v>
      </c>
      <c r="K21" s="169">
        <f>'HDD &amp; CDD'!M27</f>
        <v>0</v>
      </c>
      <c r="L21" s="397">
        <f t="shared" si="1"/>
        <v>30</v>
      </c>
      <c r="M21" s="169">
        <v>1</v>
      </c>
      <c r="N21" s="397">
        <f>[17]Sheet1!C19</f>
        <v>2</v>
      </c>
      <c r="O21" s="633"/>
      <c r="P21" s="620"/>
      <c r="Q21" s="629"/>
      <c r="R21" s="632">
        <f>'CDM Activity'!C67</f>
        <v>10655.197304431293</v>
      </c>
      <c r="S21" s="62"/>
      <c r="T21" s="62"/>
      <c r="U21" s="62"/>
      <c r="V21" s="630"/>
      <c r="W21" s="631">
        <f>[22]GDP!D44</f>
        <v>103.71670082734583</v>
      </c>
      <c r="X21" s="635">
        <f>'[22]Customer Count'!L40</f>
        <v>5778</v>
      </c>
      <c r="Y21" s="636"/>
      <c r="Z21" s="310"/>
      <c r="AA21" s="16" t="s">
        <v>24</v>
      </c>
      <c r="AB21" s="16">
        <v>54003814.392439984</v>
      </c>
      <c r="AC21" s="16">
        <v>4382340.8287311187</v>
      </c>
      <c r="AD21" s="16">
        <v>12.323052109134212</v>
      </c>
      <c r="AE21" s="16">
        <v>1.2336417017658451E-22</v>
      </c>
      <c r="AF21" s="16">
        <v>45321606.814296916</v>
      </c>
      <c r="AG21" s="16">
        <v>62686021.970583051</v>
      </c>
      <c r="AH21" s="16">
        <v>45321606.814296916</v>
      </c>
      <c r="AI21" s="16">
        <v>62686021.970583051</v>
      </c>
      <c r="AJ21" s="64"/>
      <c r="AK21" s="45"/>
      <c r="AL21" s="45"/>
      <c r="AM21" s="45"/>
      <c r="AN21" s="45"/>
      <c r="AO21" s="45"/>
      <c r="AP21" s="45"/>
      <c r="AQ21" s="45"/>
      <c r="AR21" s="45"/>
      <c r="AS21" s="45"/>
    </row>
    <row r="22" spans="2:45">
      <c r="B22" s="57">
        <f t="shared" si="2"/>
        <v>38868</v>
      </c>
      <c r="C22" s="65">
        <v>9293920</v>
      </c>
      <c r="D22" s="68"/>
      <c r="E22" s="80"/>
      <c r="F22" s="68"/>
      <c r="G22" s="69"/>
      <c r="H22" s="67">
        <f t="shared" si="0"/>
        <v>9293920</v>
      </c>
      <c r="I22" s="304"/>
      <c r="J22" s="169">
        <f>'HDD &amp; CDD'!M10</f>
        <v>128.19999999999999</v>
      </c>
      <c r="K22" s="169">
        <f>'HDD &amp; CDD'!M28</f>
        <v>16.899999999999999</v>
      </c>
      <c r="L22" s="397">
        <f t="shared" si="1"/>
        <v>31</v>
      </c>
      <c r="M22" s="169">
        <v>1</v>
      </c>
      <c r="N22" s="397">
        <f>[17]Sheet1!C20</f>
        <v>1</v>
      </c>
      <c r="O22" s="633"/>
      <c r="P22" s="620"/>
      <c r="Q22" s="629"/>
      <c r="R22" s="632">
        <f>'CDM Activity'!C68</f>
        <v>13318.996630539115</v>
      </c>
      <c r="S22" s="62"/>
      <c r="T22" s="62"/>
      <c r="U22" s="62"/>
      <c r="V22" s="630"/>
      <c r="W22" s="631">
        <f>[22]GDP!D45</f>
        <v>103.92188684769735</v>
      </c>
      <c r="X22" s="635">
        <f>'[22]Customer Count'!L41</f>
        <v>5780.5</v>
      </c>
      <c r="Y22" s="636"/>
      <c r="Z22" s="310"/>
      <c r="AA22" s="16" t="s">
        <v>106</v>
      </c>
      <c r="AB22" s="16">
        <v>4570.0358823452207</v>
      </c>
      <c r="AC22" s="16">
        <v>155.69582901018646</v>
      </c>
      <c r="AD22" s="16">
        <v>29.352333401598216</v>
      </c>
      <c r="AE22" s="16">
        <v>1.0763858615464535E-54</v>
      </c>
      <c r="AF22" s="16">
        <v>4261.5743638674558</v>
      </c>
      <c r="AG22" s="16">
        <v>4878.4974008229856</v>
      </c>
      <c r="AH22" s="16">
        <v>4261.5743638674558</v>
      </c>
      <c r="AI22" s="16">
        <v>4878.4974008229856</v>
      </c>
      <c r="AJ22" s="64"/>
      <c r="AK22" s="45"/>
      <c r="AL22" s="45"/>
      <c r="AM22" s="45"/>
      <c r="AN22" s="45"/>
      <c r="AO22" s="45"/>
      <c r="AP22" s="45"/>
      <c r="AQ22" s="45"/>
      <c r="AR22" s="45"/>
      <c r="AS22" s="45"/>
    </row>
    <row r="23" spans="2:45">
      <c r="B23" s="57">
        <f t="shared" si="2"/>
        <v>38898</v>
      </c>
      <c r="C23" s="65">
        <v>9564320</v>
      </c>
      <c r="D23" s="68"/>
      <c r="E23" s="80"/>
      <c r="F23" s="68"/>
      <c r="G23" s="69"/>
      <c r="H23" s="67">
        <f t="shared" si="0"/>
        <v>9564320</v>
      </c>
      <c r="I23" s="304"/>
      <c r="J23" s="169">
        <f>'HDD &amp; CDD'!M11</f>
        <v>27.599999999999998</v>
      </c>
      <c r="K23" s="169">
        <f>'HDD &amp; CDD'!M29</f>
        <v>48.199999999999996</v>
      </c>
      <c r="L23" s="397">
        <f t="shared" si="1"/>
        <v>30</v>
      </c>
      <c r="M23" s="169">
        <v>0</v>
      </c>
      <c r="N23" s="397">
        <f>[17]Sheet1!C21</f>
        <v>0</v>
      </c>
      <c r="O23" s="633"/>
      <c r="P23" s="620"/>
      <c r="Q23" s="629"/>
      <c r="R23" s="632">
        <f>'CDM Activity'!C69</f>
        <v>15982.795956646938</v>
      </c>
      <c r="S23" s="62"/>
      <c r="T23" s="62"/>
      <c r="U23" s="62"/>
      <c r="V23" s="630"/>
      <c r="W23" s="631">
        <f>[22]GDP!D46</f>
        <v>104.12747879402426</v>
      </c>
      <c r="X23" s="635">
        <f>'[22]Customer Count'!L42</f>
        <v>5783</v>
      </c>
      <c r="Y23" s="636"/>
      <c r="Z23" s="310"/>
      <c r="AA23" s="16" t="s">
        <v>107</v>
      </c>
      <c r="AB23" s="16">
        <v>12896.804584326379</v>
      </c>
      <c r="AC23" s="16">
        <v>1435.5560796692907</v>
      </c>
      <c r="AD23" s="16">
        <v>8.9838389227520938</v>
      </c>
      <c r="AE23" s="16">
        <v>6.8286956689244859E-15</v>
      </c>
      <c r="AF23" s="16">
        <v>10052.70907444727</v>
      </c>
      <c r="AG23" s="16">
        <v>15740.900094205488</v>
      </c>
      <c r="AH23" s="16">
        <v>10052.70907444727</v>
      </c>
      <c r="AI23" s="16">
        <v>15740.900094205488</v>
      </c>
      <c r="AJ23" s="64"/>
      <c r="AK23" s="45"/>
      <c r="AL23" s="45"/>
      <c r="AM23" s="45"/>
      <c r="AN23" s="45"/>
      <c r="AO23" s="45"/>
      <c r="AP23" s="45"/>
      <c r="AQ23" s="45"/>
      <c r="AR23" s="45"/>
      <c r="AS23" s="45"/>
    </row>
    <row r="24" spans="2:45">
      <c r="B24" s="57">
        <f t="shared" si="2"/>
        <v>38929</v>
      </c>
      <c r="C24" s="65">
        <v>10639870</v>
      </c>
      <c r="D24" s="68"/>
      <c r="E24" s="80"/>
      <c r="F24" s="68"/>
      <c r="G24" s="69"/>
      <c r="H24" s="67">
        <f t="shared" si="0"/>
        <v>10639870</v>
      </c>
      <c r="I24" s="304"/>
      <c r="J24" s="169">
        <f>'HDD &amp; CDD'!M12</f>
        <v>0.3</v>
      </c>
      <c r="K24" s="169">
        <f>'HDD &amp; CDD'!M30</f>
        <v>130.59999999999997</v>
      </c>
      <c r="L24" s="397">
        <f t="shared" si="1"/>
        <v>31</v>
      </c>
      <c r="M24" s="169">
        <v>0</v>
      </c>
      <c r="N24" s="397">
        <f>[17]Sheet1!C22</f>
        <v>1</v>
      </c>
      <c r="O24" s="633"/>
      <c r="P24" s="620"/>
      <c r="Q24" s="629"/>
      <c r="R24" s="632">
        <f>'CDM Activity'!C70</f>
        <v>18646.595282754763</v>
      </c>
      <c r="S24" s="62"/>
      <c r="T24" s="62"/>
      <c r="U24" s="62"/>
      <c r="V24" s="630"/>
      <c r="W24" s="631">
        <f>[22]GDP!D47</f>
        <v>104.33347746938271</v>
      </c>
      <c r="X24" s="635">
        <f>'[22]Customer Count'!L43</f>
        <v>5785.5</v>
      </c>
      <c r="Y24" s="636"/>
      <c r="Z24" s="310"/>
      <c r="AA24" s="16" t="s">
        <v>3</v>
      </c>
      <c r="AB24" s="16">
        <v>260155.6215307611</v>
      </c>
      <c r="AC24" s="16">
        <v>35696.323563837148</v>
      </c>
      <c r="AD24" s="16">
        <v>7.2880228426189184</v>
      </c>
      <c r="AE24" s="16">
        <v>4.5722226048745525E-11</v>
      </c>
      <c r="AF24" s="16">
        <v>189434.76638277614</v>
      </c>
      <c r="AG24" s="16">
        <v>330876.47667874605</v>
      </c>
      <c r="AH24" s="16">
        <v>189434.76638277614</v>
      </c>
      <c r="AI24" s="16">
        <v>330876.47667874605</v>
      </c>
      <c r="AJ24" s="64"/>
      <c r="AK24" s="45"/>
      <c r="AL24" s="45"/>
      <c r="AM24" s="45"/>
      <c r="AN24" s="45"/>
      <c r="AO24" s="45"/>
      <c r="AP24" s="45"/>
      <c r="AQ24" s="45"/>
      <c r="AR24" s="45"/>
      <c r="AS24" s="45"/>
    </row>
    <row r="25" spans="2:45">
      <c r="B25" s="57">
        <f t="shared" si="2"/>
        <v>38960</v>
      </c>
      <c r="C25" s="65">
        <v>10096480</v>
      </c>
      <c r="D25" s="68"/>
      <c r="E25" s="80"/>
      <c r="F25" s="68"/>
      <c r="G25" s="69"/>
      <c r="H25" s="67">
        <f t="shared" si="0"/>
        <v>10096480</v>
      </c>
      <c r="I25" s="304"/>
      <c r="J25" s="169">
        <f>'HDD &amp; CDD'!M13</f>
        <v>18.200000000000003</v>
      </c>
      <c r="K25" s="169">
        <f>'HDD &amp; CDD'!M31</f>
        <v>68.099999999999994</v>
      </c>
      <c r="L25" s="397">
        <f t="shared" si="1"/>
        <v>31</v>
      </c>
      <c r="M25" s="169">
        <v>0</v>
      </c>
      <c r="N25" s="397">
        <f>[17]Sheet1!C23</f>
        <v>1</v>
      </c>
      <c r="O25" s="633"/>
      <c r="P25" s="620"/>
      <c r="Q25" s="629"/>
      <c r="R25" s="632">
        <f>'CDM Activity'!C71</f>
        <v>21310.394608862585</v>
      </c>
      <c r="S25" s="62"/>
      <c r="T25" s="62"/>
      <c r="U25" s="62"/>
      <c r="V25" s="630"/>
      <c r="W25" s="631">
        <f>[22]GDP!D48</f>
        <v>104.5398836784176</v>
      </c>
      <c r="X25" s="635">
        <f>'[22]Customer Count'!L44</f>
        <v>5788</v>
      </c>
      <c r="Y25" s="636"/>
      <c r="Z25" s="310"/>
      <c r="AA25" s="16" t="s">
        <v>108</v>
      </c>
      <c r="AB25" s="16">
        <v>-409437.75312933663</v>
      </c>
      <c r="AC25" s="16">
        <v>80050.472550921477</v>
      </c>
      <c r="AD25" s="16">
        <v>-5.1147449862820764</v>
      </c>
      <c r="AE25" s="16">
        <v>1.2960006474668467E-6</v>
      </c>
      <c r="AF25" s="16">
        <v>-568032.17710908479</v>
      </c>
      <c r="AG25" s="16">
        <v>-250843.32914958848</v>
      </c>
      <c r="AH25" s="16">
        <v>-568032.17710908479</v>
      </c>
      <c r="AI25" s="16">
        <v>-250843.32914958848</v>
      </c>
      <c r="AJ25" s="64"/>
      <c r="AK25" s="45"/>
      <c r="AL25" s="45"/>
      <c r="AM25" s="45"/>
      <c r="AN25" s="45"/>
      <c r="AO25" s="45"/>
      <c r="AP25" s="45"/>
      <c r="AQ25" s="45"/>
      <c r="AR25" s="45"/>
      <c r="AS25" s="45"/>
    </row>
    <row r="26" spans="2:45">
      <c r="B26" s="57">
        <f t="shared" si="2"/>
        <v>38990</v>
      </c>
      <c r="C26" s="65">
        <v>8938560</v>
      </c>
      <c r="D26" s="68"/>
      <c r="E26" s="80"/>
      <c r="F26" s="68"/>
      <c r="G26" s="69"/>
      <c r="H26" s="67">
        <f t="shared" si="0"/>
        <v>8938560</v>
      </c>
      <c r="I26" s="304"/>
      <c r="J26" s="169">
        <f>'HDD &amp; CDD'!M14</f>
        <v>120.99999999999997</v>
      </c>
      <c r="K26" s="169">
        <f>'HDD &amp; CDD'!M32</f>
        <v>5.3</v>
      </c>
      <c r="L26" s="397">
        <f t="shared" si="1"/>
        <v>30</v>
      </c>
      <c r="M26" s="169">
        <v>1</v>
      </c>
      <c r="N26" s="397">
        <f>[17]Sheet1!C24</f>
        <v>1</v>
      </c>
      <c r="O26" s="633"/>
      <c r="P26" s="620"/>
      <c r="Q26" s="629"/>
      <c r="R26" s="632">
        <f>'CDM Activity'!C72</f>
        <v>23974.193934970408</v>
      </c>
      <c r="S26" s="62"/>
      <c r="T26" s="62"/>
      <c r="U26" s="62"/>
      <c r="V26" s="630"/>
      <c r="W26" s="631">
        <f>[22]GDP!D49</f>
        <v>104.74669822736561</v>
      </c>
      <c r="X26" s="635">
        <f>'[22]Customer Count'!L45</f>
        <v>5790.5</v>
      </c>
      <c r="Y26" s="636"/>
      <c r="Z26" s="310"/>
      <c r="AA26" s="16" t="s">
        <v>109</v>
      </c>
      <c r="AB26" s="16">
        <v>-112987.42395236721</v>
      </c>
      <c r="AC26" s="16">
        <v>44403.873549250966</v>
      </c>
      <c r="AD26" s="16">
        <v>-2.5445398097318281</v>
      </c>
      <c r="AE26" s="16">
        <v>1.2291585748279776E-2</v>
      </c>
      <c r="AF26" s="16">
        <v>-200959.50611007545</v>
      </c>
      <c r="AG26" s="16">
        <v>-25015.341794658976</v>
      </c>
      <c r="AH26" s="16">
        <v>-200959.50611007545</v>
      </c>
      <c r="AI26" s="16">
        <v>-25015.341794658976</v>
      </c>
      <c r="AJ26" s="64"/>
      <c r="AK26" s="45"/>
      <c r="AL26" s="45"/>
      <c r="AM26" s="45"/>
      <c r="AN26" s="45"/>
      <c r="AO26" s="45"/>
      <c r="AP26" s="45"/>
      <c r="AQ26" s="45"/>
      <c r="AR26" s="45"/>
      <c r="AS26" s="45"/>
    </row>
    <row r="27" spans="2:45" ht="13.5" thickBot="1">
      <c r="B27" s="57">
        <f t="shared" si="2"/>
        <v>39021</v>
      </c>
      <c r="C27" s="65">
        <v>9952100</v>
      </c>
      <c r="D27" s="68"/>
      <c r="E27" s="80"/>
      <c r="F27" s="68"/>
      <c r="G27" s="69"/>
      <c r="H27" s="67">
        <f t="shared" si="0"/>
        <v>9952100</v>
      </c>
      <c r="I27" s="304"/>
      <c r="J27" s="169">
        <f>'HDD &amp; CDD'!M15</f>
        <v>335.70000000000005</v>
      </c>
      <c r="K27" s="169">
        <f>'HDD &amp; CDD'!M33</f>
        <v>0</v>
      </c>
      <c r="L27" s="397">
        <f t="shared" si="1"/>
        <v>31</v>
      </c>
      <c r="M27" s="169">
        <v>1</v>
      </c>
      <c r="N27" s="397">
        <f>[17]Sheet1!C25</f>
        <v>1</v>
      </c>
      <c r="O27" s="633"/>
      <c r="P27" s="620"/>
      <c r="Q27" s="629"/>
      <c r="R27" s="632">
        <f>'CDM Activity'!C73</f>
        <v>26637.993261078231</v>
      </c>
      <c r="S27" s="62"/>
      <c r="T27" s="62"/>
      <c r="U27" s="62"/>
      <c r="V27" s="630"/>
      <c r="W27" s="631">
        <f>[22]GDP!D50</f>
        <v>104.95392192405851</v>
      </c>
      <c r="X27" s="635">
        <f>'[22]Customer Count'!L46</f>
        <v>5793</v>
      </c>
      <c r="Y27" s="636"/>
      <c r="Z27" s="310"/>
      <c r="AA27" s="17" t="s">
        <v>262</v>
      </c>
      <c r="AB27" s="402">
        <v>-9204.6138113234774</v>
      </c>
      <c r="AC27" s="17">
        <v>737.38119419030591</v>
      </c>
      <c r="AD27" s="17">
        <v>-12.482843180494672</v>
      </c>
      <c r="AE27" s="17">
        <v>5.3013733133421642E-23</v>
      </c>
      <c r="AF27" s="17">
        <v>-10665.498950655041</v>
      </c>
      <c r="AG27" s="17">
        <v>-7743.7286719919139</v>
      </c>
      <c r="AH27" s="17">
        <v>-10665.498950655041</v>
      </c>
      <c r="AI27" s="17">
        <v>-7743.7286719919139</v>
      </c>
      <c r="AJ27" s="64"/>
      <c r="AK27" s="45"/>
      <c r="AL27" s="45"/>
      <c r="AM27" s="45"/>
      <c r="AN27" s="45"/>
      <c r="AO27" s="45"/>
      <c r="AP27" s="45"/>
      <c r="AQ27" s="45"/>
      <c r="AR27" s="45"/>
      <c r="AS27" s="45"/>
    </row>
    <row r="28" spans="2:45">
      <c r="B28" s="57">
        <f t="shared" si="2"/>
        <v>39051</v>
      </c>
      <c r="C28" s="65">
        <v>10436420</v>
      </c>
      <c r="D28" s="68"/>
      <c r="E28" s="80"/>
      <c r="F28" s="68"/>
      <c r="G28" s="69"/>
      <c r="H28" s="67">
        <f t="shared" si="0"/>
        <v>10436420</v>
      </c>
      <c r="I28" s="304"/>
      <c r="J28" s="169">
        <f>'HDD &amp; CDD'!M16</f>
        <v>417.3</v>
      </c>
      <c r="K28" s="169">
        <f>'HDD &amp; CDD'!M34</f>
        <v>0</v>
      </c>
      <c r="L28" s="397">
        <f t="shared" si="1"/>
        <v>30</v>
      </c>
      <c r="M28" s="169">
        <v>1</v>
      </c>
      <c r="N28" s="397">
        <f>[17]Sheet1!C26</f>
        <v>0</v>
      </c>
      <c r="O28" s="633"/>
      <c r="P28" s="620"/>
      <c r="Q28" s="629"/>
      <c r="R28" s="632">
        <f>'CDM Activity'!C74</f>
        <v>29301.792587186053</v>
      </c>
      <c r="S28" s="62"/>
      <c r="T28" s="62"/>
      <c r="U28" s="62"/>
      <c r="V28" s="630"/>
      <c r="W28" s="631">
        <f>[22]GDP!D51</f>
        <v>105.16155557792617</v>
      </c>
      <c r="X28" s="635">
        <f>'[22]Customer Count'!L47</f>
        <v>5795.5</v>
      </c>
      <c r="Y28" s="636"/>
      <c r="Z28" s="310"/>
      <c r="AA28"/>
      <c r="AB28"/>
      <c r="AC28"/>
      <c r="AD28"/>
      <c r="AE28"/>
      <c r="AF28"/>
      <c r="AG28"/>
      <c r="AH28"/>
      <c r="AI28"/>
      <c r="AJ28" s="64"/>
      <c r="AK28" s="45"/>
      <c r="AL28" s="45"/>
      <c r="AM28" s="45"/>
      <c r="AN28" s="45"/>
      <c r="AO28" s="45"/>
      <c r="AP28" s="45"/>
      <c r="AQ28" s="45"/>
      <c r="AR28" s="45"/>
      <c r="AS28" s="45"/>
    </row>
    <row r="29" spans="2:45" ht="13.5" customHeight="1" thickBot="1">
      <c r="B29" s="172">
        <f t="shared" si="2"/>
        <v>39082</v>
      </c>
      <c r="C29" s="81">
        <v>11345280</v>
      </c>
      <c r="D29" s="82"/>
      <c r="E29" s="82"/>
      <c r="F29" s="82"/>
      <c r="G29" s="83"/>
      <c r="H29" s="74">
        <f t="shared" si="0"/>
        <v>11345280</v>
      </c>
      <c r="I29" s="305"/>
      <c r="J29" s="118">
        <f>'HDD &amp; CDD'!M17</f>
        <v>609.99999999999989</v>
      </c>
      <c r="K29" s="118">
        <f>'HDD &amp; CDD'!M35</f>
        <v>0</v>
      </c>
      <c r="L29" s="398">
        <f t="shared" si="1"/>
        <v>31</v>
      </c>
      <c r="M29" s="118">
        <v>0</v>
      </c>
      <c r="N29" s="398">
        <f>[17]Sheet1!C27</f>
        <v>2</v>
      </c>
      <c r="O29" s="633"/>
      <c r="P29" s="620"/>
      <c r="Q29" s="629"/>
      <c r="R29" s="632">
        <f>'CDM Activity'!C75</f>
        <v>31965.591913293876</v>
      </c>
      <c r="S29" s="62"/>
      <c r="T29" s="62"/>
      <c r="U29" s="62"/>
      <c r="V29" s="630"/>
      <c r="W29" s="631">
        <f>[22]GDP!D52</f>
        <v>105.36959999999981</v>
      </c>
      <c r="X29" s="635">
        <f>'[22]Customer Count'!L48</f>
        <v>5798</v>
      </c>
      <c r="Y29" s="636"/>
      <c r="Z29" s="310"/>
      <c r="AA29"/>
      <c r="AB29"/>
      <c r="AC29"/>
      <c r="AD29"/>
      <c r="AE29"/>
      <c r="AF29"/>
      <c r="AG29"/>
      <c r="AH29"/>
      <c r="AI29"/>
      <c r="AJ29" s="64"/>
      <c r="AK29" s="45"/>
      <c r="AL29" s="45"/>
      <c r="AM29" s="45"/>
      <c r="AN29" s="45"/>
      <c r="AO29" s="45"/>
      <c r="AP29" s="45"/>
      <c r="AQ29" s="45"/>
      <c r="AR29" s="45"/>
      <c r="AS29" s="45"/>
    </row>
    <row r="30" spans="2:45" ht="13.5" thickBot="1">
      <c r="B30" s="57">
        <f t="shared" si="2"/>
        <v>39113</v>
      </c>
      <c r="C30" s="65">
        <v>12568180</v>
      </c>
      <c r="D30" s="68"/>
      <c r="E30" s="80"/>
      <c r="F30" s="68"/>
      <c r="G30" s="69"/>
      <c r="H30" s="67">
        <f t="shared" si="0"/>
        <v>12568180</v>
      </c>
      <c r="I30" s="304"/>
      <c r="J30" s="169">
        <f>'HDD &amp; CDD'!N6</f>
        <v>797.09999999999991</v>
      </c>
      <c r="K30" s="169">
        <f>'HDD &amp; CDD'!N24</f>
        <v>0</v>
      </c>
      <c r="L30" s="397">
        <f t="shared" si="1"/>
        <v>31</v>
      </c>
      <c r="M30" s="169">
        <v>0</v>
      </c>
      <c r="N30" s="397">
        <f>[17]Sheet1!C28</f>
        <v>1</v>
      </c>
      <c r="O30" s="633"/>
      <c r="P30" s="620"/>
      <c r="Q30" s="629"/>
      <c r="R30" s="632">
        <f>'CDM Activity'!C76</f>
        <v>34513.571109379933</v>
      </c>
      <c r="S30" s="62"/>
      <c r="T30" s="62"/>
      <c r="U30" s="62"/>
      <c r="V30" s="630"/>
      <c r="W30" s="631">
        <f>[22]GDP!D53</f>
        <v>105.55224543423039</v>
      </c>
      <c r="X30" s="635">
        <f>'[22]Customer Count'!L49</f>
        <v>5799.5</v>
      </c>
      <c r="Y30" s="636"/>
      <c r="Z30" s="623" t="s">
        <v>264</v>
      </c>
      <c r="AA30" t="s">
        <v>14</v>
      </c>
      <c r="AB30"/>
      <c r="AC30"/>
      <c r="AD30"/>
      <c r="AE30"/>
      <c r="AF30"/>
      <c r="AG30"/>
      <c r="AH30"/>
      <c r="AI30"/>
    </row>
    <row r="31" spans="2:45" ht="13.5" thickBot="1">
      <c r="B31" s="57">
        <f t="shared" si="2"/>
        <v>39141</v>
      </c>
      <c r="C31" s="65">
        <v>12210720</v>
      </c>
      <c r="D31" s="68"/>
      <c r="E31" s="80"/>
      <c r="F31" s="68"/>
      <c r="G31" s="69"/>
      <c r="H31" s="67">
        <f t="shared" si="0"/>
        <v>12210720</v>
      </c>
      <c r="I31" s="304"/>
      <c r="J31" s="169">
        <f>'HDD &amp; CDD'!N7</f>
        <v>820</v>
      </c>
      <c r="K31" s="169">
        <f>'HDD &amp; CDD'!N25</f>
        <v>0</v>
      </c>
      <c r="L31" s="397">
        <f t="shared" si="1"/>
        <v>28</v>
      </c>
      <c r="M31" s="169">
        <v>0</v>
      </c>
      <c r="N31" s="397">
        <f>[17]Sheet1!C29</f>
        <v>0</v>
      </c>
      <c r="O31" s="633"/>
      <c r="P31" s="620"/>
      <c r="Q31" s="629"/>
      <c r="R31" s="632">
        <f>'CDM Activity'!C77</f>
        <v>37061.550305465986</v>
      </c>
      <c r="S31" s="62"/>
      <c r="T31" s="62"/>
      <c r="U31" s="62"/>
      <c r="V31" s="630"/>
      <c r="W31" s="631">
        <f>[22]GDP!D54</f>
        <v>105.73520746219052</v>
      </c>
      <c r="X31" s="635">
        <f>'[22]Customer Count'!L50</f>
        <v>5801</v>
      </c>
      <c r="Y31" s="636"/>
      <c r="Z31" s="310"/>
      <c r="AA31"/>
      <c r="AB31"/>
      <c r="AC31"/>
      <c r="AD31"/>
      <c r="AE31"/>
      <c r="AF31"/>
      <c r="AG31"/>
      <c r="AH31"/>
      <c r="AI31"/>
    </row>
    <row r="32" spans="2:45">
      <c r="B32" s="57">
        <f t="shared" si="2"/>
        <v>39172</v>
      </c>
      <c r="C32" s="65">
        <v>11873120</v>
      </c>
      <c r="D32" s="68"/>
      <c r="E32" s="80"/>
      <c r="F32" s="68"/>
      <c r="G32" s="69"/>
      <c r="H32" s="67">
        <f t="shared" si="0"/>
        <v>11873120</v>
      </c>
      <c r="I32" s="304"/>
      <c r="J32" s="169">
        <f>'HDD &amp; CDD'!N8</f>
        <v>643.00000000000023</v>
      </c>
      <c r="K32" s="169">
        <f>'HDD &amp; CDD'!N26</f>
        <v>0</v>
      </c>
      <c r="L32" s="397">
        <f t="shared" si="1"/>
        <v>31</v>
      </c>
      <c r="M32" s="169">
        <v>1</v>
      </c>
      <c r="N32" s="397">
        <f>[17]Sheet1!C30</f>
        <v>0</v>
      </c>
      <c r="O32" s="633"/>
      <c r="P32" s="620"/>
      <c r="Q32" s="629"/>
      <c r="R32" s="632">
        <f>'CDM Activity'!C78</f>
        <v>39609.529501552039</v>
      </c>
      <c r="S32" s="62"/>
      <c r="T32" s="62"/>
      <c r="U32" s="62"/>
      <c r="V32" s="630"/>
      <c r="W32" s="631">
        <f>[22]GDP!D55</f>
        <v>105.91848663265708</v>
      </c>
      <c r="X32" s="635">
        <f>'[22]Customer Count'!L51</f>
        <v>5802.5</v>
      </c>
      <c r="Y32" s="636"/>
      <c r="Z32" s="310"/>
      <c r="AA32" s="19" t="s">
        <v>15</v>
      </c>
      <c r="AB32" s="19"/>
      <c r="AC32"/>
      <c r="AD32"/>
      <c r="AE32"/>
      <c r="AF32"/>
      <c r="AG32"/>
      <c r="AH32"/>
      <c r="AI32"/>
      <c r="AJ32" s="64"/>
      <c r="AK32" s="45"/>
      <c r="AL32" s="45"/>
      <c r="AM32" s="45"/>
      <c r="AN32" s="45"/>
      <c r="AO32" s="45"/>
      <c r="AP32" s="45"/>
      <c r="AQ32" s="45"/>
      <c r="AR32" s="45"/>
      <c r="AS32" s="45"/>
    </row>
    <row r="33" spans="2:45">
      <c r="B33" s="57">
        <f t="shared" si="2"/>
        <v>39202</v>
      </c>
      <c r="C33" s="65">
        <v>9854780</v>
      </c>
      <c r="D33" s="68"/>
      <c r="E33" s="80"/>
      <c r="F33" s="68"/>
      <c r="G33" s="69"/>
      <c r="H33" s="67">
        <f t="shared" si="0"/>
        <v>9854780</v>
      </c>
      <c r="I33" s="304"/>
      <c r="J33" s="169">
        <f>'HDD &amp; CDD'!N9</f>
        <v>361.1</v>
      </c>
      <c r="K33" s="169">
        <f>'HDD &amp; CDD'!N27</f>
        <v>0</v>
      </c>
      <c r="L33" s="397">
        <f t="shared" si="1"/>
        <v>30</v>
      </c>
      <c r="M33" s="169">
        <v>1</v>
      </c>
      <c r="N33" s="397">
        <f>[17]Sheet1!C31</f>
        <v>2</v>
      </c>
      <c r="O33" s="633"/>
      <c r="P33" s="620"/>
      <c r="Q33" s="629"/>
      <c r="R33" s="632">
        <f>'CDM Activity'!C79</f>
        <v>42157.508697638092</v>
      </c>
      <c r="S33" s="62"/>
      <c r="T33" s="62"/>
      <c r="U33" s="62"/>
      <c r="V33" s="630"/>
      <c r="W33" s="631">
        <f>[22]GDP!D56</f>
        <v>106.10208349535816</v>
      </c>
      <c r="X33" s="635">
        <f>'[22]Customer Count'!L52</f>
        <v>5804</v>
      </c>
      <c r="Y33" s="636"/>
      <c r="Z33" s="310"/>
      <c r="AA33" s="16" t="s">
        <v>16</v>
      </c>
      <c r="AB33" s="16">
        <v>0.96713269141444147</v>
      </c>
      <c r="AC33"/>
      <c r="AD33"/>
      <c r="AE33"/>
      <c r="AF33"/>
      <c r="AG33"/>
      <c r="AH33"/>
      <c r="AI33"/>
      <c r="AJ33" s="64"/>
      <c r="AK33" s="45"/>
      <c r="AL33" s="45"/>
      <c r="AM33" s="45"/>
      <c r="AN33" s="45"/>
      <c r="AO33" s="45"/>
      <c r="AP33" s="45"/>
      <c r="AQ33" s="45"/>
      <c r="AR33" s="45"/>
      <c r="AS33" s="45"/>
    </row>
    <row r="34" spans="2:45">
      <c r="B34" s="57">
        <f t="shared" si="2"/>
        <v>39233</v>
      </c>
      <c r="C34" s="65">
        <v>9000430</v>
      </c>
      <c r="D34" s="68"/>
      <c r="E34" s="80"/>
      <c r="F34" s="68"/>
      <c r="G34" s="69"/>
      <c r="H34" s="67">
        <f t="shared" si="0"/>
        <v>9000430</v>
      </c>
      <c r="I34" s="304"/>
      <c r="J34" s="169">
        <f>'HDD &amp; CDD'!N10</f>
        <v>157.30000000000001</v>
      </c>
      <c r="K34" s="169">
        <f>'HDD &amp; CDD'!N28</f>
        <v>17.3</v>
      </c>
      <c r="L34" s="397">
        <f t="shared" si="1"/>
        <v>31</v>
      </c>
      <c r="M34" s="169">
        <v>1</v>
      </c>
      <c r="N34" s="397">
        <f>[17]Sheet1!C32</f>
        <v>1</v>
      </c>
      <c r="O34" s="633"/>
      <c r="P34" s="620"/>
      <c r="Q34" s="629"/>
      <c r="R34" s="632">
        <f>'CDM Activity'!C80</f>
        <v>44705.487893724145</v>
      </c>
      <c r="S34" s="62"/>
      <c r="T34" s="62"/>
      <c r="U34" s="62"/>
      <c r="V34" s="630"/>
      <c r="W34" s="631">
        <f>[22]GDP!D57</f>
        <v>106.28599860097476</v>
      </c>
      <c r="X34" s="635">
        <f>'[22]Customer Count'!L53</f>
        <v>5805.5</v>
      </c>
      <c r="Y34" s="636"/>
      <c r="Z34" s="310"/>
      <c r="AA34" s="16" t="s">
        <v>17</v>
      </c>
      <c r="AB34" s="16">
        <v>0.93534564280254118</v>
      </c>
      <c r="AC34"/>
      <c r="AD34"/>
      <c r="AE34"/>
      <c r="AF34"/>
      <c r="AG34"/>
      <c r="AH34"/>
      <c r="AI34"/>
      <c r="AJ34" s="64"/>
      <c r="AK34" s="45"/>
      <c r="AL34" s="45"/>
      <c r="AM34" s="45"/>
      <c r="AN34" s="45"/>
      <c r="AO34" s="45"/>
      <c r="AP34" s="45"/>
      <c r="AQ34" s="45"/>
      <c r="AR34" s="45"/>
      <c r="AS34" s="45"/>
    </row>
    <row r="35" spans="2:45">
      <c r="B35" s="57">
        <f t="shared" si="2"/>
        <v>39263</v>
      </c>
      <c r="C35" s="65">
        <v>9265780</v>
      </c>
      <c r="D35" s="68"/>
      <c r="E35" s="80"/>
      <c r="F35" s="68"/>
      <c r="G35" s="69"/>
      <c r="H35" s="67">
        <f t="shared" si="0"/>
        <v>9265780</v>
      </c>
      <c r="I35" s="304"/>
      <c r="J35" s="169">
        <f>'HDD &amp; CDD'!N11</f>
        <v>34.200000000000003</v>
      </c>
      <c r="K35" s="169">
        <f>'HDD &amp; CDD'!N29</f>
        <v>66.900000000000006</v>
      </c>
      <c r="L35" s="397">
        <f t="shared" si="1"/>
        <v>30</v>
      </c>
      <c r="M35" s="169">
        <v>0</v>
      </c>
      <c r="N35" s="397">
        <f>[17]Sheet1!C33</f>
        <v>0</v>
      </c>
      <c r="O35" s="633"/>
      <c r="P35" s="620"/>
      <c r="Q35" s="629"/>
      <c r="R35" s="632">
        <f>'CDM Activity'!C81</f>
        <v>47253.467089810198</v>
      </c>
      <c r="S35" s="62"/>
      <c r="T35" s="62"/>
      <c r="U35" s="62"/>
      <c r="V35" s="630"/>
      <c r="W35" s="631">
        <f>[22]GDP!D58</f>
        <v>106.47023250114242</v>
      </c>
      <c r="X35" s="635">
        <f>'[22]Customer Count'!L54</f>
        <v>5807</v>
      </c>
      <c r="Y35" s="636"/>
      <c r="Z35" s="310"/>
      <c r="AA35" s="16" t="s">
        <v>18</v>
      </c>
      <c r="AB35" s="16">
        <v>0.93191266808409212</v>
      </c>
      <c r="AC35"/>
      <c r="AD35"/>
      <c r="AE35"/>
      <c r="AF35"/>
      <c r="AG35"/>
      <c r="AH35"/>
      <c r="AI35"/>
      <c r="AJ35" s="64"/>
      <c r="AK35" s="45"/>
      <c r="AL35" s="45"/>
      <c r="AM35" s="45"/>
      <c r="AN35" s="45"/>
      <c r="AO35" s="45"/>
      <c r="AP35" s="45"/>
      <c r="AQ35" s="45"/>
      <c r="AR35" s="45"/>
      <c r="AS35" s="45"/>
    </row>
    <row r="36" spans="2:45">
      <c r="B36" s="57">
        <f t="shared" si="2"/>
        <v>39294</v>
      </c>
      <c r="C36" s="65">
        <v>9662330</v>
      </c>
      <c r="D36" s="68"/>
      <c r="E36" s="80"/>
      <c r="F36" s="68"/>
      <c r="G36" s="69"/>
      <c r="H36" s="67">
        <f t="shared" si="0"/>
        <v>9662330</v>
      </c>
      <c r="I36" s="304"/>
      <c r="J36" s="169">
        <f>'HDD &amp; CDD'!N12</f>
        <v>11.799999999999999</v>
      </c>
      <c r="K36" s="169">
        <f>'HDD &amp; CDD'!N30</f>
        <v>65.100000000000009</v>
      </c>
      <c r="L36" s="397">
        <f t="shared" si="1"/>
        <v>31</v>
      </c>
      <c r="M36" s="169">
        <v>0</v>
      </c>
      <c r="N36" s="397">
        <f>[17]Sheet1!C34</f>
        <v>1</v>
      </c>
      <c r="O36" s="633"/>
      <c r="P36" s="620"/>
      <c r="Q36" s="629"/>
      <c r="R36" s="632">
        <f>'CDM Activity'!C82</f>
        <v>49801.446285896251</v>
      </c>
      <c r="S36" s="62"/>
      <c r="T36" s="62"/>
      <c r="U36" s="62"/>
      <c r="V36" s="630"/>
      <c r="W36" s="631">
        <f>[22]GDP!D59</f>
        <v>106.65478574845287</v>
      </c>
      <c r="X36" s="635">
        <f>'[22]Customer Count'!L55</f>
        <v>5808.5</v>
      </c>
      <c r="Y36" s="636"/>
      <c r="Z36" s="310"/>
      <c r="AA36" s="16" t="s">
        <v>19</v>
      </c>
      <c r="AB36" s="16">
        <v>332092.70462018764</v>
      </c>
      <c r="AC36"/>
      <c r="AD36"/>
      <c r="AE36"/>
      <c r="AF36"/>
      <c r="AG36"/>
      <c r="AH36"/>
      <c r="AI36"/>
      <c r="AJ36" s="64"/>
      <c r="AK36" s="45"/>
      <c r="AL36" s="45"/>
      <c r="AM36" s="45"/>
      <c r="AN36" s="45"/>
      <c r="AO36" s="45"/>
      <c r="AP36" s="45"/>
      <c r="AQ36" s="45"/>
      <c r="AR36" s="45"/>
      <c r="AS36" s="45"/>
    </row>
    <row r="37" spans="2:45" ht="14.25" customHeight="1" thickBot="1">
      <c r="B37" s="57">
        <f t="shared" si="2"/>
        <v>39325</v>
      </c>
      <c r="C37" s="65">
        <v>9982760</v>
      </c>
      <c r="D37" s="68"/>
      <c r="E37" s="80"/>
      <c r="F37" s="68"/>
      <c r="G37" s="69"/>
      <c r="H37" s="67">
        <f t="shared" si="0"/>
        <v>9982760</v>
      </c>
      <c r="I37" s="304"/>
      <c r="J37" s="169">
        <f>'HDD &amp; CDD'!N13</f>
        <v>20.100000000000001</v>
      </c>
      <c r="K37" s="169">
        <f>'HDD &amp; CDD'!N31</f>
        <v>79.300000000000026</v>
      </c>
      <c r="L37" s="397">
        <f t="shared" si="1"/>
        <v>31</v>
      </c>
      <c r="M37" s="169">
        <v>0</v>
      </c>
      <c r="N37" s="397">
        <f>[17]Sheet1!C35</f>
        <v>1</v>
      </c>
      <c r="O37" s="633"/>
      <c r="P37" s="620"/>
      <c r="Q37" s="629"/>
      <c r="R37" s="632">
        <f>'CDM Activity'!C83</f>
        <v>52349.425481982304</v>
      </c>
      <c r="S37" s="62"/>
      <c r="T37" s="62"/>
      <c r="U37" s="62"/>
      <c r="V37" s="630"/>
      <c r="W37" s="631">
        <f>[22]GDP!D60</f>
        <v>106.83965889645567</v>
      </c>
      <c r="X37" s="635">
        <f>'[22]Customer Count'!L56</f>
        <v>5810</v>
      </c>
      <c r="Y37" s="636"/>
      <c r="Z37" s="310"/>
      <c r="AA37" s="17" t="s">
        <v>20</v>
      </c>
      <c r="AB37" s="17">
        <v>120</v>
      </c>
      <c r="AC37"/>
      <c r="AD37"/>
      <c r="AE37"/>
      <c r="AF37"/>
      <c r="AG37"/>
      <c r="AH37"/>
      <c r="AI37"/>
      <c r="AJ37" s="64"/>
      <c r="AK37" s="45"/>
      <c r="AL37" s="45"/>
      <c r="AM37" s="45"/>
      <c r="AN37" s="45"/>
      <c r="AO37" s="45"/>
      <c r="AP37" s="45"/>
      <c r="AQ37" s="45"/>
      <c r="AR37" s="45"/>
      <c r="AS37" s="45"/>
    </row>
    <row r="38" spans="2:45">
      <c r="B38" s="57">
        <f t="shared" si="2"/>
        <v>39355</v>
      </c>
      <c r="C38" s="65">
        <v>9063690</v>
      </c>
      <c r="D38" s="68"/>
      <c r="E38" s="80"/>
      <c r="F38" s="68"/>
      <c r="G38" s="69"/>
      <c r="H38" s="67">
        <f t="shared" ref="H38:H69" si="3">SUM(C38:G38)</f>
        <v>9063690</v>
      </c>
      <c r="I38" s="304"/>
      <c r="J38" s="169">
        <f>'HDD &amp; CDD'!N14</f>
        <v>75.999999999999986</v>
      </c>
      <c r="K38" s="169">
        <f>'HDD &amp; CDD'!N32</f>
        <v>25.7</v>
      </c>
      <c r="L38" s="397">
        <f t="shared" si="1"/>
        <v>30</v>
      </c>
      <c r="M38" s="169">
        <v>1</v>
      </c>
      <c r="N38" s="397">
        <f>[17]Sheet1!C36</f>
        <v>1</v>
      </c>
      <c r="O38" s="633"/>
      <c r="P38" s="620"/>
      <c r="Q38" s="629"/>
      <c r="R38" s="632">
        <f>'CDM Activity'!C84</f>
        <v>54897.404678068357</v>
      </c>
      <c r="S38" s="62"/>
      <c r="T38" s="62"/>
      <c r="U38" s="62"/>
      <c r="V38" s="630"/>
      <c r="W38" s="631">
        <f>[22]GDP!D61</f>
        <v>107.02485249965993</v>
      </c>
      <c r="X38" s="635">
        <f>'[22]Customer Count'!L57</f>
        <v>5811.5</v>
      </c>
      <c r="Y38" s="636"/>
      <c r="Z38" s="310"/>
      <c r="AA38"/>
      <c r="AB38"/>
      <c r="AC38"/>
      <c r="AD38"/>
      <c r="AE38"/>
      <c r="AF38"/>
      <c r="AG38"/>
      <c r="AH38"/>
      <c r="AI38"/>
      <c r="AJ38" s="64"/>
      <c r="AK38" s="45"/>
      <c r="AL38" s="45"/>
      <c r="AM38" s="45"/>
      <c r="AN38" s="45"/>
      <c r="AO38" s="45"/>
      <c r="AP38" s="45"/>
      <c r="AQ38" s="45"/>
      <c r="AR38" s="45"/>
      <c r="AS38" s="45"/>
    </row>
    <row r="39" spans="2:45" ht="13.5" thickBot="1">
      <c r="B39" s="57">
        <f t="shared" si="2"/>
        <v>39386</v>
      </c>
      <c r="C39" s="65">
        <v>9402850</v>
      </c>
      <c r="D39" s="68"/>
      <c r="E39" s="80"/>
      <c r="F39" s="68"/>
      <c r="G39" s="69"/>
      <c r="H39" s="67">
        <f t="shared" si="3"/>
        <v>9402850</v>
      </c>
      <c r="I39" s="304"/>
      <c r="J39" s="169">
        <f>'HDD &amp; CDD'!N15</f>
        <v>227.49999999999997</v>
      </c>
      <c r="K39" s="169">
        <f>'HDD &amp; CDD'!N33</f>
        <v>1.9</v>
      </c>
      <c r="L39" s="397">
        <f t="shared" si="1"/>
        <v>31</v>
      </c>
      <c r="M39" s="169">
        <v>1</v>
      </c>
      <c r="N39" s="397">
        <f>[17]Sheet1!C37</f>
        <v>1</v>
      </c>
      <c r="O39" s="633"/>
      <c r="P39" s="620"/>
      <c r="Q39" s="629"/>
      <c r="R39" s="632">
        <f>'CDM Activity'!C85</f>
        <v>57445.38387415441</v>
      </c>
      <c r="S39" s="62"/>
      <c r="T39" s="62"/>
      <c r="U39" s="62"/>
      <c r="V39" s="630"/>
      <c r="W39" s="631">
        <f>[22]GDP!D62</f>
        <v>107.2103671135359</v>
      </c>
      <c r="X39" s="635">
        <f>'[22]Customer Count'!L58</f>
        <v>5813</v>
      </c>
      <c r="Y39" s="636"/>
      <c r="Z39" s="310"/>
      <c r="AA39" t="s">
        <v>21</v>
      </c>
      <c r="AB39"/>
      <c r="AC39"/>
      <c r="AD39"/>
      <c r="AE39"/>
      <c r="AF39"/>
      <c r="AG39"/>
      <c r="AH39"/>
      <c r="AI39"/>
      <c r="AJ39" s="64"/>
      <c r="AK39" s="45"/>
      <c r="AL39" s="45"/>
      <c r="AM39" s="45"/>
      <c r="AN39" s="45"/>
      <c r="AO39" s="45"/>
      <c r="AP39" s="45"/>
      <c r="AQ39" s="45"/>
      <c r="AR39" s="45"/>
      <c r="AS39" s="45"/>
    </row>
    <row r="40" spans="2:45" ht="13.5" customHeight="1">
      <c r="B40" s="57">
        <f t="shared" si="2"/>
        <v>39416</v>
      </c>
      <c r="C40" s="65">
        <v>10423660</v>
      </c>
      <c r="D40" s="68"/>
      <c r="E40" s="80"/>
      <c r="F40" s="68"/>
      <c r="G40" s="69"/>
      <c r="H40" s="67">
        <f t="shared" si="3"/>
        <v>10423660</v>
      </c>
      <c r="I40" s="304"/>
      <c r="J40" s="169">
        <f>'HDD &amp; CDD'!N16</f>
        <v>517</v>
      </c>
      <c r="K40" s="169">
        <f>'HDD &amp; CDD'!N34</f>
        <v>0</v>
      </c>
      <c r="L40" s="397">
        <f t="shared" si="1"/>
        <v>30</v>
      </c>
      <c r="M40" s="169">
        <v>1</v>
      </c>
      <c r="N40" s="397">
        <f>[17]Sheet1!C38</f>
        <v>0</v>
      </c>
      <c r="O40" s="633"/>
      <c r="P40" s="620"/>
      <c r="Q40" s="629"/>
      <c r="R40" s="632">
        <f>'CDM Activity'!C86</f>
        <v>59993.363070240463</v>
      </c>
      <c r="S40" s="62"/>
      <c r="T40" s="62"/>
      <c r="U40" s="62"/>
      <c r="V40" s="630"/>
      <c r="W40" s="631">
        <f>[22]GDP!D63</f>
        <v>107.39620329451667</v>
      </c>
      <c r="X40" s="635">
        <f>'[22]Customer Count'!L59</f>
        <v>5814.5</v>
      </c>
      <c r="Y40" s="636"/>
      <c r="Z40" s="310"/>
      <c r="AA40" s="18"/>
      <c r="AB40" s="18" t="s">
        <v>25</v>
      </c>
      <c r="AC40" s="18" t="s">
        <v>26</v>
      </c>
      <c r="AD40" s="18" t="s">
        <v>27</v>
      </c>
      <c r="AE40" s="18" t="s">
        <v>28</v>
      </c>
      <c r="AF40" s="18" t="s">
        <v>29</v>
      </c>
      <c r="AG40"/>
      <c r="AH40"/>
      <c r="AI40"/>
      <c r="AJ40" s="64"/>
      <c r="AK40" s="45"/>
      <c r="AL40" s="45"/>
      <c r="AM40" s="45"/>
      <c r="AN40" s="45"/>
      <c r="AO40" s="45"/>
      <c r="AP40" s="45"/>
      <c r="AQ40" s="45"/>
      <c r="AR40" s="45"/>
      <c r="AS40" s="45"/>
    </row>
    <row r="41" spans="2:45">
      <c r="B41" s="172">
        <f t="shared" si="2"/>
        <v>39447</v>
      </c>
      <c r="C41" s="81">
        <v>12253260</v>
      </c>
      <c r="D41" s="82"/>
      <c r="E41" s="82"/>
      <c r="F41" s="82"/>
      <c r="G41" s="83"/>
      <c r="H41" s="74">
        <f t="shared" si="3"/>
        <v>12253260</v>
      </c>
      <c r="I41" s="305"/>
      <c r="J41" s="118">
        <f>'HDD &amp; CDD'!N17</f>
        <v>787.69999999999982</v>
      </c>
      <c r="K41" s="118">
        <f>'HDD &amp; CDD'!N35</f>
        <v>0</v>
      </c>
      <c r="L41" s="398">
        <f t="shared" si="1"/>
        <v>31</v>
      </c>
      <c r="M41" s="118">
        <v>0</v>
      </c>
      <c r="N41" s="398">
        <f>[17]Sheet1!C39</f>
        <v>2</v>
      </c>
      <c r="O41" s="633"/>
      <c r="P41" s="620"/>
      <c r="Q41" s="629"/>
      <c r="R41" s="632">
        <f>'CDM Activity'!C87</f>
        <v>62541.342266326516</v>
      </c>
      <c r="S41" s="62"/>
      <c r="T41" s="62"/>
      <c r="U41" s="62"/>
      <c r="V41" s="630"/>
      <c r="W41" s="631">
        <f>[22]GDP!D64</f>
        <v>107.58236159999987</v>
      </c>
      <c r="X41" s="635">
        <f>'[22]Customer Count'!L60</f>
        <v>5816</v>
      </c>
      <c r="Y41" s="636"/>
      <c r="Z41" s="310"/>
      <c r="AA41" s="16" t="s">
        <v>22</v>
      </c>
      <c r="AB41" s="16">
        <v>6</v>
      </c>
      <c r="AC41" s="16">
        <v>180289918761951.19</v>
      </c>
      <c r="AD41" s="16">
        <v>30048319793658.531</v>
      </c>
      <c r="AE41" s="16">
        <v>272.45922837004912</v>
      </c>
      <c r="AF41" s="16">
        <v>9.2802082289615509E-65</v>
      </c>
      <c r="AG41"/>
      <c r="AH41"/>
      <c r="AI41"/>
      <c r="AJ41" s="64"/>
      <c r="AK41" s="45"/>
      <c r="AL41" s="45"/>
      <c r="AM41" s="45"/>
      <c r="AN41" s="45"/>
      <c r="AO41" s="45"/>
      <c r="AP41" s="45"/>
      <c r="AQ41" s="45"/>
      <c r="AR41" s="45"/>
      <c r="AS41" s="45"/>
    </row>
    <row r="42" spans="2:45">
      <c r="B42" s="57">
        <f t="shared" si="2"/>
        <v>39478</v>
      </c>
      <c r="C42" s="65">
        <v>12288190</v>
      </c>
      <c r="D42" s="68"/>
      <c r="E42" s="80"/>
      <c r="F42" s="68"/>
      <c r="G42" s="69"/>
      <c r="H42" s="67">
        <f t="shared" si="3"/>
        <v>12288190</v>
      </c>
      <c r="I42" s="304"/>
      <c r="J42" s="169">
        <f>'HDD &amp; CDD'!O6</f>
        <v>754.20000000000016</v>
      </c>
      <c r="K42" s="169">
        <f>'HDD &amp; CDD'!O24</f>
        <v>0</v>
      </c>
      <c r="L42" s="397">
        <f t="shared" si="1"/>
        <v>31</v>
      </c>
      <c r="M42" s="169">
        <v>0</v>
      </c>
      <c r="N42" s="397">
        <f>[17]Sheet1!C40</f>
        <v>1</v>
      </c>
      <c r="O42" s="633"/>
      <c r="P42" s="620"/>
      <c r="Q42" s="629"/>
      <c r="R42" s="632">
        <f>'CDM Activity'!C88</f>
        <v>64386.233004899106</v>
      </c>
      <c r="S42" s="62"/>
      <c r="T42" s="62"/>
      <c r="U42" s="62"/>
      <c r="V42" s="630"/>
      <c r="W42" s="631">
        <f>[22]GDP!D65</f>
        <v>107.52842192391142</v>
      </c>
      <c r="X42" s="635">
        <f>'[22]Customer Count'!L61</f>
        <v>5815.5</v>
      </c>
      <c r="Y42" s="636"/>
      <c r="Z42" s="310"/>
      <c r="AA42" s="16" t="s">
        <v>23</v>
      </c>
      <c r="AB42" s="16">
        <v>113</v>
      </c>
      <c r="AC42" s="16">
        <v>12462268784200.484</v>
      </c>
      <c r="AD42" s="16">
        <v>110285564461.95119</v>
      </c>
      <c r="AE42" s="16"/>
      <c r="AF42" s="16"/>
      <c r="AG42"/>
      <c r="AH42"/>
      <c r="AI42"/>
      <c r="AJ42" s="64"/>
      <c r="AK42" s="45"/>
      <c r="AL42" s="45"/>
      <c r="AM42" s="45"/>
      <c r="AN42" s="45"/>
      <c r="AO42" s="45"/>
      <c r="AP42" s="45"/>
      <c r="AQ42" s="45"/>
      <c r="AR42" s="45"/>
      <c r="AS42" s="45"/>
    </row>
    <row r="43" spans="2:45" ht="13.5" thickBot="1">
      <c r="B43" s="57">
        <f t="shared" si="2"/>
        <v>39507</v>
      </c>
      <c r="C43" s="65">
        <v>11701800</v>
      </c>
      <c r="D43" s="68"/>
      <c r="E43" s="80"/>
      <c r="F43" s="68"/>
      <c r="G43" s="69"/>
      <c r="H43" s="67">
        <f t="shared" si="3"/>
        <v>11701800</v>
      </c>
      <c r="I43" s="304"/>
      <c r="J43" s="169">
        <f>'HDD &amp; CDD'!O7</f>
        <v>774.30000000000007</v>
      </c>
      <c r="K43" s="169">
        <f>'HDD &amp; CDD'!O25</f>
        <v>0</v>
      </c>
      <c r="L43" s="397">
        <f t="shared" si="1"/>
        <v>29</v>
      </c>
      <c r="M43" s="169">
        <v>0</v>
      </c>
      <c r="N43" s="397">
        <f>[17]Sheet1!C41</f>
        <v>1</v>
      </c>
      <c r="O43" s="633"/>
      <c r="P43" s="620"/>
      <c r="Q43" s="629"/>
      <c r="R43" s="632">
        <f>'CDM Activity'!C89</f>
        <v>66231.12374347169</v>
      </c>
      <c r="S43" s="62"/>
      <c r="T43" s="62"/>
      <c r="U43" s="62"/>
      <c r="V43" s="630"/>
      <c r="W43" s="631">
        <f>[22]GDP!D66</f>
        <v>107.47450929211362</v>
      </c>
      <c r="X43" s="635">
        <f>'[22]Customer Count'!L62</f>
        <v>5815</v>
      </c>
      <c r="Y43" s="636"/>
      <c r="Z43" s="310"/>
      <c r="AA43" s="17" t="s">
        <v>5</v>
      </c>
      <c r="AB43" s="17">
        <v>119</v>
      </c>
      <c r="AC43" s="17">
        <v>192752187546151.69</v>
      </c>
      <c r="AD43" s="17"/>
      <c r="AE43" s="17"/>
      <c r="AF43" s="17"/>
      <c r="AG43"/>
      <c r="AH43"/>
      <c r="AI43"/>
      <c r="AJ43" s="64"/>
      <c r="AK43" s="45"/>
      <c r="AL43" s="45"/>
      <c r="AM43" s="45"/>
      <c r="AN43" s="45"/>
      <c r="AO43" s="45"/>
      <c r="AP43" s="45"/>
      <c r="AQ43" s="45"/>
      <c r="AR43" s="45"/>
      <c r="AS43" s="45"/>
    </row>
    <row r="44" spans="2:45" ht="13.5" thickBot="1">
      <c r="B44" s="57">
        <f t="shared" si="2"/>
        <v>39538</v>
      </c>
      <c r="C44" s="65">
        <v>11663590</v>
      </c>
      <c r="D44" s="68"/>
      <c r="E44" s="80"/>
      <c r="F44" s="68"/>
      <c r="G44" s="69"/>
      <c r="H44" s="67">
        <f t="shared" si="3"/>
        <v>11663590</v>
      </c>
      <c r="I44" s="304"/>
      <c r="J44" s="169">
        <f>'HDD &amp; CDD'!O8</f>
        <v>721.1</v>
      </c>
      <c r="K44" s="169">
        <f>'HDD &amp; CDD'!O26</f>
        <v>0</v>
      </c>
      <c r="L44" s="397">
        <f t="shared" si="1"/>
        <v>31</v>
      </c>
      <c r="M44" s="169">
        <v>1</v>
      </c>
      <c r="N44" s="397">
        <f>[17]Sheet1!C42</f>
        <v>2</v>
      </c>
      <c r="O44" s="633"/>
      <c r="P44" s="620"/>
      <c r="Q44" s="629"/>
      <c r="R44" s="632">
        <f>'CDM Activity'!C90</f>
        <v>68076.01448204428</v>
      </c>
      <c r="S44" s="62"/>
      <c r="T44" s="62"/>
      <c r="U44" s="62"/>
      <c r="V44" s="630"/>
      <c r="W44" s="631">
        <f>[22]GDP!D67</f>
        <v>107.42062369104701</v>
      </c>
      <c r="X44" s="635">
        <f>'[22]Customer Count'!L63</f>
        <v>5814.5</v>
      </c>
      <c r="Y44" s="636"/>
      <c r="Z44" s="310"/>
      <c r="AA44"/>
      <c r="AB44"/>
      <c r="AC44"/>
      <c r="AD44"/>
      <c r="AE44"/>
      <c r="AF44"/>
      <c r="AG44"/>
      <c r="AH44"/>
      <c r="AI44"/>
      <c r="AJ44" s="64"/>
      <c r="AK44" s="45"/>
      <c r="AL44" s="45"/>
      <c r="AM44" s="45"/>
      <c r="AN44" s="45"/>
      <c r="AO44" s="45"/>
      <c r="AP44" s="45"/>
      <c r="AQ44" s="45"/>
      <c r="AR44" s="45"/>
      <c r="AS44" s="45"/>
    </row>
    <row r="45" spans="2:45">
      <c r="B45" s="57">
        <f t="shared" si="2"/>
        <v>39568</v>
      </c>
      <c r="C45" s="65">
        <v>9464610</v>
      </c>
      <c r="D45" s="68"/>
      <c r="E45" s="80"/>
      <c r="F45" s="68"/>
      <c r="G45" s="69"/>
      <c r="H45" s="67">
        <f t="shared" si="3"/>
        <v>9464610</v>
      </c>
      <c r="I45" s="304"/>
      <c r="J45" s="169">
        <f>'HDD &amp; CDD'!O9</f>
        <v>299.60000000000008</v>
      </c>
      <c r="K45" s="169">
        <f>'HDD &amp; CDD'!O27</f>
        <v>0</v>
      </c>
      <c r="L45" s="397">
        <f t="shared" si="1"/>
        <v>30</v>
      </c>
      <c r="M45" s="169">
        <v>1</v>
      </c>
      <c r="N45" s="397">
        <f>[17]Sheet1!C43</f>
        <v>0</v>
      </c>
      <c r="O45" s="633"/>
      <c r="P45" s="620"/>
      <c r="Q45" s="629"/>
      <c r="R45" s="632">
        <f>'CDM Activity'!C91</f>
        <v>69920.905220616871</v>
      </c>
      <c r="S45" s="62"/>
      <c r="T45" s="62"/>
      <c r="U45" s="62"/>
      <c r="V45" s="630"/>
      <c r="W45" s="631">
        <f>[22]GDP!D68</f>
        <v>107.3667651071589</v>
      </c>
      <c r="X45" s="635">
        <f>'[22]Customer Count'!L64</f>
        <v>5814</v>
      </c>
      <c r="Y45" s="636"/>
      <c r="Z45" s="310"/>
      <c r="AA45" s="18"/>
      <c r="AB45" s="18" t="s">
        <v>30</v>
      </c>
      <c r="AC45" s="18" t="s">
        <v>19</v>
      </c>
      <c r="AD45" s="18" t="s">
        <v>31</v>
      </c>
      <c r="AE45" s="18" t="s">
        <v>32</v>
      </c>
      <c r="AF45" s="18" t="s">
        <v>33</v>
      </c>
      <c r="AG45" s="18" t="s">
        <v>34</v>
      </c>
      <c r="AH45" s="18" t="s">
        <v>101</v>
      </c>
      <c r="AI45" s="18" t="s">
        <v>102</v>
      </c>
      <c r="AJ45" s="64"/>
      <c r="AK45" s="45"/>
      <c r="AL45" s="45"/>
      <c r="AM45" s="45"/>
      <c r="AN45" s="45"/>
      <c r="AO45" s="45"/>
      <c r="AP45" s="45"/>
      <c r="AQ45" s="45"/>
      <c r="AR45" s="45"/>
      <c r="AS45" s="45"/>
    </row>
    <row r="46" spans="2:45">
      <c r="B46" s="57">
        <f t="shared" si="2"/>
        <v>39599</v>
      </c>
      <c r="C46" s="65">
        <v>8709540</v>
      </c>
      <c r="D46" s="68"/>
      <c r="E46" s="80"/>
      <c r="F46" s="68"/>
      <c r="G46" s="69"/>
      <c r="H46" s="67">
        <f t="shared" si="3"/>
        <v>8709540</v>
      </c>
      <c r="I46" s="304"/>
      <c r="J46" s="169">
        <f>'HDD &amp; CDD'!O10</f>
        <v>185.40000000000003</v>
      </c>
      <c r="K46" s="169">
        <f>'HDD &amp; CDD'!O28</f>
        <v>0</v>
      </c>
      <c r="L46" s="397">
        <f t="shared" si="1"/>
        <v>31</v>
      </c>
      <c r="M46" s="169">
        <v>1</v>
      </c>
      <c r="N46" s="397">
        <f>[17]Sheet1!C44</f>
        <v>1</v>
      </c>
      <c r="O46" s="633"/>
      <c r="P46" s="620"/>
      <c r="Q46" s="629"/>
      <c r="R46" s="632">
        <f>'CDM Activity'!C92</f>
        <v>71765.795959189461</v>
      </c>
      <c r="S46" s="62"/>
      <c r="T46" s="62"/>
      <c r="U46" s="62"/>
      <c r="V46" s="630"/>
      <c r="W46" s="631">
        <f>[22]GDP!D69</f>
        <v>107.31293352690341</v>
      </c>
      <c r="X46" s="635">
        <f>'[22]Customer Count'!L65</f>
        <v>5813.5</v>
      </c>
      <c r="Y46" s="636"/>
      <c r="Z46" s="310"/>
      <c r="AA46" s="16" t="s">
        <v>24</v>
      </c>
      <c r="AB46" s="16">
        <v>9126795.7081660889</v>
      </c>
      <c r="AC46" s="16">
        <v>1481172.6923085351</v>
      </c>
      <c r="AD46" s="16">
        <v>6.1618714384621773</v>
      </c>
      <c r="AE46" s="16">
        <v>1.1360480861302509E-8</v>
      </c>
      <c r="AF46" s="16">
        <v>6192325.4612630829</v>
      </c>
      <c r="AG46" s="16">
        <v>12061265.955069095</v>
      </c>
      <c r="AH46" s="16">
        <v>6192325.4612630829</v>
      </c>
      <c r="AI46" s="16">
        <v>12061265.955069095</v>
      </c>
      <c r="AJ46" s="64"/>
      <c r="AK46" s="45"/>
      <c r="AL46" s="45"/>
      <c r="AM46" s="45"/>
      <c r="AN46" s="45"/>
      <c r="AO46" s="45"/>
      <c r="AP46" s="45"/>
      <c r="AQ46" s="45"/>
      <c r="AR46" s="45"/>
      <c r="AS46" s="45"/>
    </row>
    <row r="47" spans="2:45">
      <c r="B47" s="57">
        <f t="shared" si="2"/>
        <v>39629</v>
      </c>
      <c r="C47" s="65">
        <v>9032720</v>
      </c>
      <c r="D47" s="68"/>
      <c r="E47" s="80"/>
      <c r="F47" s="68"/>
      <c r="G47" s="69"/>
      <c r="H47" s="67">
        <f t="shared" si="3"/>
        <v>9032720</v>
      </c>
      <c r="I47" s="304"/>
      <c r="J47" s="169">
        <f>'HDD &amp; CDD'!O11</f>
        <v>22.400000000000002</v>
      </c>
      <c r="K47" s="169">
        <f>'HDD &amp; CDD'!O29</f>
        <v>60.5</v>
      </c>
      <c r="L47" s="397">
        <f t="shared" si="1"/>
        <v>30</v>
      </c>
      <c r="M47" s="169">
        <v>0</v>
      </c>
      <c r="N47" s="397">
        <f>[17]Sheet1!C45</f>
        <v>0</v>
      </c>
      <c r="O47" s="633"/>
      <c r="P47" s="620"/>
      <c r="Q47" s="629"/>
      <c r="R47" s="632">
        <f>'CDM Activity'!C93</f>
        <v>73610.686697762052</v>
      </c>
      <c r="S47" s="62"/>
      <c r="T47" s="62"/>
      <c r="U47" s="62"/>
      <c r="V47" s="630"/>
      <c r="W47" s="631">
        <f>[22]GDP!D70</f>
        <v>107.25912893674146</v>
      </c>
      <c r="X47" s="635">
        <f>'[22]Customer Count'!L66</f>
        <v>5813</v>
      </c>
      <c r="Y47" s="636"/>
      <c r="Z47" s="310"/>
      <c r="AA47" s="16" t="s">
        <v>106</v>
      </c>
      <c r="AB47" s="16">
        <v>4649.1937590470397</v>
      </c>
      <c r="AC47" s="16">
        <v>177.730461163017</v>
      </c>
      <c r="AD47" s="16">
        <v>26.158677182425869</v>
      </c>
      <c r="AE47" s="16">
        <v>9.2264831456770567E-50</v>
      </c>
      <c r="AF47" s="16">
        <v>4297.0776601211601</v>
      </c>
      <c r="AG47" s="16">
        <v>5001.3098579729194</v>
      </c>
      <c r="AH47" s="16">
        <v>4297.0776601211601</v>
      </c>
      <c r="AI47" s="16">
        <v>5001.3098579729194</v>
      </c>
      <c r="AJ47" s="64"/>
      <c r="AK47" s="45"/>
      <c r="AL47" s="45"/>
      <c r="AM47" s="45"/>
      <c r="AN47" s="45"/>
      <c r="AO47" s="45"/>
      <c r="AP47" s="45"/>
      <c r="AQ47" s="45"/>
      <c r="AR47" s="45"/>
      <c r="AS47" s="45"/>
    </row>
    <row r="48" spans="2:45">
      <c r="B48" s="57">
        <f t="shared" si="2"/>
        <v>39660</v>
      </c>
      <c r="C48" s="65">
        <v>9681910</v>
      </c>
      <c r="D48" s="68"/>
      <c r="E48" s="80"/>
      <c r="F48" s="68"/>
      <c r="G48" s="69"/>
      <c r="H48" s="67">
        <f t="shared" si="3"/>
        <v>9681910</v>
      </c>
      <c r="I48" s="304"/>
      <c r="J48" s="169">
        <f>'HDD &amp; CDD'!O12</f>
        <v>0.3</v>
      </c>
      <c r="K48" s="169">
        <f>'HDD &amp; CDD'!O30</f>
        <v>78.899999999999991</v>
      </c>
      <c r="L48" s="397">
        <f t="shared" si="1"/>
        <v>31</v>
      </c>
      <c r="M48" s="169">
        <v>0</v>
      </c>
      <c r="N48" s="397">
        <f>[17]Sheet1!C46</f>
        <v>1</v>
      </c>
      <c r="O48" s="633"/>
      <c r="P48" s="620"/>
      <c r="Q48" s="629"/>
      <c r="R48" s="632">
        <f>'CDM Activity'!C94</f>
        <v>75455.577436334643</v>
      </c>
      <c r="S48" s="62"/>
      <c r="T48" s="62"/>
      <c r="U48" s="62"/>
      <c r="V48" s="630"/>
      <c r="W48" s="631">
        <f>[22]GDP!D71</f>
        <v>107.20535132314075</v>
      </c>
      <c r="X48" s="635">
        <f>'[22]Customer Count'!L67</f>
        <v>5812.5</v>
      </c>
      <c r="Y48" s="636"/>
      <c r="Z48" s="310"/>
      <c r="AA48" s="16" t="s">
        <v>107</v>
      </c>
      <c r="AB48" s="16">
        <v>13506.877890034684</v>
      </c>
      <c r="AC48" s="16">
        <v>1639.7026109289666</v>
      </c>
      <c r="AD48" s="16">
        <v>8.2373948788081872</v>
      </c>
      <c r="AE48" s="16">
        <v>3.4756563003112549E-13</v>
      </c>
      <c r="AF48" s="16">
        <v>10258.331281981275</v>
      </c>
      <c r="AG48" s="16">
        <v>16755.424498088094</v>
      </c>
      <c r="AH48" s="16">
        <v>10258.331281981275</v>
      </c>
      <c r="AI48" s="16">
        <v>16755.424498088094</v>
      </c>
      <c r="AJ48" s="64"/>
      <c r="AK48" s="45"/>
      <c r="AL48" s="45"/>
      <c r="AM48" s="45"/>
      <c r="AN48" s="45"/>
      <c r="AO48" s="45"/>
      <c r="AP48" s="45"/>
      <c r="AQ48" s="45"/>
      <c r="AR48" s="45"/>
      <c r="AS48" s="45"/>
    </row>
    <row r="49" spans="2:46">
      <c r="B49" s="57">
        <f t="shared" si="2"/>
        <v>39691</v>
      </c>
      <c r="C49" s="65">
        <v>9241240</v>
      </c>
      <c r="D49" s="68"/>
      <c r="E49" s="80"/>
      <c r="F49" s="68"/>
      <c r="G49" s="69"/>
      <c r="H49" s="67">
        <f t="shared" si="3"/>
        <v>9241240</v>
      </c>
      <c r="I49" s="304"/>
      <c r="J49" s="169">
        <f>'HDD &amp; CDD'!O13</f>
        <v>14.399999999999999</v>
      </c>
      <c r="K49" s="169">
        <f>'HDD &amp; CDD'!O31</f>
        <v>49.499999999999993</v>
      </c>
      <c r="L49" s="397">
        <f t="shared" si="1"/>
        <v>31</v>
      </c>
      <c r="M49" s="169">
        <v>0</v>
      </c>
      <c r="N49" s="397">
        <f>[17]Sheet1!C47</f>
        <v>1</v>
      </c>
      <c r="O49" s="633"/>
      <c r="P49" s="620"/>
      <c r="Q49" s="629"/>
      <c r="R49" s="632">
        <f>'CDM Activity'!C95</f>
        <v>77300.468174907233</v>
      </c>
      <c r="S49" s="62"/>
      <c r="T49" s="62"/>
      <c r="U49" s="62"/>
      <c r="V49" s="630"/>
      <c r="W49" s="631">
        <f>[22]GDP!D72</f>
        <v>107.15160067257574</v>
      </c>
      <c r="X49" s="635">
        <f>'[22]Customer Count'!L68</f>
        <v>5812</v>
      </c>
      <c r="Y49" s="636"/>
      <c r="Z49" s="310"/>
      <c r="AA49" s="16" t="s">
        <v>3</v>
      </c>
      <c r="AB49" s="16">
        <v>257516.74369499242</v>
      </c>
      <c r="AC49" s="16">
        <v>40865.399210889729</v>
      </c>
      <c r="AD49" s="16">
        <v>6.3015839479764555</v>
      </c>
      <c r="AE49" s="16">
        <v>5.8504431591985984E-9</v>
      </c>
      <c r="AF49" s="16">
        <v>176555.01739873824</v>
      </c>
      <c r="AG49" s="16">
        <v>338478.46999124659</v>
      </c>
      <c r="AH49" s="16">
        <v>176555.01739873824</v>
      </c>
      <c r="AI49" s="16">
        <v>338478.46999124659</v>
      </c>
      <c r="AJ49" s="64"/>
      <c r="AK49" s="45"/>
      <c r="AL49" s="45"/>
      <c r="AM49" s="45"/>
      <c r="AN49" s="45"/>
      <c r="AO49" s="45"/>
      <c r="AP49" s="45"/>
      <c r="AQ49" s="45"/>
      <c r="AR49" s="45"/>
      <c r="AS49" s="45"/>
    </row>
    <row r="50" spans="2:46">
      <c r="B50" s="57">
        <f t="shared" si="2"/>
        <v>39721</v>
      </c>
      <c r="C50" s="65">
        <v>8800520</v>
      </c>
      <c r="D50" s="68"/>
      <c r="E50" s="80"/>
      <c r="F50" s="68"/>
      <c r="G50" s="69"/>
      <c r="H50" s="67">
        <f t="shared" si="3"/>
        <v>8800520</v>
      </c>
      <c r="I50" s="304"/>
      <c r="J50" s="169">
        <f>'HDD &amp; CDD'!O14</f>
        <v>95.4</v>
      </c>
      <c r="K50" s="169">
        <f>'HDD &amp; CDD'!O32</f>
        <v>25</v>
      </c>
      <c r="L50" s="397">
        <f t="shared" si="1"/>
        <v>30</v>
      </c>
      <c r="M50" s="169">
        <v>1</v>
      </c>
      <c r="N50" s="397">
        <f>[17]Sheet1!C48</f>
        <v>1</v>
      </c>
      <c r="O50" s="633"/>
      <c r="P50" s="620"/>
      <c r="Q50" s="629"/>
      <c r="R50" s="632">
        <f>'CDM Activity'!C96</f>
        <v>79145.358913479824</v>
      </c>
      <c r="S50" s="62"/>
      <c r="T50" s="62"/>
      <c r="U50" s="62"/>
      <c r="V50" s="630"/>
      <c r="W50" s="631">
        <f>[22]GDP!D73</f>
        <v>107.09787697152773</v>
      </c>
      <c r="X50" s="635">
        <f>'[22]Customer Count'!L69</f>
        <v>5811.5</v>
      </c>
      <c r="Y50" s="636"/>
      <c r="Z50" s="310"/>
      <c r="AA50" s="16" t="s">
        <v>108</v>
      </c>
      <c r="AB50" s="16">
        <v>-386334.5189030731</v>
      </c>
      <c r="AC50" s="16">
        <v>91553.49403598177</v>
      </c>
      <c r="AD50" s="16">
        <v>-4.2197681581790683</v>
      </c>
      <c r="AE50" s="16">
        <v>4.9601543113032908E-5</v>
      </c>
      <c r="AF50" s="16">
        <v>-567718.50312294764</v>
      </c>
      <c r="AG50" s="16">
        <v>-204950.53468319861</v>
      </c>
      <c r="AH50" s="16">
        <v>-567718.50312294764</v>
      </c>
      <c r="AI50" s="16">
        <v>-204950.53468319861</v>
      </c>
      <c r="AJ50" s="64"/>
      <c r="AK50" s="45"/>
      <c r="AL50" s="45"/>
      <c r="AM50" s="45"/>
      <c r="AN50" s="45"/>
      <c r="AO50" s="45"/>
      <c r="AP50" s="45"/>
      <c r="AQ50" s="45"/>
      <c r="AR50" s="45"/>
      <c r="AS50" s="45"/>
    </row>
    <row r="51" spans="2:46">
      <c r="B51" s="57">
        <f t="shared" si="2"/>
        <v>39752</v>
      </c>
      <c r="C51" s="65">
        <v>8997790</v>
      </c>
      <c r="D51" s="68"/>
      <c r="E51" s="80"/>
      <c r="F51" s="68"/>
      <c r="G51" s="69"/>
      <c r="H51" s="67">
        <f t="shared" si="3"/>
        <v>8997790</v>
      </c>
      <c r="I51" s="304"/>
      <c r="J51" s="169">
        <f>'HDD &amp; CDD'!O15</f>
        <v>321.80000000000007</v>
      </c>
      <c r="K51" s="169">
        <f>'HDD &amp; CDD'!O33</f>
        <v>0</v>
      </c>
      <c r="L51" s="397">
        <f t="shared" si="1"/>
        <v>31</v>
      </c>
      <c r="M51" s="169">
        <v>1</v>
      </c>
      <c r="N51" s="397">
        <f>[17]Sheet1!C49</f>
        <v>1</v>
      </c>
      <c r="O51" s="633"/>
      <c r="P51" s="620"/>
      <c r="Q51" s="629"/>
      <c r="R51" s="632">
        <f>'CDM Activity'!C97</f>
        <v>80990.249652052415</v>
      </c>
      <c r="S51" s="62"/>
      <c r="T51" s="62"/>
      <c r="U51" s="62"/>
      <c r="V51" s="630"/>
      <c r="W51" s="631">
        <f>[22]GDP!D74</f>
        <v>107.04418020648474</v>
      </c>
      <c r="X51" s="635">
        <f>'[22]Customer Count'!L70</f>
        <v>5811</v>
      </c>
      <c r="Y51" s="636"/>
      <c r="Z51" s="310"/>
      <c r="AA51" s="16" t="s">
        <v>109</v>
      </c>
      <c r="AB51" s="16">
        <v>-122889.52064029296</v>
      </c>
      <c r="AC51" s="16">
        <v>50805.732193975608</v>
      </c>
      <c r="AD51" s="16">
        <v>-2.418812116930082</v>
      </c>
      <c r="AE51" s="16">
        <v>1.7167715480563443E-2</v>
      </c>
      <c r="AF51" s="16">
        <v>-223544.83940867864</v>
      </c>
      <c r="AG51" s="16">
        <v>-22234.201871907295</v>
      </c>
      <c r="AH51" s="16">
        <v>-223544.83940867864</v>
      </c>
      <c r="AI51" s="16">
        <v>-22234.201871907295</v>
      </c>
      <c r="AJ51" s="64"/>
      <c r="AK51" s="45"/>
      <c r="AL51" s="45"/>
      <c r="AM51" s="45"/>
      <c r="AN51" s="45"/>
    </row>
    <row r="52" spans="2:46" ht="13.5" thickBot="1">
      <c r="B52" s="57">
        <f t="shared" si="2"/>
        <v>39782</v>
      </c>
      <c r="C52" s="65">
        <v>9775270</v>
      </c>
      <c r="D52" s="68"/>
      <c r="E52" s="80"/>
      <c r="F52" s="68"/>
      <c r="G52" s="69"/>
      <c r="H52" s="67">
        <f t="shared" si="3"/>
        <v>9775270</v>
      </c>
      <c r="I52" s="304"/>
      <c r="J52" s="169">
        <f>'HDD &amp; CDD'!O16</f>
        <v>502.8</v>
      </c>
      <c r="K52" s="169">
        <f>'HDD &amp; CDD'!O34</f>
        <v>0</v>
      </c>
      <c r="L52" s="397">
        <f t="shared" si="1"/>
        <v>30</v>
      </c>
      <c r="M52" s="169">
        <v>1</v>
      </c>
      <c r="N52" s="397">
        <f>[17]Sheet1!C50</f>
        <v>0</v>
      </c>
      <c r="O52" s="633"/>
      <c r="P52" s="620"/>
      <c r="Q52" s="629"/>
      <c r="R52" s="632">
        <f>'CDM Activity'!C98</f>
        <v>82835.140390625005</v>
      </c>
      <c r="S52" s="62"/>
      <c r="T52" s="62"/>
      <c r="U52" s="62"/>
      <c r="V52" s="630"/>
      <c r="W52" s="631">
        <f>[22]GDP!D75</f>
        <v>106.9905103639416</v>
      </c>
      <c r="X52" s="635">
        <f>'[22]Customer Count'!L71</f>
        <v>5810.5</v>
      </c>
      <c r="Y52" s="636"/>
      <c r="Z52" s="310"/>
      <c r="AA52" s="17" t="s">
        <v>261</v>
      </c>
      <c r="AB52" s="402">
        <v>-80344.19520679253</v>
      </c>
      <c r="AC52" s="17">
        <v>8371.909715278367</v>
      </c>
      <c r="AD52" s="17">
        <v>-9.596877885599735</v>
      </c>
      <c r="AE52" s="17">
        <v>2.609992577434715E-16</v>
      </c>
      <c r="AF52" s="17">
        <v>-96930.458305494831</v>
      </c>
      <c r="AG52" s="17">
        <v>-63757.93210809023</v>
      </c>
      <c r="AH52" s="17">
        <v>-96930.458305494831</v>
      </c>
      <c r="AI52" s="17">
        <v>-63757.93210809023</v>
      </c>
      <c r="AJ52" s="64"/>
      <c r="AK52" s="45"/>
      <c r="AL52" s="45"/>
      <c r="AM52" s="45"/>
      <c r="AN52" s="45"/>
    </row>
    <row r="53" spans="2:46">
      <c r="B53" s="172">
        <f t="shared" si="2"/>
        <v>39813</v>
      </c>
      <c r="C53" s="81">
        <v>11977460</v>
      </c>
      <c r="D53" s="82"/>
      <c r="E53" s="82"/>
      <c r="F53" s="82"/>
      <c r="G53" s="83"/>
      <c r="H53" s="74">
        <f t="shared" si="3"/>
        <v>11977460</v>
      </c>
      <c r="I53" s="305"/>
      <c r="J53" s="118">
        <f>'HDD &amp; CDD'!O17</f>
        <v>796.70000000000027</v>
      </c>
      <c r="K53" s="118">
        <f>'HDD &amp; CDD'!O35</f>
        <v>0</v>
      </c>
      <c r="L53" s="398">
        <f t="shared" si="1"/>
        <v>31</v>
      </c>
      <c r="M53" s="118">
        <v>0</v>
      </c>
      <c r="N53" s="398">
        <f>[17]Sheet1!C51</f>
        <v>2</v>
      </c>
      <c r="O53" s="633"/>
      <c r="P53" s="620"/>
      <c r="Q53" s="629"/>
      <c r="R53" s="632">
        <f>'CDM Activity'!C99</f>
        <v>84680.031129197596</v>
      </c>
      <c r="S53" s="62"/>
      <c r="T53" s="62"/>
      <c r="U53" s="62"/>
      <c r="V53" s="630"/>
      <c r="W53" s="631">
        <f>[22]GDP!D76</f>
        <v>106.93686743039989</v>
      </c>
      <c r="X53" s="635">
        <f>'[22]Customer Count'!L72</f>
        <v>5810</v>
      </c>
      <c r="Y53" s="636"/>
      <c r="Z53" s="310"/>
      <c r="AA53"/>
      <c r="AB53"/>
      <c r="AC53"/>
      <c r="AD53"/>
      <c r="AE53"/>
      <c r="AF53"/>
      <c r="AG53"/>
      <c r="AH53"/>
      <c r="AI53"/>
      <c r="AJ53" s="64"/>
      <c r="AK53" s="45"/>
      <c r="AL53" s="45"/>
      <c r="AM53" s="45"/>
      <c r="AN53" s="45"/>
      <c r="AO53" s="45"/>
      <c r="AP53" s="45"/>
      <c r="AQ53" s="45"/>
      <c r="AR53" s="45"/>
      <c r="AS53" s="45"/>
    </row>
    <row r="54" spans="2:46" ht="13.5" thickBot="1">
      <c r="B54" s="57">
        <f t="shared" si="2"/>
        <v>39844</v>
      </c>
      <c r="C54" s="65">
        <v>12715660</v>
      </c>
      <c r="D54" s="68"/>
      <c r="E54" s="80"/>
      <c r="F54" s="68"/>
      <c r="G54" s="69"/>
      <c r="H54" s="67">
        <f t="shared" si="3"/>
        <v>12715660</v>
      </c>
      <c r="I54" s="304"/>
      <c r="J54" s="169">
        <f>'HDD &amp; CDD'!P6</f>
        <v>979.5</v>
      </c>
      <c r="K54" s="169">
        <f>'HDD &amp; CDD'!P24</f>
        <v>0</v>
      </c>
      <c r="L54" s="397">
        <f t="shared" si="1"/>
        <v>31</v>
      </c>
      <c r="M54" s="169">
        <v>0</v>
      </c>
      <c r="N54" s="397">
        <f>[17]Sheet1!C52</f>
        <v>1</v>
      </c>
      <c r="O54" s="633"/>
      <c r="P54" s="620"/>
      <c r="Q54" s="629"/>
      <c r="R54" s="632">
        <f>'CDM Activity'!C100</f>
        <v>89869.377558430104</v>
      </c>
      <c r="S54" s="62"/>
      <c r="T54" s="62"/>
      <c r="U54" s="62"/>
      <c r="V54" s="630"/>
      <c r="W54" s="631">
        <f>[22]GDP!D77</f>
        <v>106.64743247710501</v>
      </c>
      <c r="X54" s="635">
        <f>'[22]Customer Count'!L73</f>
        <v>5810.333333333333</v>
      </c>
      <c r="Y54" s="636"/>
      <c r="Z54" s="310"/>
      <c r="AA54"/>
      <c r="AB54"/>
      <c r="AC54"/>
      <c r="AD54"/>
      <c r="AE54"/>
      <c r="AF54"/>
      <c r="AG54"/>
      <c r="AH54"/>
      <c r="AI54"/>
      <c r="AJ54" s="64"/>
      <c r="AK54" s="45"/>
      <c r="AL54" s="45"/>
      <c r="AM54" s="45"/>
      <c r="AN54" s="45"/>
      <c r="AO54" s="45"/>
      <c r="AP54" s="45"/>
      <c r="AQ54" s="45"/>
      <c r="AR54" s="45"/>
      <c r="AS54" s="45"/>
    </row>
    <row r="55" spans="2:46" ht="13.5" thickBot="1">
      <c r="B55" s="57">
        <f t="shared" si="2"/>
        <v>39872</v>
      </c>
      <c r="C55" s="65">
        <v>10806911</v>
      </c>
      <c r="D55" s="68"/>
      <c r="E55" s="80"/>
      <c r="F55" s="68"/>
      <c r="G55" s="69"/>
      <c r="H55" s="67">
        <f t="shared" si="3"/>
        <v>10806911</v>
      </c>
      <c r="I55" s="304"/>
      <c r="J55" s="169">
        <f>'HDD &amp; CDD'!P7</f>
        <v>711.5</v>
      </c>
      <c r="K55" s="169">
        <f>'HDD &amp; CDD'!P25</f>
        <v>0</v>
      </c>
      <c r="L55" s="397">
        <f t="shared" si="1"/>
        <v>28</v>
      </c>
      <c r="M55" s="169">
        <v>0</v>
      </c>
      <c r="N55" s="397">
        <f>[17]Sheet1!C53</f>
        <v>1</v>
      </c>
      <c r="O55" s="633"/>
      <c r="P55" s="620"/>
      <c r="Q55" s="629"/>
      <c r="R55" s="632">
        <f>'CDM Activity'!C101</f>
        <v>95058.723987662612</v>
      </c>
      <c r="S55" s="62"/>
      <c r="T55" s="62"/>
      <c r="U55" s="62"/>
      <c r="V55" s="630"/>
      <c r="W55" s="631">
        <f>[22]GDP!D78</f>
        <v>106.35878090744762</v>
      </c>
      <c r="X55" s="635">
        <f>'[22]Customer Count'!L74</f>
        <v>5810.6666666666661</v>
      </c>
      <c r="Y55" s="636"/>
      <c r="Z55" s="623" t="s">
        <v>265</v>
      </c>
      <c r="AA55" t="s">
        <v>14</v>
      </c>
      <c r="AB55"/>
      <c r="AC55"/>
      <c r="AD55"/>
      <c r="AE55"/>
      <c r="AF55"/>
      <c r="AG55"/>
      <c r="AH55"/>
      <c r="AI55"/>
      <c r="AJ55" s="64"/>
      <c r="AK55" s="45"/>
      <c r="AL55" s="45"/>
      <c r="AM55" s="45"/>
      <c r="AN55" s="45"/>
      <c r="AO55" s="45"/>
      <c r="AP55" s="45"/>
      <c r="AQ55" s="45"/>
      <c r="AR55" s="45"/>
      <c r="AS55" s="45"/>
    </row>
    <row r="56" spans="2:46" ht="13.5" thickBot="1">
      <c r="B56" s="57">
        <f t="shared" si="2"/>
        <v>39903</v>
      </c>
      <c r="C56" s="65">
        <v>10822297</v>
      </c>
      <c r="D56" s="68"/>
      <c r="E56" s="80"/>
      <c r="F56" s="68"/>
      <c r="G56" s="69"/>
      <c r="H56" s="67">
        <f t="shared" si="3"/>
        <v>10822297</v>
      </c>
      <c r="I56" s="304"/>
      <c r="J56" s="169">
        <f>'HDD &amp; CDD'!P8</f>
        <v>598.30000000000007</v>
      </c>
      <c r="K56" s="169">
        <f>'HDD &amp; CDD'!P26</f>
        <v>0</v>
      </c>
      <c r="L56" s="397">
        <f t="shared" si="1"/>
        <v>31</v>
      </c>
      <c r="M56" s="169">
        <v>1</v>
      </c>
      <c r="N56" s="397">
        <f>[17]Sheet1!C54</f>
        <v>0</v>
      </c>
      <c r="O56" s="633"/>
      <c r="P56" s="620"/>
      <c r="Q56" s="629"/>
      <c r="R56" s="632">
        <f>'CDM Activity'!C102</f>
        <v>100248.07041689512</v>
      </c>
      <c r="S56" s="62"/>
      <c r="T56" s="62"/>
      <c r="U56" s="62"/>
      <c r="V56" s="630"/>
      <c r="W56" s="631">
        <f>[22]GDP!D79</f>
        <v>106.0709106011243</v>
      </c>
      <c r="X56" s="635">
        <f>'[22]Customer Count'!L75</f>
        <v>5810.9999999999991</v>
      </c>
      <c r="Y56" s="636"/>
      <c r="Z56" s="310"/>
      <c r="AA56"/>
      <c r="AB56"/>
      <c r="AC56"/>
      <c r="AD56"/>
      <c r="AE56"/>
      <c r="AF56"/>
      <c r="AG56"/>
      <c r="AH56"/>
      <c r="AI56"/>
      <c r="AJ56" s="64"/>
      <c r="AK56" s="45"/>
      <c r="AL56" s="45"/>
      <c r="AM56" s="45"/>
      <c r="AN56" s="45"/>
      <c r="AO56" s="45"/>
      <c r="AP56" s="45"/>
      <c r="AQ56" s="45"/>
      <c r="AR56" s="45"/>
      <c r="AS56" s="45"/>
    </row>
    <row r="57" spans="2:46">
      <c r="B57" s="57">
        <f t="shared" si="2"/>
        <v>39933</v>
      </c>
      <c r="C57" s="65">
        <v>9188119</v>
      </c>
      <c r="D57" s="68"/>
      <c r="E57" s="80"/>
      <c r="F57" s="68"/>
      <c r="G57" s="69"/>
      <c r="H57" s="67">
        <f t="shared" si="3"/>
        <v>9188119</v>
      </c>
      <c r="I57" s="304"/>
      <c r="J57" s="169">
        <f>'HDD &amp; CDD'!P9</f>
        <v>334.2999999999999</v>
      </c>
      <c r="K57" s="169">
        <f>'HDD &amp; CDD'!P27</f>
        <v>2.5</v>
      </c>
      <c r="L57" s="397">
        <f t="shared" si="1"/>
        <v>30</v>
      </c>
      <c r="M57" s="169">
        <v>1</v>
      </c>
      <c r="N57" s="397">
        <f>[17]Sheet1!C55</f>
        <v>2</v>
      </c>
      <c r="O57" s="633"/>
      <c r="P57" s="620"/>
      <c r="Q57" s="629"/>
      <c r="R57" s="632">
        <f>'CDM Activity'!C103</f>
        <v>105437.41684612763</v>
      </c>
      <c r="S57" s="62"/>
      <c r="T57" s="62"/>
      <c r="U57" s="62"/>
      <c r="V57" s="630"/>
      <c r="W57" s="631">
        <f>[22]GDP!D80</f>
        <v>105.78381944357039</v>
      </c>
      <c r="X57" s="635">
        <f>'[22]Customer Count'!L76</f>
        <v>5811.3333333333321</v>
      </c>
      <c r="Y57" s="636"/>
      <c r="Z57" s="310"/>
      <c r="AA57" s="19" t="s">
        <v>15</v>
      </c>
      <c r="AB57" s="19"/>
      <c r="AC57"/>
      <c r="AD57"/>
      <c r="AE57"/>
      <c r="AF57"/>
      <c r="AG57"/>
      <c r="AH57"/>
      <c r="AI57"/>
      <c r="AJ57" s="64"/>
      <c r="AK57" s="45"/>
      <c r="AL57" s="45"/>
      <c r="AM57" s="45"/>
      <c r="AN57" s="45"/>
      <c r="AO57" s="45"/>
      <c r="AP57" s="45"/>
      <c r="AQ57" s="45"/>
      <c r="AR57" s="45"/>
      <c r="AS57" s="45"/>
    </row>
    <row r="58" spans="2:46">
      <c r="B58" s="57">
        <f t="shared" si="2"/>
        <v>39964</v>
      </c>
      <c r="C58" s="65">
        <v>8646669</v>
      </c>
      <c r="D58" s="68"/>
      <c r="E58" s="80"/>
      <c r="F58" s="68"/>
      <c r="G58" s="69"/>
      <c r="H58" s="67">
        <f t="shared" si="3"/>
        <v>8646669</v>
      </c>
      <c r="I58" s="304"/>
      <c r="J58" s="169">
        <f>'HDD &amp; CDD'!P10</f>
        <v>181.6</v>
      </c>
      <c r="K58" s="169">
        <f>'HDD &amp; CDD'!P28</f>
        <v>3.2</v>
      </c>
      <c r="L58" s="397">
        <f t="shared" si="1"/>
        <v>31</v>
      </c>
      <c r="M58" s="169">
        <v>1</v>
      </c>
      <c r="N58" s="397">
        <f>[17]Sheet1!C56</f>
        <v>1</v>
      </c>
      <c r="O58" s="633"/>
      <c r="P58" s="620"/>
      <c r="Q58" s="629"/>
      <c r="R58" s="632">
        <f>'CDM Activity'!C104</f>
        <v>110626.76327536014</v>
      </c>
      <c r="S58" s="62"/>
      <c r="T58" s="62"/>
      <c r="U58" s="62"/>
      <c r="V58" s="630"/>
      <c r="W58" s="631">
        <f>[22]GDP!D81</f>
        <v>105.49750532594459</v>
      </c>
      <c r="X58" s="635">
        <f>'[22]Customer Count'!L77</f>
        <v>5811.6666666666652</v>
      </c>
      <c r="Y58" s="636"/>
      <c r="Z58" s="310"/>
      <c r="AA58" s="16" t="s">
        <v>16</v>
      </c>
      <c r="AB58" s="16">
        <v>0.93949424883674826</v>
      </c>
      <c r="AC58"/>
      <c r="AD58"/>
      <c r="AE58"/>
      <c r="AF58"/>
      <c r="AG58"/>
      <c r="AH58"/>
      <c r="AI58"/>
      <c r="AJ58" s="64"/>
      <c r="AK58" s="45"/>
      <c r="AL58" s="45"/>
      <c r="AM58" s="45"/>
      <c r="AN58" s="45"/>
      <c r="AO58" s="45"/>
      <c r="AP58" s="45"/>
      <c r="AQ58" s="45"/>
      <c r="AR58" s="45"/>
      <c r="AS58" s="45"/>
      <c r="AT58" s="45"/>
    </row>
    <row r="59" spans="2:46">
      <c r="B59" s="57">
        <f t="shared" si="2"/>
        <v>39994</v>
      </c>
      <c r="C59" s="65">
        <v>8694745</v>
      </c>
      <c r="D59" s="68"/>
      <c r="E59" s="80"/>
      <c r="F59" s="68"/>
      <c r="G59" s="69"/>
      <c r="H59" s="67">
        <f t="shared" si="3"/>
        <v>8694745</v>
      </c>
      <c r="I59" s="304"/>
      <c r="J59" s="169">
        <f>'HDD &amp; CDD'!P11</f>
        <v>50.4</v>
      </c>
      <c r="K59" s="169">
        <f>'HDD &amp; CDD'!P29</f>
        <v>44.9</v>
      </c>
      <c r="L59" s="397">
        <f t="shared" si="1"/>
        <v>30</v>
      </c>
      <c r="M59" s="169">
        <v>0</v>
      </c>
      <c r="N59" s="397">
        <f>[17]Sheet1!C57</f>
        <v>0</v>
      </c>
      <c r="O59" s="633"/>
      <c r="P59" s="620"/>
      <c r="Q59" s="629"/>
      <c r="R59" s="632">
        <f>'CDM Activity'!C105</f>
        <v>115816.10970459264</v>
      </c>
      <c r="S59" s="62"/>
      <c r="T59" s="62"/>
      <c r="U59" s="62"/>
      <c r="V59" s="630"/>
      <c r="W59" s="631">
        <f>[22]GDP!D82</f>
        <v>105.21196614511329</v>
      </c>
      <c r="X59" s="635">
        <f>'[22]Customer Count'!L78</f>
        <v>5811.9999999999982</v>
      </c>
      <c r="Y59" s="636"/>
      <c r="Z59" s="310"/>
      <c r="AA59" s="16" t="s">
        <v>17</v>
      </c>
      <c r="AB59" s="638">
        <v>0.88264944359732578</v>
      </c>
      <c r="AC59"/>
      <c r="AD59"/>
      <c r="AE59"/>
      <c r="AF59"/>
      <c r="AG59"/>
      <c r="AH59"/>
      <c r="AI59"/>
      <c r="AJ59" s="64"/>
      <c r="AK59" s="45"/>
      <c r="AL59" s="45"/>
      <c r="AM59" s="45"/>
      <c r="AN59" s="45"/>
      <c r="AO59" s="45"/>
      <c r="AP59" s="45"/>
      <c r="AQ59" s="45"/>
      <c r="AR59" s="45"/>
      <c r="AS59" s="45"/>
      <c r="AT59" s="45"/>
    </row>
    <row r="60" spans="2:46">
      <c r="B60" s="57">
        <f t="shared" si="2"/>
        <v>40025</v>
      </c>
      <c r="C60" s="65">
        <v>8965453</v>
      </c>
      <c r="D60" s="68"/>
      <c r="E60" s="80"/>
      <c r="F60" s="68"/>
      <c r="G60" s="69"/>
      <c r="H60" s="67">
        <f t="shared" si="3"/>
        <v>8965453</v>
      </c>
      <c r="I60" s="304"/>
      <c r="J60" s="169">
        <f>'HDD &amp; CDD'!P12</f>
        <v>13.1</v>
      </c>
      <c r="K60" s="169">
        <f>'HDD &amp; CDD'!P30</f>
        <v>42.899999999999991</v>
      </c>
      <c r="L60" s="397">
        <f t="shared" si="1"/>
        <v>31</v>
      </c>
      <c r="M60" s="169">
        <v>0</v>
      </c>
      <c r="N60" s="397">
        <f>[17]Sheet1!C58</f>
        <v>1</v>
      </c>
      <c r="O60" s="633"/>
      <c r="P60" s="620"/>
      <c r="Q60" s="629"/>
      <c r="R60" s="632">
        <f>'CDM Activity'!C106</f>
        <v>121005.45613382515</v>
      </c>
      <c r="S60" s="62"/>
      <c r="T60" s="62"/>
      <c r="U60" s="62"/>
      <c r="V60" s="630"/>
      <c r="W60" s="631">
        <f>[22]GDP!D83</f>
        <v>104.92719980363529</v>
      </c>
      <c r="X60" s="635">
        <f>'[22]Customer Count'!L79</f>
        <v>5812.3333333333312</v>
      </c>
      <c r="Y60" s="636"/>
      <c r="Z60" s="310"/>
      <c r="AA60" s="16" t="s">
        <v>18</v>
      </c>
      <c r="AB60" s="16">
        <v>0.87750248936913833</v>
      </c>
      <c r="AC60"/>
      <c r="AD60"/>
      <c r="AE60"/>
      <c r="AF60"/>
      <c r="AG60"/>
      <c r="AH60"/>
      <c r="AI60"/>
      <c r="AJ60" s="64"/>
      <c r="AK60" s="45"/>
      <c r="AL60" s="45"/>
      <c r="AM60" s="45"/>
      <c r="AN60" s="45"/>
      <c r="AO60" s="45"/>
      <c r="AP60" s="45"/>
      <c r="AQ60" s="45"/>
      <c r="AR60" s="45"/>
      <c r="AS60" s="45"/>
      <c r="AT60" s="45"/>
    </row>
    <row r="61" spans="2:46">
      <c r="B61" s="57">
        <f t="shared" si="2"/>
        <v>40056</v>
      </c>
      <c r="C61" s="65">
        <v>9534995</v>
      </c>
      <c r="D61" s="68"/>
      <c r="E61" s="80"/>
      <c r="F61" s="68"/>
      <c r="G61" s="69"/>
      <c r="H61" s="67">
        <f t="shared" si="3"/>
        <v>9534995</v>
      </c>
      <c r="I61" s="304"/>
      <c r="J61" s="169">
        <f>'HDD &amp; CDD'!P13</f>
        <v>26.1</v>
      </c>
      <c r="K61" s="169">
        <f>'HDD &amp; CDD'!P31</f>
        <v>82.100000000000009</v>
      </c>
      <c r="L61" s="397">
        <f t="shared" si="1"/>
        <v>31</v>
      </c>
      <c r="M61" s="169">
        <v>0</v>
      </c>
      <c r="N61" s="397">
        <f>[17]Sheet1!C59</f>
        <v>1</v>
      </c>
      <c r="O61" s="633"/>
      <c r="P61" s="620"/>
      <c r="Q61" s="629"/>
      <c r="R61" s="632">
        <f>'CDM Activity'!C107</f>
        <v>126194.80256305766</v>
      </c>
      <c r="S61" s="62"/>
      <c r="T61" s="62"/>
      <c r="U61" s="62"/>
      <c r="V61" s="630"/>
      <c r="W61" s="631">
        <f>[22]GDP!D84</f>
        <v>104.64320420974627</v>
      </c>
      <c r="X61" s="635">
        <f>'[22]Customer Count'!L80</f>
        <v>5812.6666666666642</v>
      </c>
      <c r="Y61" s="636"/>
      <c r="Z61" s="310"/>
      <c r="AA61" s="16" t="s">
        <v>19</v>
      </c>
      <c r="AB61" s="16">
        <v>445440.61033611378</v>
      </c>
      <c r="AC61"/>
      <c r="AD61"/>
      <c r="AE61"/>
      <c r="AF61"/>
      <c r="AG61"/>
      <c r="AH61"/>
      <c r="AI61"/>
      <c r="AJ61" s="64"/>
      <c r="AK61" s="45"/>
      <c r="AL61" s="45"/>
      <c r="AM61" s="45"/>
      <c r="AN61" s="45"/>
      <c r="AO61" s="45"/>
      <c r="AP61" s="45"/>
      <c r="AQ61" s="45"/>
      <c r="AR61" s="45"/>
      <c r="AS61" s="45"/>
      <c r="AT61" s="45"/>
    </row>
    <row r="62" spans="2:46" ht="13.5" thickBot="1">
      <c r="B62" s="57">
        <f t="shared" si="2"/>
        <v>40086</v>
      </c>
      <c r="C62" s="65">
        <v>8543544</v>
      </c>
      <c r="D62" s="68"/>
      <c r="E62" s="80"/>
      <c r="F62" s="68"/>
      <c r="G62" s="69"/>
      <c r="H62" s="67">
        <f t="shared" si="3"/>
        <v>8543544</v>
      </c>
      <c r="I62" s="304"/>
      <c r="J62" s="169">
        <f>'HDD &amp; CDD'!P14</f>
        <v>106.49999999999999</v>
      </c>
      <c r="K62" s="169">
        <f>'HDD &amp; CDD'!P32</f>
        <v>5</v>
      </c>
      <c r="L62" s="397">
        <f t="shared" si="1"/>
        <v>30</v>
      </c>
      <c r="M62" s="169">
        <v>1</v>
      </c>
      <c r="N62" s="397">
        <f>[17]Sheet1!C60</f>
        <v>1</v>
      </c>
      <c r="O62" s="633"/>
      <c r="P62" s="620"/>
      <c r="Q62" s="629"/>
      <c r="R62" s="632">
        <f>'CDM Activity'!C108</f>
        <v>131384.14899229017</v>
      </c>
      <c r="S62" s="62"/>
      <c r="T62" s="62"/>
      <c r="U62" s="62"/>
      <c r="V62" s="630"/>
      <c r="W62" s="631">
        <f>[22]GDP!D85</f>
        <v>104.3599772773435</v>
      </c>
      <c r="X62" s="635">
        <f>'[22]Customer Count'!L81</f>
        <v>5812.9999999999973</v>
      </c>
      <c r="Y62" s="636"/>
      <c r="Z62" s="310"/>
      <c r="AA62" s="17" t="s">
        <v>20</v>
      </c>
      <c r="AB62" s="17">
        <v>120</v>
      </c>
      <c r="AC62"/>
      <c r="AD62"/>
      <c r="AE62"/>
      <c r="AF62"/>
      <c r="AG62"/>
      <c r="AH62"/>
      <c r="AI62"/>
      <c r="AJ62" s="64"/>
      <c r="AK62" s="45"/>
      <c r="AL62" s="45"/>
      <c r="AM62" s="45"/>
      <c r="AN62" s="45"/>
      <c r="AO62" s="45"/>
      <c r="AP62" s="45"/>
      <c r="AQ62" s="45"/>
      <c r="AR62" s="45"/>
      <c r="AS62" s="45"/>
      <c r="AT62" s="45"/>
    </row>
    <row r="63" spans="2:46">
      <c r="B63" s="57">
        <f t="shared" si="2"/>
        <v>40117</v>
      </c>
      <c r="C63" s="65">
        <v>9341679</v>
      </c>
      <c r="D63" s="68"/>
      <c r="E63" s="80"/>
      <c r="F63" s="68"/>
      <c r="G63" s="69"/>
      <c r="H63" s="67">
        <f t="shared" si="3"/>
        <v>9341679</v>
      </c>
      <c r="I63" s="304"/>
      <c r="J63" s="169">
        <f>'HDD &amp; CDD'!P15</f>
        <v>355.5</v>
      </c>
      <c r="K63" s="169">
        <f>'HDD &amp; CDD'!P33</f>
        <v>0</v>
      </c>
      <c r="L63" s="397">
        <f t="shared" si="1"/>
        <v>31</v>
      </c>
      <c r="M63" s="169">
        <v>1</v>
      </c>
      <c r="N63" s="397">
        <f>[17]Sheet1!C61</f>
        <v>1</v>
      </c>
      <c r="O63" s="633"/>
      <c r="P63" s="620"/>
      <c r="Q63" s="629"/>
      <c r="R63" s="632">
        <f>'CDM Activity'!C109</f>
        <v>136573.49542152268</v>
      </c>
      <c r="S63" s="62"/>
      <c r="T63" s="62"/>
      <c r="U63" s="62"/>
      <c r="V63" s="630"/>
      <c r="W63" s="631">
        <f>[22]GDP!D86</f>
        <v>104.07751692597047</v>
      </c>
      <c r="X63" s="635">
        <f>'[22]Customer Count'!L82</f>
        <v>5813.3333333333303</v>
      </c>
      <c r="Y63" s="636"/>
      <c r="Z63" s="310"/>
      <c r="AA63"/>
      <c r="AB63"/>
      <c r="AC63"/>
      <c r="AD63"/>
      <c r="AE63"/>
      <c r="AF63"/>
      <c r="AG63"/>
      <c r="AH63"/>
      <c r="AI63"/>
      <c r="AJ63" s="64"/>
      <c r="AK63" s="45"/>
      <c r="AL63" s="45"/>
      <c r="AM63" s="45"/>
      <c r="AN63" s="45"/>
      <c r="AO63" s="45"/>
      <c r="AP63" s="45"/>
      <c r="AQ63" s="45"/>
      <c r="AR63" s="45"/>
      <c r="AS63" s="45"/>
      <c r="AT63" s="45"/>
    </row>
    <row r="64" spans="2:46" ht="13.5" thickBot="1">
      <c r="B64" s="57">
        <f t="shared" si="2"/>
        <v>40147</v>
      </c>
      <c r="C64" s="65">
        <v>9542500</v>
      </c>
      <c r="D64" s="68"/>
      <c r="E64" s="80"/>
      <c r="F64" s="68"/>
      <c r="G64" s="69"/>
      <c r="H64" s="67">
        <f t="shared" si="3"/>
        <v>9542500</v>
      </c>
      <c r="I64" s="304"/>
      <c r="J64" s="169">
        <f>'HDD &amp; CDD'!P16</f>
        <v>417.39999999999992</v>
      </c>
      <c r="K64" s="169">
        <f>'HDD &amp; CDD'!P34</f>
        <v>0</v>
      </c>
      <c r="L64" s="397">
        <f t="shared" si="1"/>
        <v>30</v>
      </c>
      <c r="M64" s="169">
        <v>1</v>
      </c>
      <c r="N64" s="397">
        <f>[17]Sheet1!C62</f>
        <v>0</v>
      </c>
      <c r="O64" s="633"/>
      <c r="P64" s="620"/>
      <c r="Q64" s="629"/>
      <c r="R64" s="632">
        <f>'CDM Activity'!C110</f>
        <v>141762.84185075518</v>
      </c>
      <c r="S64" s="62"/>
      <c r="T64" s="62"/>
      <c r="U64" s="62"/>
      <c r="V64" s="630"/>
      <c r="W64" s="631">
        <f>[22]GDP!D87</f>
        <v>103.79582108080163</v>
      </c>
      <c r="X64" s="635">
        <f>'[22]Customer Count'!L83</f>
        <v>5813.6666666666633</v>
      </c>
      <c r="Y64" s="636"/>
      <c r="Z64" s="310"/>
      <c r="AA64" t="s">
        <v>21</v>
      </c>
      <c r="AB64"/>
      <c r="AC64"/>
      <c r="AD64"/>
      <c r="AE64"/>
      <c r="AF64"/>
      <c r="AG64"/>
      <c r="AH64"/>
      <c r="AI64"/>
      <c r="AJ64" s="64"/>
      <c r="AK64" s="45"/>
      <c r="AL64" s="45"/>
      <c r="AM64" s="45"/>
      <c r="AN64" s="45"/>
      <c r="AO64" s="45"/>
      <c r="AP64" s="45"/>
      <c r="AQ64" s="45"/>
      <c r="AR64" s="45"/>
      <c r="AS64" s="45"/>
    </row>
    <row r="65" spans="2:45">
      <c r="B65" s="172">
        <f t="shared" si="2"/>
        <v>40178</v>
      </c>
      <c r="C65" s="81">
        <v>11612258</v>
      </c>
      <c r="D65" s="82"/>
      <c r="E65" s="82"/>
      <c r="F65" s="82"/>
      <c r="G65" s="83"/>
      <c r="H65" s="74">
        <f t="shared" si="3"/>
        <v>11612258</v>
      </c>
      <c r="I65" s="305"/>
      <c r="J65" s="118">
        <f>'HDD &amp; CDD'!P17</f>
        <v>759.40000000000009</v>
      </c>
      <c r="K65" s="118">
        <f>'HDD &amp; CDD'!P35</f>
        <v>0</v>
      </c>
      <c r="L65" s="398">
        <f t="shared" si="1"/>
        <v>31</v>
      </c>
      <c r="M65" s="118">
        <v>0</v>
      </c>
      <c r="N65" s="398">
        <f>[17]Sheet1!C63</f>
        <v>2</v>
      </c>
      <c r="O65" s="633"/>
      <c r="P65" s="620"/>
      <c r="Q65" s="629"/>
      <c r="R65" s="632">
        <f>'CDM Activity'!C111</f>
        <v>146952.18827998769</v>
      </c>
      <c r="S65" s="62"/>
      <c r="T65" s="62"/>
      <c r="U65" s="62"/>
      <c r="V65" s="630"/>
      <c r="W65" s="631">
        <f>[22]GDP!D88</f>
        <v>103.51488767262715</v>
      </c>
      <c r="X65" s="635">
        <f>'[22]Customer Count'!L84</f>
        <v>5814</v>
      </c>
      <c r="Y65" s="636"/>
      <c r="Z65" s="310"/>
      <c r="AA65" s="18"/>
      <c r="AB65" s="18" t="s">
        <v>25</v>
      </c>
      <c r="AC65" s="18" t="s">
        <v>26</v>
      </c>
      <c r="AD65" s="18" t="s">
        <v>27</v>
      </c>
      <c r="AE65" s="18" t="s">
        <v>28</v>
      </c>
      <c r="AF65" s="18" t="s">
        <v>29</v>
      </c>
      <c r="AG65"/>
      <c r="AH65"/>
      <c r="AI65"/>
      <c r="AJ65" s="64"/>
      <c r="AK65" s="45"/>
      <c r="AL65" s="45"/>
      <c r="AM65" s="45"/>
      <c r="AN65" s="45"/>
      <c r="AO65" s="45"/>
      <c r="AP65" s="45"/>
      <c r="AQ65" s="45"/>
      <c r="AR65" s="45"/>
      <c r="AS65" s="45"/>
    </row>
    <row r="66" spans="2:45">
      <c r="B66" s="57">
        <f t="shared" si="2"/>
        <v>40209</v>
      </c>
      <c r="C66" s="65">
        <v>12078338</v>
      </c>
      <c r="D66" s="68"/>
      <c r="E66" s="80"/>
      <c r="F66" s="68"/>
      <c r="G66" s="69"/>
      <c r="H66" s="67">
        <f t="shared" si="3"/>
        <v>12078338</v>
      </c>
      <c r="I66" s="304"/>
      <c r="J66" s="169">
        <f>'HDD &amp; CDD'!Q6</f>
        <v>789.2</v>
      </c>
      <c r="K66" s="169">
        <f>'HDD &amp; CDD'!Q24</f>
        <v>0</v>
      </c>
      <c r="L66" s="397">
        <f t="shared" si="1"/>
        <v>31</v>
      </c>
      <c r="M66" s="169">
        <v>0</v>
      </c>
      <c r="N66" s="397">
        <f>[17]Sheet1!C64</f>
        <v>1</v>
      </c>
      <c r="O66" s="633"/>
      <c r="P66" s="620"/>
      <c r="Q66" s="629"/>
      <c r="R66" s="632">
        <f>'CDM Activity'!C112</f>
        <v>147944.66302405365</v>
      </c>
      <c r="S66" s="62"/>
      <c r="T66" s="62"/>
      <c r="U66" s="62"/>
      <c r="V66" s="630"/>
      <c r="W66" s="631">
        <f>[22]GDP!D89</f>
        <v>103.77018331107756</v>
      </c>
      <c r="X66" s="635">
        <f>'[22]Customer Count'!L85</f>
        <v>5814.333333333333</v>
      </c>
      <c r="Y66" s="636"/>
      <c r="Z66" s="310"/>
      <c r="AA66" s="16" t="s">
        <v>22</v>
      </c>
      <c r="AB66" s="16">
        <v>5</v>
      </c>
      <c r="AC66" s="16">
        <v>170132611089778.16</v>
      </c>
      <c r="AD66" s="16">
        <v>34026522217955.633</v>
      </c>
      <c r="AE66" s="16">
        <v>171.48966251991666</v>
      </c>
      <c r="AF66" s="16">
        <v>2.5417112060900083E-51</v>
      </c>
      <c r="AG66"/>
      <c r="AH66"/>
      <c r="AI66"/>
      <c r="AJ66" s="64"/>
      <c r="AK66" s="45"/>
      <c r="AL66" s="45"/>
      <c r="AM66" s="45"/>
      <c r="AN66" s="45"/>
      <c r="AO66" s="45"/>
      <c r="AP66" s="45"/>
      <c r="AQ66" s="45"/>
      <c r="AR66" s="45"/>
      <c r="AS66" s="45"/>
    </row>
    <row r="67" spans="2:45">
      <c r="B67" s="57">
        <f t="shared" si="2"/>
        <v>40237</v>
      </c>
      <c r="C67" s="65">
        <v>10494800</v>
      </c>
      <c r="D67" s="68"/>
      <c r="E67" s="80"/>
      <c r="F67" s="68"/>
      <c r="G67" s="69"/>
      <c r="H67" s="67">
        <f t="shared" si="3"/>
        <v>10494800</v>
      </c>
      <c r="I67" s="304"/>
      <c r="J67" s="169">
        <f>'HDD &amp; CDD'!Q7</f>
        <v>655.8</v>
      </c>
      <c r="K67" s="169">
        <f>'HDD &amp; CDD'!Q25</f>
        <v>0</v>
      </c>
      <c r="L67" s="397">
        <f t="shared" si="1"/>
        <v>28</v>
      </c>
      <c r="M67" s="169">
        <v>0</v>
      </c>
      <c r="N67" s="397">
        <f>[17]Sheet1!C65</f>
        <v>1</v>
      </c>
      <c r="O67" s="633"/>
      <c r="P67" s="620"/>
      <c r="Q67" s="629"/>
      <c r="R67" s="632">
        <f>'CDM Activity'!C113</f>
        <v>148937.1377681196</v>
      </c>
      <c r="S67" s="62"/>
      <c r="T67" s="62"/>
      <c r="U67" s="62"/>
      <c r="V67" s="630"/>
      <c r="W67" s="631">
        <f>[22]GDP!D90</f>
        <v>104.02610857744408</v>
      </c>
      <c r="X67" s="635">
        <f>'[22]Customer Count'!L86</f>
        <v>5814.6666666666661</v>
      </c>
      <c r="Y67" s="636"/>
      <c r="Z67" s="310"/>
      <c r="AA67" s="16" t="s">
        <v>23</v>
      </c>
      <c r="AB67" s="16">
        <v>114</v>
      </c>
      <c r="AC67" s="16">
        <v>22619576456373.488</v>
      </c>
      <c r="AD67" s="16">
        <v>198417337336.60956</v>
      </c>
      <c r="AE67" s="16"/>
      <c r="AF67" s="16"/>
      <c r="AG67"/>
      <c r="AH67"/>
      <c r="AI67"/>
      <c r="AJ67" s="64"/>
      <c r="AK67" s="45"/>
      <c r="AL67" s="45"/>
      <c r="AM67" s="45"/>
      <c r="AN67" s="45"/>
      <c r="AO67" s="45"/>
      <c r="AP67" s="45"/>
      <c r="AQ67" s="45"/>
      <c r="AR67" s="45"/>
      <c r="AS67" s="45"/>
    </row>
    <row r="68" spans="2:45" ht="13.5" thickBot="1">
      <c r="B68" s="57">
        <f t="shared" si="2"/>
        <v>40268</v>
      </c>
      <c r="C68" s="65">
        <v>10154062</v>
      </c>
      <c r="D68" s="68"/>
      <c r="E68" s="80"/>
      <c r="F68" s="68"/>
      <c r="G68" s="69"/>
      <c r="H68" s="67">
        <f t="shared" si="3"/>
        <v>10154062</v>
      </c>
      <c r="I68" s="304"/>
      <c r="J68" s="169">
        <f>'HDD &amp; CDD'!Q8</f>
        <v>460.7000000000001</v>
      </c>
      <c r="K68" s="169">
        <f>'HDD &amp; CDD'!Q26</f>
        <v>0</v>
      </c>
      <c r="L68" s="397">
        <f t="shared" si="1"/>
        <v>31</v>
      </c>
      <c r="M68" s="169">
        <v>1</v>
      </c>
      <c r="N68" s="397">
        <f>[17]Sheet1!C66</f>
        <v>0</v>
      </c>
      <c r="O68" s="633"/>
      <c r="P68" s="620"/>
      <c r="Q68" s="629"/>
      <c r="R68" s="632">
        <f>'CDM Activity'!C114</f>
        <v>149929.61251218556</v>
      </c>
      <c r="S68" s="62"/>
      <c r="T68" s="62"/>
      <c r="U68" s="62"/>
      <c r="V68" s="630"/>
      <c r="W68" s="631">
        <f>[22]GDP!D91</f>
        <v>104.28266502455901</v>
      </c>
      <c r="X68" s="635">
        <f>'[22]Customer Count'!L87</f>
        <v>5814.9999999999991</v>
      </c>
      <c r="Y68" s="636"/>
      <c r="Z68" s="310"/>
      <c r="AA68" s="17" t="s">
        <v>5</v>
      </c>
      <c r="AB68" s="17">
        <v>119</v>
      </c>
      <c r="AC68" s="17">
        <v>192752187546151.66</v>
      </c>
      <c r="AD68" s="17"/>
      <c r="AE68" s="17"/>
      <c r="AF68" s="17"/>
      <c r="AG68"/>
      <c r="AH68"/>
      <c r="AI68"/>
      <c r="AJ68" s="64"/>
      <c r="AK68" s="45"/>
      <c r="AL68" s="45"/>
      <c r="AM68" s="45"/>
      <c r="AN68" s="45"/>
      <c r="AO68" s="45"/>
      <c r="AP68" s="45"/>
      <c r="AQ68" s="45"/>
      <c r="AR68" s="45"/>
      <c r="AS68" s="45"/>
    </row>
    <row r="69" spans="2:45" ht="13.5" thickBot="1">
      <c r="B69" s="57">
        <f t="shared" si="2"/>
        <v>40298</v>
      </c>
      <c r="C69" s="65">
        <v>8300785</v>
      </c>
      <c r="D69" s="68"/>
      <c r="E69" s="80"/>
      <c r="F69" s="68"/>
      <c r="G69" s="69"/>
      <c r="H69" s="67">
        <f t="shared" si="3"/>
        <v>8300785</v>
      </c>
      <c r="I69" s="304"/>
      <c r="J69" s="169">
        <f>'HDD &amp; CDD'!Q9</f>
        <v>258.09999999999997</v>
      </c>
      <c r="K69" s="169">
        <f>'HDD &amp; CDD'!Q27</f>
        <v>1.6</v>
      </c>
      <c r="L69" s="397">
        <f t="shared" si="1"/>
        <v>30</v>
      </c>
      <c r="M69" s="169">
        <v>1</v>
      </c>
      <c r="N69" s="397">
        <f>[17]Sheet1!C67</f>
        <v>2</v>
      </c>
      <c r="O69" s="633"/>
      <c r="P69" s="620"/>
      <c r="Q69" s="629"/>
      <c r="R69" s="632">
        <f>'CDM Activity'!C115</f>
        <v>150922.08725625151</v>
      </c>
      <c r="S69" s="62"/>
      <c r="T69" s="62"/>
      <c r="U69" s="62"/>
      <c r="V69" s="630"/>
      <c r="W69" s="631">
        <f>[22]GDP!D92</f>
        <v>104.53985420908435</v>
      </c>
      <c r="X69" s="635">
        <f>'[22]Customer Count'!L88</f>
        <v>5815.3333333333321</v>
      </c>
      <c r="Y69" s="636"/>
      <c r="Z69" s="310"/>
      <c r="AA69"/>
      <c r="AB69"/>
      <c r="AC69"/>
      <c r="AD69"/>
      <c r="AE69"/>
      <c r="AF69"/>
      <c r="AG69"/>
      <c r="AH69"/>
      <c r="AI69"/>
      <c r="AJ69" s="64"/>
      <c r="AK69" s="45"/>
      <c r="AL69" s="45"/>
      <c r="AM69" s="45"/>
      <c r="AN69" s="45"/>
      <c r="AO69" s="45"/>
      <c r="AP69" s="45"/>
      <c r="AQ69" s="45"/>
      <c r="AR69" s="45"/>
      <c r="AS69" s="45"/>
    </row>
    <row r="70" spans="2:45">
      <c r="B70" s="57">
        <f t="shared" si="2"/>
        <v>40329</v>
      </c>
      <c r="C70" s="65">
        <v>8510046</v>
      </c>
      <c r="D70" s="68"/>
      <c r="E70" s="80"/>
      <c r="F70" s="68"/>
      <c r="G70" s="69"/>
      <c r="H70" s="67">
        <f t="shared" ref="H70:H101" si="4">SUM(C70:G70)</f>
        <v>8510046</v>
      </c>
      <c r="I70" s="304"/>
      <c r="J70" s="169">
        <f>'HDD &amp; CDD'!Q10</f>
        <v>112.30000000000001</v>
      </c>
      <c r="K70" s="169">
        <f>'HDD &amp; CDD'!Q28</f>
        <v>38.199999999999996</v>
      </c>
      <c r="L70" s="397">
        <f t="shared" si="1"/>
        <v>31</v>
      </c>
      <c r="M70" s="169">
        <v>1</v>
      </c>
      <c r="N70" s="397">
        <f>[17]Sheet1!C68</f>
        <v>1</v>
      </c>
      <c r="O70" s="633"/>
      <c r="P70" s="620"/>
      <c r="Q70" s="629"/>
      <c r="R70" s="632">
        <f>'CDM Activity'!C116</f>
        <v>151914.56200031747</v>
      </c>
      <c r="S70" s="62"/>
      <c r="T70" s="62"/>
      <c r="U70" s="62"/>
      <c r="V70" s="630"/>
      <c r="W70" s="631">
        <f>[22]GDP!D93</f>
        <v>104.79767769152126</v>
      </c>
      <c r="X70" s="635">
        <f>'[22]Customer Count'!L89</f>
        <v>5815.6666666666652</v>
      </c>
      <c r="Y70" s="636"/>
      <c r="Z70" s="310"/>
      <c r="AA70" s="18"/>
      <c r="AB70" s="18" t="s">
        <v>30</v>
      </c>
      <c r="AC70" s="18" t="s">
        <v>19</v>
      </c>
      <c r="AD70" s="18" t="s">
        <v>31</v>
      </c>
      <c r="AE70" s="18" t="s">
        <v>32</v>
      </c>
      <c r="AF70" s="18" t="s">
        <v>33</v>
      </c>
      <c r="AG70" s="18" t="s">
        <v>34</v>
      </c>
      <c r="AH70" s="18" t="s">
        <v>101</v>
      </c>
      <c r="AI70" s="18" t="s">
        <v>102</v>
      </c>
      <c r="AJ70" s="64"/>
      <c r="AK70" s="45"/>
      <c r="AL70" s="45"/>
      <c r="AM70" s="45"/>
      <c r="AN70" s="45"/>
      <c r="AO70" s="45"/>
      <c r="AP70" s="45"/>
      <c r="AQ70" s="45"/>
      <c r="AR70" s="45"/>
      <c r="AS70" s="45"/>
    </row>
    <row r="71" spans="2:45">
      <c r="B71" s="57">
        <f t="shared" si="2"/>
        <v>40359</v>
      </c>
      <c r="C71" s="65">
        <v>8680146</v>
      </c>
      <c r="D71" s="68"/>
      <c r="E71" s="80"/>
      <c r="F71" s="68"/>
      <c r="G71" s="69"/>
      <c r="H71" s="67">
        <f t="shared" si="4"/>
        <v>8680146</v>
      </c>
      <c r="I71" s="304"/>
      <c r="J71" s="169">
        <f>'HDD &amp; CDD'!Q11</f>
        <v>37.600000000000009</v>
      </c>
      <c r="K71" s="169">
        <f>'HDD &amp; CDD'!Q29</f>
        <v>33.4</v>
      </c>
      <c r="L71" s="397">
        <f t="shared" ref="L71:L125" si="5">DAY(EOMONTH(B71,0))</f>
        <v>30</v>
      </c>
      <c r="M71" s="169">
        <v>0</v>
      </c>
      <c r="N71" s="397">
        <f>[17]Sheet1!C69</f>
        <v>0</v>
      </c>
      <c r="O71" s="633"/>
      <c r="P71" s="620"/>
      <c r="Q71" s="629"/>
      <c r="R71" s="632">
        <f>'CDM Activity'!C117</f>
        <v>152907.03674438343</v>
      </c>
      <c r="S71" s="62"/>
      <c r="T71" s="62"/>
      <c r="U71" s="62"/>
      <c r="V71" s="630"/>
      <c r="W71" s="631">
        <f>[22]GDP!D94</f>
        <v>105.05613703621948</v>
      </c>
      <c r="X71" s="635">
        <f>'[22]Customer Count'!L90</f>
        <v>5815.9999999999982</v>
      </c>
      <c r="Y71" s="636"/>
      <c r="Z71" s="310"/>
      <c r="AA71" s="16" t="s">
        <v>24</v>
      </c>
      <c r="AB71" s="16">
        <v>911010.50124634523</v>
      </c>
      <c r="AC71" s="16">
        <v>1621261.7348757959</v>
      </c>
      <c r="AD71" s="16">
        <v>0.56191451488006494</v>
      </c>
      <c r="AE71" s="16">
        <v>0.57527738891524316</v>
      </c>
      <c r="AF71" s="16">
        <v>-2300696.5085455864</v>
      </c>
      <c r="AG71" s="16">
        <v>4122717.5110382768</v>
      </c>
      <c r="AH71" s="16">
        <v>-2300696.5085455864</v>
      </c>
      <c r="AI71" s="16">
        <v>4122717.5110382768</v>
      </c>
      <c r="AJ71" s="64"/>
      <c r="AK71" s="45"/>
      <c r="AL71" s="45"/>
      <c r="AM71" s="45"/>
      <c r="AN71" s="45"/>
      <c r="AO71" s="45"/>
      <c r="AP71" s="45"/>
      <c r="AQ71" s="45"/>
      <c r="AR71" s="45"/>
      <c r="AS71" s="45"/>
    </row>
    <row r="72" spans="2:45">
      <c r="B72" s="57">
        <f t="shared" ref="B72:B125" si="6">EOMONTH(B71,1)</f>
        <v>40390</v>
      </c>
      <c r="C72" s="65">
        <v>9983854</v>
      </c>
      <c r="D72" s="68"/>
      <c r="E72" s="80"/>
      <c r="F72" s="68"/>
      <c r="G72" s="69"/>
      <c r="H72" s="67">
        <f t="shared" si="4"/>
        <v>9983854</v>
      </c>
      <c r="I72" s="304"/>
      <c r="J72" s="169">
        <f>'HDD &amp; CDD'!Q12</f>
        <v>4.5</v>
      </c>
      <c r="K72" s="169">
        <f>'HDD &amp; CDD'!Q30</f>
        <v>150.79999999999998</v>
      </c>
      <c r="L72" s="397">
        <f t="shared" si="5"/>
        <v>31</v>
      </c>
      <c r="M72" s="169">
        <v>0</v>
      </c>
      <c r="N72" s="397">
        <f>[17]Sheet1!C70</f>
        <v>1</v>
      </c>
      <c r="O72" s="633"/>
      <c r="P72" s="620"/>
      <c r="Q72" s="629"/>
      <c r="R72" s="632">
        <f>'CDM Activity'!C118</f>
        <v>153899.51148844938</v>
      </c>
      <c r="S72" s="62"/>
      <c r="T72" s="62"/>
      <c r="U72" s="62"/>
      <c r="V72" s="630"/>
      <c r="W72" s="631">
        <f>[22]GDP!D95</f>
        <v>105.3152338113869</v>
      </c>
      <c r="X72" s="635">
        <f>'[22]Customer Count'!L91</f>
        <v>5816.3333333333312</v>
      </c>
      <c r="Y72" s="636"/>
      <c r="Z72" s="310"/>
      <c r="AA72" s="16" t="s">
        <v>106</v>
      </c>
      <c r="AB72" s="16">
        <v>4779.1143243713504</v>
      </c>
      <c r="AC72" s="16">
        <v>237.69979115711817</v>
      </c>
      <c r="AD72" s="16">
        <v>20.105673215389508</v>
      </c>
      <c r="AE72" s="16">
        <v>2.7595364462459618E-39</v>
      </c>
      <c r="AF72" s="16">
        <v>4308.2328688586294</v>
      </c>
      <c r="AG72" s="16">
        <v>5249.9957798840715</v>
      </c>
      <c r="AH72" s="16">
        <v>4308.2328688586294</v>
      </c>
      <c r="AI72" s="16">
        <v>5249.9957798840715</v>
      </c>
      <c r="AJ72" s="64"/>
      <c r="AK72" s="45"/>
      <c r="AL72" s="45"/>
      <c r="AM72" s="45"/>
      <c r="AN72" s="45"/>
      <c r="AO72" s="45"/>
      <c r="AP72" s="45"/>
      <c r="AQ72" s="45"/>
      <c r="AR72" s="45"/>
      <c r="AS72" s="45"/>
    </row>
    <row r="73" spans="2:45">
      <c r="B73" s="57">
        <f t="shared" si="6"/>
        <v>40421</v>
      </c>
      <c r="C73" s="65">
        <v>9543754</v>
      </c>
      <c r="D73" s="68"/>
      <c r="E73" s="80"/>
      <c r="F73" s="68"/>
      <c r="G73" s="69"/>
      <c r="H73" s="67">
        <f t="shared" si="4"/>
        <v>9543754</v>
      </c>
      <c r="I73" s="304"/>
      <c r="J73" s="169">
        <f>'HDD &amp; CDD'!Q13</f>
        <v>14.7</v>
      </c>
      <c r="K73" s="169">
        <f>'HDD &amp; CDD'!Q31</f>
        <v>93</v>
      </c>
      <c r="L73" s="397">
        <f t="shared" si="5"/>
        <v>31</v>
      </c>
      <c r="M73" s="169">
        <v>0</v>
      </c>
      <c r="N73" s="397">
        <f>[17]Sheet1!C71</f>
        <v>1</v>
      </c>
      <c r="O73" s="633"/>
      <c r="P73" s="620"/>
      <c r="Q73" s="629"/>
      <c r="R73" s="632">
        <f>'CDM Activity'!C119</f>
        <v>154891.98623251534</v>
      </c>
      <c r="S73" s="62"/>
      <c r="T73" s="62"/>
      <c r="U73" s="62"/>
      <c r="V73" s="630"/>
      <c r="W73" s="631">
        <f>[22]GDP!D96</f>
        <v>105.57496958909903</v>
      </c>
      <c r="X73" s="635">
        <f>'[22]Customer Count'!L92</f>
        <v>5816.6666666666642</v>
      </c>
      <c r="Y73" s="636"/>
      <c r="Z73" s="310"/>
      <c r="AA73" s="16" t="s">
        <v>107</v>
      </c>
      <c r="AB73" s="16">
        <v>14838.836941424295</v>
      </c>
      <c r="AC73" s="16">
        <v>2191.4632379158952</v>
      </c>
      <c r="AD73" s="16">
        <v>6.771200485907392</v>
      </c>
      <c r="AE73" s="16">
        <v>5.8471950115673813E-10</v>
      </c>
      <c r="AF73" s="16">
        <v>10497.565145815668</v>
      </c>
      <c r="AG73" s="16">
        <v>19180.108737032922</v>
      </c>
      <c r="AH73" s="16">
        <v>10497.565145815668</v>
      </c>
      <c r="AI73" s="16">
        <v>19180.108737032922</v>
      </c>
      <c r="AJ73" s="64"/>
      <c r="AK73" s="45"/>
      <c r="AL73" s="45"/>
      <c r="AM73" s="45"/>
      <c r="AN73" s="45"/>
      <c r="AO73" s="45"/>
      <c r="AP73" s="45"/>
      <c r="AQ73" s="45"/>
      <c r="AR73" s="45"/>
      <c r="AS73" s="45"/>
    </row>
    <row r="74" spans="2:45">
      <c r="B74" s="57">
        <f t="shared" si="6"/>
        <v>40451</v>
      </c>
      <c r="C74" s="65">
        <v>8579877</v>
      </c>
      <c r="D74" s="68"/>
      <c r="E74" s="80"/>
      <c r="F74" s="68"/>
      <c r="G74" s="69"/>
      <c r="H74" s="67">
        <f t="shared" si="4"/>
        <v>8579877</v>
      </c>
      <c r="I74" s="304"/>
      <c r="J74" s="169">
        <f>'HDD &amp; CDD'!Q14</f>
        <v>112</v>
      </c>
      <c r="K74" s="169">
        <f>'HDD &amp; CDD'!Q32</f>
        <v>26.200000000000003</v>
      </c>
      <c r="L74" s="397">
        <f t="shared" si="5"/>
        <v>30</v>
      </c>
      <c r="M74" s="169">
        <v>1</v>
      </c>
      <c r="N74" s="397">
        <f>[17]Sheet1!C72</f>
        <v>1</v>
      </c>
      <c r="O74" s="633"/>
      <c r="P74" s="620"/>
      <c r="Q74" s="629"/>
      <c r="R74" s="632">
        <f>'CDM Activity'!C120</f>
        <v>155884.46097658129</v>
      </c>
      <c r="S74" s="62"/>
      <c r="T74" s="62"/>
      <c r="U74" s="62"/>
      <c r="V74" s="630"/>
      <c r="W74" s="631">
        <f>[22]GDP!D97</f>
        <v>105.8353459453085</v>
      </c>
      <c r="X74" s="635">
        <f>'[22]Customer Count'!L93</f>
        <v>5816.9999999999973</v>
      </c>
      <c r="Y74" s="636"/>
      <c r="Z74" s="310"/>
      <c r="AA74" s="16" t="s">
        <v>3</v>
      </c>
      <c r="AB74" s="16">
        <v>241119.35853680372</v>
      </c>
      <c r="AC74" s="16">
        <v>54765.402267019505</v>
      </c>
      <c r="AD74" s="16">
        <v>4.4027679621739795</v>
      </c>
      <c r="AE74" s="16">
        <v>2.4220054398677364E-5</v>
      </c>
      <c r="AF74" s="16">
        <v>132629.51845028839</v>
      </c>
      <c r="AG74" s="16">
        <v>349609.19862331904</v>
      </c>
      <c r="AH74" s="16">
        <v>132629.51845028839</v>
      </c>
      <c r="AI74" s="16">
        <v>349609.19862331904</v>
      </c>
      <c r="AJ74" s="64"/>
      <c r="AK74" s="45"/>
      <c r="AL74" s="45"/>
      <c r="AM74" s="45"/>
      <c r="AN74" s="45"/>
      <c r="AO74" s="45"/>
      <c r="AP74" s="45"/>
      <c r="AQ74" s="45"/>
      <c r="AR74" s="45"/>
      <c r="AS74" s="45"/>
    </row>
    <row r="75" spans="2:45">
      <c r="B75" s="57">
        <f t="shared" si="6"/>
        <v>40482</v>
      </c>
      <c r="C75" s="65">
        <v>8994685</v>
      </c>
      <c r="D75" s="68"/>
      <c r="E75" s="80"/>
      <c r="F75" s="68"/>
      <c r="G75" s="69"/>
      <c r="H75" s="67">
        <f t="shared" si="4"/>
        <v>8994685</v>
      </c>
      <c r="I75" s="304"/>
      <c r="J75" s="169">
        <f>'HDD &amp; CDD'!Q15</f>
        <v>311</v>
      </c>
      <c r="K75" s="169">
        <f>'HDD &amp; CDD'!Q33</f>
        <v>0</v>
      </c>
      <c r="L75" s="397">
        <f t="shared" si="5"/>
        <v>31</v>
      </c>
      <c r="M75" s="169">
        <v>1</v>
      </c>
      <c r="N75" s="397">
        <f>[17]Sheet1!C73</f>
        <v>1</v>
      </c>
      <c r="O75" s="633"/>
      <c r="P75" s="620"/>
      <c r="Q75" s="629"/>
      <c r="R75" s="632">
        <f>'CDM Activity'!C121</f>
        <v>156876.93572064725</v>
      </c>
      <c r="S75" s="62"/>
      <c r="T75" s="62"/>
      <c r="U75" s="62"/>
      <c r="V75" s="630"/>
      <c r="W75" s="631">
        <f>[22]GDP!D98</f>
        <v>106.09636445985473</v>
      </c>
      <c r="X75" s="635">
        <f>'[22]Customer Count'!L94</f>
        <v>5817.3333333333303</v>
      </c>
      <c r="Y75" s="636"/>
      <c r="Z75" s="310"/>
      <c r="AA75" s="16" t="s">
        <v>108</v>
      </c>
      <c r="AB75" s="16">
        <v>-341937.80898512807</v>
      </c>
      <c r="AC75" s="16">
        <v>122645.11607670331</v>
      </c>
      <c r="AD75" s="16">
        <v>-2.788026298342587</v>
      </c>
      <c r="AE75" s="16">
        <v>6.2152151063405055E-3</v>
      </c>
      <c r="AF75" s="16">
        <v>-584896.8393174326</v>
      </c>
      <c r="AG75" s="16">
        <v>-98978.77865282353</v>
      </c>
      <c r="AH75" s="16">
        <v>-584896.8393174326</v>
      </c>
      <c r="AI75" s="16">
        <v>-98978.77865282353</v>
      </c>
      <c r="AJ75" s="64"/>
      <c r="AK75" s="45"/>
      <c r="AL75" s="45"/>
      <c r="AM75" s="45"/>
      <c r="AN75" s="45"/>
      <c r="AO75" s="45"/>
      <c r="AP75" s="45"/>
      <c r="AQ75" s="45"/>
      <c r="AR75" s="45"/>
      <c r="AS75" s="45"/>
    </row>
    <row r="76" spans="2:45" ht="13.5" thickBot="1">
      <c r="B76" s="57">
        <f t="shared" si="6"/>
        <v>40512</v>
      </c>
      <c r="C76" s="65">
        <v>9833800</v>
      </c>
      <c r="D76" s="68"/>
      <c r="E76" s="80"/>
      <c r="F76" s="68"/>
      <c r="G76" s="69"/>
      <c r="H76" s="67">
        <f t="shared" si="4"/>
        <v>9833800</v>
      </c>
      <c r="I76" s="304"/>
      <c r="J76" s="169">
        <f>'HDD &amp; CDD'!Q16</f>
        <v>491.59999999999985</v>
      </c>
      <c r="K76" s="169">
        <f>'HDD &amp; CDD'!Q34</f>
        <v>0</v>
      </c>
      <c r="L76" s="397">
        <f t="shared" si="5"/>
        <v>30</v>
      </c>
      <c r="M76" s="169">
        <v>1</v>
      </c>
      <c r="N76" s="397">
        <f>[17]Sheet1!C74</f>
        <v>0</v>
      </c>
      <c r="O76" s="633"/>
      <c r="P76" s="620"/>
      <c r="Q76" s="629"/>
      <c r="R76" s="632">
        <f>'CDM Activity'!C122</f>
        <v>157869.4104647132</v>
      </c>
      <c r="S76" s="62"/>
      <c r="T76" s="62"/>
      <c r="U76" s="62"/>
      <c r="V76" s="630"/>
      <c r="W76" s="631">
        <f>[22]GDP!D99</f>
        <v>106.35802671647338</v>
      </c>
      <c r="X76" s="635">
        <f>'[22]Customer Count'!L95</f>
        <v>5817.6666666666633</v>
      </c>
      <c r="Y76" s="636"/>
      <c r="Z76" s="310"/>
      <c r="AA76" s="17" t="s">
        <v>109</v>
      </c>
      <c r="AB76" s="17">
        <v>-141247.7796045198</v>
      </c>
      <c r="AC76" s="17">
        <v>68098.120380200358</v>
      </c>
      <c r="AD76" s="17">
        <v>-2.0741802977221062</v>
      </c>
      <c r="AE76" s="17">
        <v>4.0314344855335735E-2</v>
      </c>
      <c r="AF76" s="17">
        <v>-276149.63158432965</v>
      </c>
      <c r="AG76" s="17">
        <v>-6345.9276247099915</v>
      </c>
      <c r="AH76" s="17">
        <v>-276149.63158432965</v>
      </c>
      <c r="AI76" s="17">
        <v>-6345.9276247099915</v>
      </c>
      <c r="AJ76" s="64"/>
      <c r="AK76" s="45"/>
      <c r="AL76" s="45"/>
      <c r="AM76" s="45"/>
      <c r="AN76" s="45"/>
      <c r="AO76" s="45"/>
      <c r="AP76" s="45"/>
      <c r="AQ76" s="45"/>
      <c r="AR76" s="45"/>
      <c r="AS76" s="45"/>
    </row>
    <row r="77" spans="2:45">
      <c r="B77" s="172">
        <f t="shared" si="6"/>
        <v>40543</v>
      </c>
      <c r="C77" s="81">
        <v>11438554</v>
      </c>
      <c r="D77" s="82"/>
      <c r="E77" s="82"/>
      <c r="F77" s="82"/>
      <c r="G77" s="83"/>
      <c r="H77" s="74">
        <f t="shared" si="4"/>
        <v>11438554</v>
      </c>
      <c r="I77" s="305"/>
      <c r="J77" s="118">
        <f>'HDD &amp; CDD'!Q17</f>
        <v>731.39999999999986</v>
      </c>
      <c r="K77" s="118">
        <f>'HDD &amp; CDD'!Q35</f>
        <v>0</v>
      </c>
      <c r="L77" s="398">
        <f t="shared" si="5"/>
        <v>31</v>
      </c>
      <c r="M77" s="118">
        <v>0</v>
      </c>
      <c r="N77" s="398">
        <f>[17]Sheet1!C75</f>
        <v>2</v>
      </c>
      <c r="O77" s="633"/>
      <c r="P77" s="620"/>
      <c r="Q77" s="629"/>
      <c r="R77" s="632">
        <f>'CDM Activity'!C123</f>
        <v>158861.88520877916</v>
      </c>
      <c r="S77" s="62"/>
      <c r="T77" s="62"/>
      <c r="U77" s="62"/>
      <c r="V77" s="630"/>
      <c r="W77" s="631">
        <f>[22]GDP!D100</f>
        <v>106.62033430280609</v>
      </c>
      <c r="X77" s="635">
        <f>'[22]Customer Count'!L96</f>
        <v>5818</v>
      </c>
      <c r="Y77" s="636"/>
      <c r="Z77" s="310"/>
      <c r="AA77"/>
      <c r="AB77"/>
      <c r="AC77"/>
      <c r="AD77"/>
      <c r="AE77"/>
      <c r="AF77"/>
      <c r="AG77"/>
      <c r="AH77"/>
      <c r="AI77"/>
      <c r="AJ77" s="64"/>
      <c r="AK77" s="45"/>
      <c r="AL77" s="45"/>
      <c r="AM77" s="45"/>
      <c r="AN77" s="45"/>
      <c r="AO77" s="45"/>
      <c r="AP77" s="45"/>
      <c r="AQ77" s="45"/>
      <c r="AR77" s="45"/>
      <c r="AS77" s="45"/>
    </row>
    <row r="78" spans="2:45" ht="13.5" thickBot="1">
      <c r="B78" s="57">
        <f t="shared" si="6"/>
        <v>40574</v>
      </c>
      <c r="C78" s="65">
        <f>[16]Sheet1!C24</f>
        <v>12132585</v>
      </c>
      <c r="D78" s="68"/>
      <c r="E78" s="65">
        <f>[16]Sheet1!D24</f>
        <v>0</v>
      </c>
      <c r="F78" s="80"/>
      <c r="G78" s="69"/>
      <c r="H78" s="67">
        <f t="shared" si="4"/>
        <v>12132585</v>
      </c>
      <c r="I78" s="304"/>
      <c r="J78" s="169">
        <f>'HDD &amp; CDD'!R6</f>
        <v>888.7</v>
      </c>
      <c r="K78" s="169">
        <f>'HDD &amp; CDD'!R24</f>
        <v>0</v>
      </c>
      <c r="L78" s="397">
        <f t="shared" si="5"/>
        <v>31</v>
      </c>
      <c r="M78" s="169">
        <v>0</v>
      </c>
      <c r="N78" s="397">
        <f>[17]Sheet1!C76</f>
        <v>1</v>
      </c>
      <c r="O78" s="633"/>
      <c r="P78" s="620"/>
      <c r="Q78" s="629"/>
      <c r="R78" s="632">
        <f>'CDM Activity'!C124</f>
        <v>163319.92090791953</v>
      </c>
      <c r="S78" s="62"/>
      <c r="T78" s="62"/>
      <c r="U78" s="62"/>
      <c r="V78" s="630"/>
      <c r="W78" s="631">
        <f>[22]GDP!D101</f>
        <v>106.84863702804462</v>
      </c>
      <c r="X78" s="635">
        <f>'[22]Customer Count'!L97</f>
        <v>5819.75</v>
      </c>
      <c r="Y78" s="636"/>
      <c r="Z78" s="310"/>
      <c r="AA78"/>
      <c r="AB78"/>
      <c r="AC78"/>
      <c r="AD78"/>
      <c r="AE78"/>
      <c r="AF78"/>
      <c r="AG78"/>
      <c r="AH78"/>
      <c r="AI78"/>
      <c r="AJ78" s="64"/>
      <c r="AK78" s="45"/>
      <c r="AL78" s="45"/>
      <c r="AM78" s="45"/>
      <c r="AN78" s="45"/>
      <c r="AO78" s="45"/>
      <c r="AP78" s="45"/>
      <c r="AQ78" s="45"/>
      <c r="AR78" s="45"/>
      <c r="AS78" s="45"/>
    </row>
    <row r="79" spans="2:45" ht="13.5" thickBot="1">
      <c r="B79" s="57">
        <f t="shared" si="6"/>
        <v>40602</v>
      </c>
      <c r="C79" s="65">
        <f>[16]Sheet1!C25</f>
        <v>10866454</v>
      </c>
      <c r="D79" s="68"/>
      <c r="E79" s="65">
        <f>[16]Sheet1!D25</f>
        <v>1799</v>
      </c>
      <c r="F79" s="80"/>
      <c r="G79" s="69"/>
      <c r="H79" s="67">
        <f t="shared" si="4"/>
        <v>10868253</v>
      </c>
      <c r="I79" s="304"/>
      <c r="J79" s="169">
        <f>'HDD &amp; CDD'!R7</f>
        <v>731.6</v>
      </c>
      <c r="K79" s="169">
        <f>'HDD &amp; CDD'!R25</f>
        <v>0</v>
      </c>
      <c r="L79" s="397">
        <f t="shared" si="5"/>
        <v>28</v>
      </c>
      <c r="M79" s="169">
        <v>0</v>
      </c>
      <c r="N79" s="397">
        <f>[17]Sheet1!C77</f>
        <v>1</v>
      </c>
      <c r="O79" s="633"/>
      <c r="P79" s="620"/>
      <c r="Q79" s="629"/>
      <c r="R79" s="632">
        <f>'CDM Activity'!C125</f>
        <v>167777.9566070599</v>
      </c>
      <c r="S79" s="62"/>
      <c r="T79" s="62"/>
      <c r="U79" s="62"/>
      <c r="V79" s="630"/>
      <c r="W79" s="631">
        <f>[22]GDP!D102</f>
        <v>107.07742861063566</v>
      </c>
      <c r="X79" s="635">
        <f>'[22]Customer Count'!L98</f>
        <v>5821.5</v>
      </c>
      <c r="Y79" s="636"/>
      <c r="Z79" s="623" t="s">
        <v>266</v>
      </c>
      <c r="AA79" t="s">
        <v>14</v>
      </c>
      <c r="AB79"/>
      <c r="AC79"/>
      <c r="AD79"/>
      <c r="AE79"/>
      <c r="AF79"/>
      <c r="AG79"/>
      <c r="AH79"/>
      <c r="AI79"/>
      <c r="AJ79" s="64"/>
      <c r="AK79" s="45"/>
      <c r="AL79" s="45"/>
      <c r="AM79" s="45"/>
      <c r="AN79" s="45"/>
      <c r="AO79" s="45"/>
      <c r="AP79" s="45"/>
      <c r="AQ79" s="45"/>
      <c r="AR79" s="45"/>
      <c r="AS79" s="45"/>
    </row>
    <row r="80" spans="2:45" ht="13.5" thickBot="1">
      <c r="B80" s="57">
        <f t="shared" si="6"/>
        <v>40633</v>
      </c>
      <c r="C80" s="65">
        <f>[16]Sheet1!C26</f>
        <v>11067608</v>
      </c>
      <c r="D80" s="68"/>
      <c r="E80" s="65">
        <f>[16]Sheet1!D26</f>
        <v>1033</v>
      </c>
      <c r="F80" s="80"/>
      <c r="G80" s="69"/>
      <c r="H80" s="67">
        <f t="shared" si="4"/>
        <v>11068641</v>
      </c>
      <c r="I80" s="304"/>
      <c r="J80" s="169">
        <f>'HDD &amp; CDD'!R8</f>
        <v>634.59999999999991</v>
      </c>
      <c r="K80" s="169">
        <f>'HDD &amp; CDD'!R26</f>
        <v>0</v>
      </c>
      <c r="L80" s="397">
        <f t="shared" si="5"/>
        <v>31</v>
      </c>
      <c r="M80" s="169">
        <v>1</v>
      </c>
      <c r="N80" s="397">
        <f>[17]Sheet1!C78</f>
        <v>0</v>
      </c>
      <c r="O80" s="633"/>
      <c r="P80" s="620"/>
      <c r="Q80" s="629"/>
      <c r="R80" s="632">
        <f>'CDM Activity'!C126</f>
        <v>172235.99230620026</v>
      </c>
      <c r="S80" s="62"/>
      <c r="T80" s="62"/>
      <c r="U80" s="62"/>
      <c r="V80" s="630"/>
      <c r="W80" s="631">
        <f>[22]GDP!D103</f>
        <v>107.3067100973539</v>
      </c>
      <c r="X80" s="635">
        <f>'[22]Customer Count'!L99</f>
        <v>5823.25</v>
      </c>
      <c r="Y80" s="636"/>
      <c r="Z80" s="310"/>
      <c r="AA80"/>
      <c r="AB80"/>
      <c r="AC80"/>
      <c r="AD80"/>
      <c r="AE80"/>
      <c r="AF80"/>
      <c r="AG80"/>
      <c r="AH80"/>
      <c r="AI80"/>
      <c r="AJ80" s="64"/>
      <c r="AK80" s="45"/>
      <c r="AL80" s="45"/>
      <c r="AM80" s="45"/>
      <c r="AN80" s="45"/>
      <c r="AO80" s="45"/>
      <c r="AP80" s="45"/>
      <c r="AQ80" s="45"/>
      <c r="AR80" s="45"/>
      <c r="AS80" s="45"/>
    </row>
    <row r="81" spans="2:45">
      <c r="B81" s="57">
        <f t="shared" si="6"/>
        <v>40663</v>
      </c>
      <c r="C81" s="65">
        <f>[16]Sheet1!C27</f>
        <v>9072415</v>
      </c>
      <c r="D81" s="68"/>
      <c r="E81" s="65">
        <f>[16]Sheet1!D27</f>
        <v>2402</v>
      </c>
      <c r="F81" s="80"/>
      <c r="G81" s="69"/>
      <c r="H81" s="67">
        <f t="shared" si="4"/>
        <v>9074817</v>
      </c>
      <c r="I81" s="304"/>
      <c r="J81" s="169">
        <f>'HDD &amp; CDD'!R9</f>
        <v>347.40000000000009</v>
      </c>
      <c r="K81" s="169">
        <f>'HDD &amp; CDD'!R27</f>
        <v>0</v>
      </c>
      <c r="L81" s="397">
        <f t="shared" si="5"/>
        <v>30</v>
      </c>
      <c r="M81" s="169">
        <v>1</v>
      </c>
      <c r="N81" s="397">
        <f>[17]Sheet1!C79</f>
        <v>2</v>
      </c>
      <c r="O81" s="633"/>
      <c r="P81" s="620"/>
      <c r="Q81" s="629"/>
      <c r="R81" s="632">
        <f>'CDM Activity'!C127</f>
        <v>176694.02800534063</v>
      </c>
      <c r="S81" s="62"/>
      <c r="T81" s="62"/>
      <c r="U81" s="62"/>
      <c r="V81" s="630"/>
      <c r="W81" s="631">
        <f>[22]GDP!D104</f>
        <v>107.53648253721542</v>
      </c>
      <c r="X81" s="635">
        <f>'[22]Customer Count'!L100</f>
        <v>5825</v>
      </c>
      <c r="Y81" s="636"/>
      <c r="Z81" s="310"/>
      <c r="AA81" s="19" t="s">
        <v>15</v>
      </c>
      <c r="AB81" s="19"/>
      <c r="AC81"/>
      <c r="AD81"/>
      <c r="AE81"/>
      <c r="AF81"/>
      <c r="AG81"/>
      <c r="AH81"/>
      <c r="AI81"/>
      <c r="AJ81" s="64"/>
      <c r="AK81" s="45"/>
      <c r="AL81" s="45"/>
      <c r="AM81" s="45"/>
      <c r="AN81" s="45"/>
      <c r="AO81" s="45"/>
      <c r="AP81" s="45"/>
      <c r="AQ81" s="45"/>
      <c r="AR81" s="45"/>
      <c r="AS81" s="45"/>
    </row>
    <row r="82" spans="2:45">
      <c r="B82" s="57">
        <f t="shared" si="6"/>
        <v>40694</v>
      </c>
      <c r="C82" s="65">
        <f>[16]Sheet1!C28</f>
        <v>8656277</v>
      </c>
      <c r="D82" s="68"/>
      <c r="E82" s="65">
        <f>[16]Sheet1!D28</f>
        <v>2602</v>
      </c>
      <c r="F82" s="80"/>
      <c r="G82" s="69"/>
      <c r="H82" s="67">
        <f t="shared" si="4"/>
        <v>8658879</v>
      </c>
      <c r="I82" s="304"/>
      <c r="J82" s="169">
        <f>'HDD &amp; CDD'!R10</f>
        <v>142.79999999999998</v>
      </c>
      <c r="K82" s="169">
        <f>'HDD &amp; CDD'!R28</f>
        <v>16.7</v>
      </c>
      <c r="L82" s="397">
        <f t="shared" si="5"/>
        <v>31</v>
      </c>
      <c r="M82" s="169">
        <v>1</v>
      </c>
      <c r="N82" s="397">
        <f>[17]Sheet1!C80</f>
        <v>1</v>
      </c>
      <c r="O82" s="633"/>
      <c r="P82" s="620"/>
      <c r="Q82" s="629"/>
      <c r="R82" s="632">
        <f>'CDM Activity'!C128</f>
        <v>181152.063704481</v>
      </c>
      <c r="S82" s="62"/>
      <c r="T82" s="62"/>
      <c r="U82" s="62"/>
      <c r="V82" s="630"/>
      <c r="W82" s="631">
        <f>[22]GDP!D105</f>
        <v>107.76674698148256</v>
      </c>
      <c r="X82" s="635">
        <f>'[22]Customer Count'!L101</f>
        <v>5826.75</v>
      </c>
      <c r="Y82" s="636"/>
      <c r="Z82" s="310"/>
      <c r="AA82" s="16" t="s">
        <v>16</v>
      </c>
      <c r="AB82" s="16">
        <v>0.97854344960504558</v>
      </c>
      <c r="AC82"/>
      <c r="AD82"/>
      <c r="AE82"/>
      <c r="AF82"/>
      <c r="AG82"/>
      <c r="AH82"/>
      <c r="AI82"/>
      <c r="AJ82" s="64"/>
      <c r="AK82" s="45"/>
      <c r="AL82" s="45"/>
      <c r="AM82" s="45"/>
      <c r="AN82" s="45"/>
      <c r="AO82" s="45"/>
      <c r="AP82" s="45"/>
      <c r="AQ82" s="45"/>
      <c r="AR82" s="45"/>
      <c r="AS82" s="45"/>
    </row>
    <row r="83" spans="2:45">
      <c r="B83" s="57">
        <f t="shared" si="6"/>
        <v>40724</v>
      </c>
      <c r="C83" s="65">
        <f>[16]Sheet1!C29</f>
        <v>8776092</v>
      </c>
      <c r="D83" s="68"/>
      <c r="E83" s="65">
        <f>[16]Sheet1!D29</f>
        <v>2828</v>
      </c>
      <c r="F83" s="80"/>
      <c r="G83" s="69"/>
      <c r="H83" s="67">
        <f t="shared" si="4"/>
        <v>8778920</v>
      </c>
      <c r="I83" s="304"/>
      <c r="J83" s="169">
        <f>'HDD &amp; CDD'!R11</f>
        <v>18.5</v>
      </c>
      <c r="K83" s="169">
        <f>'HDD &amp; CDD'!R29</f>
        <v>59.1</v>
      </c>
      <c r="L83" s="397">
        <f t="shared" si="5"/>
        <v>30</v>
      </c>
      <c r="M83" s="169">
        <v>0</v>
      </c>
      <c r="N83" s="397">
        <f>[17]Sheet1!C81</f>
        <v>0</v>
      </c>
      <c r="O83" s="633"/>
      <c r="P83" s="620"/>
      <c r="Q83" s="629"/>
      <c r="R83" s="632">
        <f>'CDM Activity'!C129</f>
        <v>185610.09940362137</v>
      </c>
      <c r="S83" s="62"/>
      <c r="T83" s="62"/>
      <c r="U83" s="62"/>
      <c r="V83" s="630"/>
      <c r="W83" s="631">
        <f>[22]GDP!D106</f>
        <v>107.99750448366868</v>
      </c>
      <c r="X83" s="635">
        <f>'[22]Customer Count'!L102</f>
        <v>5828.5</v>
      </c>
      <c r="Y83" s="636"/>
      <c r="Z83" s="310"/>
      <c r="AA83" s="16" t="s">
        <v>17</v>
      </c>
      <c r="AB83" s="639">
        <v>0.95754728276494228</v>
      </c>
      <c r="AC83"/>
      <c r="AD83"/>
      <c r="AE83"/>
      <c r="AF83"/>
      <c r="AG83"/>
      <c r="AH83"/>
      <c r="AI83"/>
      <c r="AJ83" s="64"/>
      <c r="AK83" s="45"/>
      <c r="AL83" s="45"/>
      <c r="AM83" s="45"/>
      <c r="AN83" s="45"/>
      <c r="AO83" s="45"/>
      <c r="AP83" s="45"/>
      <c r="AQ83" s="45"/>
      <c r="AR83" s="45"/>
      <c r="AS83" s="45"/>
    </row>
    <row r="84" spans="2:45">
      <c r="B84" s="57">
        <f t="shared" si="6"/>
        <v>40755</v>
      </c>
      <c r="C84" s="65">
        <f>[16]Sheet1!C30</f>
        <v>9998192</v>
      </c>
      <c r="D84" s="68"/>
      <c r="E84" s="65">
        <f>[16]Sheet1!D30</f>
        <v>3389</v>
      </c>
      <c r="F84" s="80"/>
      <c r="G84" s="69"/>
      <c r="H84" s="67">
        <f t="shared" si="4"/>
        <v>10001581</v>
      </c>
      <c r="I84" s="304"/>
      <c r="J84" s="169">
        <f>'HDD &amp; CDD'!R12</f>
        <v>0</v>
      </c>
      <c r="K84" s="169">
        <f>'HDD &amp; CDD'!R30</f>
        <v>137.5</v>
      </c>
      <c r="L84" s="397">
        <f t="shared" si="5"/>
        <v>31</v>
      </c>
      <c r="M84" s="169">
        <v>0</v>
      </c>
      <c r="N84" s="397">
        <f>[17]Sheet1!C82</f>
        <v>1</v>
      </c>
      <c r="O84" s="633"/>
      <c r="P84" s="620"/>
      <c r="Q84" s="629"/>
      <c r="R84" s="632">
        <f>'CDM Activity'!C130</f>
        <v>190068.13510276173</v>
      </c>
      <c r="S84" s="62"/>
      <c r="T84" s="62"/>
      <c r="U84" s="62"/>
      <c r="V84" s="630"/>
      <c r="W84" s="631">
        <f>[22]GDP!D107</f>
        <v>108.22875609954298</v>
      </c>
      <c r="X84" s="635">
        <f>'[22]Customer Count'!L103</f>
        <v>5830.25</v>
      </c>
      <c r="Y84" s="636"/>
      <c r="Z84" s="310"/>
      <c r="AA84" s="16" t="s">
        <v>18</v>
      </c>
      <c r="AB84" s="16">
        <v>0.95529315618608956</v>
      </c>
      <c r="AC84"/>
      <c r="AD84"/>
      <c r="AE84"/>
      <c r="AF84"/>
      <c r="AG84"/>
      <c r="AH84"/>
      <c r="AI84"/>
      <c r="AJ84" s="64"/>
      <c r="AK84" s="45"/>
      <c r="AL84" s="45"/>
      <c r="AM84" s="45"/>
      <c r="AN84" s="45"/>
      <c r="AO84" s="45"/>
      <c r="AP84" s="45"/>
      <c r="AQ84" s="45"/>
      <c r="AR84" s="45"/>
      <c r="AS84" s="45"/>
    </row>
    <row r="85" spans="2:45">
      <c r="B85" s="57">
        <f t="shared" si="6"/>
        <v>40786</v>
      </c>
      <c r="C85" s="65">
        <f>[16]Sheet1!C31</f>
        <v>9450654</v>
      </c>
      <c r="D85" s="68"/>
      <c r="E85" s="65">
        <f>[16]Sheet1!D31</f>
        <v>3782</v>
      </c>
      <c r="F85" s="80"/>
      <c r="G85" s="69"/>
      <c r="H85" s="67">
        <f t="shared" si="4"/>
        <v>9454436</v>
      </c>
      <c r="I85" s="304"/>
      <c r="J85" s="169">
        <f>'HDD &amp; CDD'!R13</f>
        <v>2.3000000000000003</v>
      </c>
      <c r="K85" s="169">
        <f>'HDD &amp; CDD'!R31</f>
        <v>82.300000000000011</v>
      </c>
      <c r="L85" s="397">
        <f t="shared" si="5"/>
        <v>31</v>
      </c>
      <c r="M85" s="169">
        <v>0</v>
      </c>
      <c r="N85" s="397">
        <f>[17]Sheet1!C83</f>
        <v>1</v>
      </c>
      <c r="O85" s="633"/>
      <c r="P85" s="620"/>
      <c r="Q85" s="629"/>
      <c r="R85" s="632">
        <f>'CDM Activity'!C131</f>
        <v>194526.1708019021</v>
      </c>
      <c r="S85" s="62"/>
      <c r="T85" s="62"/>
      <c r="U85" s="62"/>
      <c r="V85" s="630"/>
      <c r="W85" s="631">
        <f>[22]GDP!D108</f>
        <v>108.46050288713538</v>
      </c>
      <c r="X85" s="635">
        <f>'[22]Customer Count'!L104</f>
        <v>5832</v>
      </c>
      <c r="Y85" s="636"/>
      <c r="Z85" s="310"/>
      <c r="AA85" s="16" t="s">
        <v>19</v>
      </c>
      <c r="AB85" s="16">
        <v>269099.6807503883</v>
      </c>
      <c r="AC85"/>
      <c r="AD85"/>
      <c r="AE85"/>
      <c r="AF85"/>
      <c r="AG85"/>
      <c r="AH85"/>
      <c r="AI85"/>
      <c r="AJ85" s="64"/>
      <c r="AK85" s="45"/>
      <c r="AL85" s="45"/>
      <c r="AM85" s="45"/>
      <c r="AN85" s="45"/>
      <c r="AO85" s="45"/>
      <c r="AP85" s="45"/>
      <c r="AQ85" s="45"/>
      <c r="AR85" s="45"/>
      <c r="AS85" s="45"/>
    </row>
    <row r="86" spans="2:45" ht="13.5" thickBot="1">
      <c r="B86" s="57">
        <f t="shared" si="6"/>
        <v>40816</v>
      </c>
      <c r="C86" s="65">
        <f>[16]Sheet1!C32</f>
        <v>8631923</v>
      </c>
      <c r="D86" s="68"/>
      <c r="E86" s="65">
        <f>[16]Sheet1!D32</f>
        <v>3038</v>
      </c>
      <c r="F86" s="80"/>
      <c r="G86" s="69"/>
      <c r="H86" s="67">
        <f t="shared" si="4"/>
        <v>8634961</v>
      </c>
      <c r="I86" s="304"/>
      <c r="J86" s="169">
        <f>'HDD &amp; CDD'!R14</f>
        <v>55.4</v>
      </c>
      <c r="K86" s="169">
        <f>'HDD &amp; CDD'!R32</f>
        <v>32.9</v>
      </c>
      <c r="L86" s="397">
        <f t="shared" si="5"/>
        <v>30</v>
      </c>
      <c r="M86" s="169">
        <v>1</v>
      </c>
      <c r="N86" s="397">
        <f>[17]Sheet1!C84</f>
        <v>1</v>
      </c>
      <c r="O86" s="633"/>
      <c r="P86" s="620"/>
      <c r="Q86" s="629"/>
      <c r="R86" s="632">
        <f>'CDM Activity'!C132</f>
        <v>198984.20650104247</v>
      </c>
      <c r="S86" s="62"/>
      <c r="T86" s="62"/>
      <c r="U86" s="62"/>
      <c r="V86" s="630"/>
      <c r="W86" s="631">
        <f>[22]GDP!D109</f>
        <v>108.69274590674128</v>
      </c>
      <c r="X86" s="635">
        <f>'[22]Customer Count'!L105</f>
        <v>5833.75</v>
      </c>
      <c r="Y86" s="636"/>
      <c r="Z86" s="310"/>
      <c r="AA86" s="17" t="s">
        <v>20</v>
      </c>
      <c r="AB86" s="17">
        <v>120</v>
      </c>
      <c r="AC86"/>
      <c r="AD86"/>
      <c r="AE86"/>
      <c r="AF86"/>
      <c r="AG86"/>
      <c r="AH86"/>
      <c r="AI86"/>
      <c r="AJ86" s="64"/>
      <c r="AK86" s="45"/>
      <c r="AL86" s="45"/>
      <c r="AM86" s="45"/>
      <c r="AN86" s="45"/>
      <c r="AO86" s="45"/>
      <c r="AP86" s="45"/>
      <c r="AQ86" s="45"/>
      <c r="AR86" s="45"/>
      <c r="AS86" s="45"/>
    </row>
    <row r="87" spans="2:45">
      <c r="B87" s="57">
        <f t="shared" si="6"/>
        <v>40847</v>
      </c>
      <c r="C87" s="65">
        <f>[16]Sheet1!C33</f>
        <v>8921515</v>
      </c>
      <c r="D87" s="68"/>
      <c r="E87" s="65">
        <f>[16]Sheet1!D33</f>
        <v>5616</v>
      </c>
      <c r="F87" s="80"/>
      <c r="G87" s="69"/>
      <c r="H87" s="67">
        <f t="shared" si="4"/>
        <v>8927131</v>
      </c>
      <c r="I87" s="304"/>
      <c r="J87" s="169">
        <f>'HDD &amp; CDD'!R15</f>
        <v>259.10000000000002</v>
      </c>
      <c r="K87" s="169">
        <f>'HDD &amp; CDD'!R33</f>
        <v>1.4</v>
      </c>
      <c r="L87" s="397">
        <f t="shared" si="5"/>
        <v>31</v>
      </c>
      <c r="M87" s="169">
        <v>1</v>
      </c>
      <c r="N87" s="397">
        <f>[17]Sheet1!C85</f>
        <v>1</v>
      </c>
      <c r="O87" s="633"/>
      <c r="P87" s="620"/>
      <c r="Q87" s="629"/>
      <c r="R87" s="632">
        <f>'CDM Activity'!C133</f>
        <v>203442.24220018284</v>
      </c>
      <c r="S87" s="62"/>
      <c r="T87" s="62"/>
      <c r="U87" s="62"/>
      <c r="V87" s="630"/>
      <c r="W87" s="631">
        <f>[22]GDP!D110</f>
        <v>108.9254862209265</v>
      </c>
      <c r="X87" s="635">
        <f>'[22]Customer Count'!L106</f>
        <v>5835.5</v>
      </c>
      <c r="Y87" s="636"/>
      <c r="Z87" s="310"/>
      <c r="AA87"/>
      <c r="AB87"/>
      <c r="AC87"/>
      <c r="AD87"/>
      <c r="AE87"/>
      <c r="AF87"/>
      <c r="AG87"/>
      <c r="AH87"/>
      <c r="AI87"/>
      <c r="AJ87" s="64"/>
      <c r="AK87" s="45"/>
      <c r="AL87" s="45"/>
      <c r="AM87" s="45"/>
      <c r="AN87" s="45"/>
      <c r="AO87" s="45"/>
      <c r="AP87" s="45"/>
      <c r="AQ87" s="45"/>
      <c r="AR87" s="45"/>
      <c r="AS87" s="45"/>
    </row>
    <row r="88" spans="2:45" ht="13.5" thickBot="1">
      <c r="B88" s="57">
        <f t="shared" si="6"/>
        <v>40877</v>
      </c>
      <c r="C88" s="65">
        <f>[16]Sheet1!C34</f>
        <v>9478715</v>
      </c>
      <c r="D88" s="68"/>
      <c r="E88" s="65">
        <f>[16]Sheet1!D34</f>
        <v>3860</v>
      </c>
      <c r="F88" s="80"/>
      <c r="G88" s="69"/>
      <c r="H88" s="67">
        <f t="shared" si="4"/>
        <v>9482575</v>
      </c>
      <c r="I88" s="304"/>
      <c r="J88" s="169">
        <f>'HDD &amp; CDD'!R16</f>
        <v>392.9</v>
      </c>
      <c r="K88" s="169">
        <f>'HDD &amp; CDD'!R34</f>
        <v>0</v>
      </c>
      <c r="L88" s="397">
        <f t="shared" si="5"/>
        <v>30</v>
      </c>
      <c r="M88" s="169">
        <v>1</v>
      </c>
      <c r="N88" s="397">
        <f>[17]Sheet1!C86</f>
        <v>0</v>
      </c>
      <c r="O88" s="633"/>
      <c r="P88" s="620"/>
      <c r="Q88" s="629"/>
      <c r="R88" s="632">
        <f>'CDM Activity'!C134</f>
        <v>207900.27789932321</v>
      </c>
      <c r="S88" s="62"/>
      <c r="T88" s="62"/>
      <c r="U88" s="62"/>
      <c r="V88" s="630"/>
      <c r="W88" s="631">
        <f>[22]GDP!D111</f>
        <v>109.15872489453209</v>
      </c>
      <c r="X88" s="635">
        <f>'[22]Customer Count'!L107</f>
        <v>5837.25</v>
      </c>
      <c r="Y88" s="636"/>
      <c r="Z88" s="310"/>
      <c r="AA88" t="s">
        <v>21</v>
      </c>
      <c r="AB88"/>
      <c r="AC88"/>
      <c r="AD88"/>
      <c r="AE88"/>
      <c r="AF88"/>
      <c r="AG88"/>
      <c r="AH88"/>
      <c r="AI88"/>
      <c r="AJ88" s="64"/>
      <c r="AK88" s="45"/>
      <c r="AL88" s="45"/>
      <c r="AM88" s="45"/>
      <c r="AN88" s="45"/>
      <c r="AO88" s="45"/>
      <c r="AP88" s="45"/>
      <c r="AQ88" s="45"/>
      <c r="AR88" s="45"/>
      <c r="AS88" s="45"/>
    </row>
    <row r="89" spans="2:45">
      <c r="B89" s="172">
        <f t="shared" si="6"/>
        <v>40908</v>
      </c>
      <c r="C89" s="81">
        <f>[16]Sheet1!C35</f>
        <v>10916892</v>
      </c>
      <c r="D89" s="82"/>
      <c r="E89" s="81">
        <f>[16]Sheet1!D35</f>
        <v>2771</v>
      </c>
      <c r="F89" s="82"/>
      <c r="G89" s="83"/>
      <c r="H89" s="74">
        <f t="shared" si="4"/>
        <v>10919663</v>
      </c>
      <c r="I89" s="305"/>
      <c r="J89" s="118">
        <f>'HDD &amp; CDD'!R17</f>
        <v>672.19999999999993</v>
      </c>
      <c r="K89" s="118">
        <f>'HDD &amp; CDD'!R35</f>
        <v>0</v>
      </c>
      <c r="L89" s="398">
        <f t="shared" si="5"/>
        <v>31</v>
      </c>
      <c r="M89" s="118">
        <v>0</v>
      </c>
      <c r="N89" s="398">
        <f>[17]Sheet1!C87</f>
        <v>2</v>
      </c>
      <c r="O89" s="633"/>
      <c r="P89" s="620"/>
      <c r="Q89" s="629"/>
      <c r="R89" s="632">
        <f>'CDM Activity'!C135</f>
        <v>212358.31359846357</v>
      </c>
      <c r="S89" s="62"/>
      <c r="T89" s="62"/>
      <c r="U89" s="62"/>
      <c r="V89" s="630"/>
      <c r="W89" s="631">
        <f>[22]GDP!D112</f>
        <v>109.39246299467918</v>
      </c>
      <c r="X89" s="635">
        <f>'[22]Customer Count'!L108</f>
        <v>5839</v>
      </c>
      <c r="Y89" s="636"/>
      <c r="Z89" s="310"/>
      <c r="AA89" s="18"/>
      <c r="AB89" s="18" t="s">
        <v>25</v>
      </c>
      <c r="AC89" s="18" t="s">
        <v>26</v>
      </c>
      <c r="AD89" s="18" t="s">
        <v>27</v>
      </c>
      <c r="AE89" s="18" t="s">
        <v>28</v>
      </c>
      <c r="AF89" s="18" t="s">
        <v>29</v>
      </c>
      <c r="AG89"/>
      <c r="AH89"/>
      <c r="AI89"/>
      <c r="AJ89" s="64"/>
      <c r="AK89" s="45"/>
      <c r="AL89" s="45"/>
      <c r="AM89" s="45"/>
      <c r="AN89" s="45"/>
      <c r="AO89" s="45"/>
      <c r="AP89" s="45"/>
      <c r="AQ89" s="45"/>
      <c r="AR89" s="45"/>
      <c r="AS89" s="45"/>
    </row>
    <row r="90" spans="2:45">
      <c r="B90" s="57">
        <f t="shared" si="6"/>
        <v>40939</v>
      </c>
      <c r="C90" s="65">
        <f>[16]Sheet1!C36</f>
        <v>11698538</v>
      </c>
      <c r="D90" s="68"/>
      <c r="E90" s="65">
        <f>[16]Sheet1!D36</f>
        <v>1792</v>
      </c>
      <c r="F90" s="80"/>
      <c r="G90" s="69"/>
      <c r="H90" s="67">
        <f t="shared" si="4"/>
        <v>11700330</v>
      </c>
      <c r="I90" s="304"/>
      <c r="J90" s="169">
        <f>'HDD &amp; CDD'!S6</f>
        <v>831.00000000000023</v>
      </c>
      <c r="K90" s="169">
        <f>'HDD &amp; CDD'!S24</f>
        <v>0</v>
      </c>
      <c r="L90" s="397">
        <f t="shared" si="5"/>
        <v>31</v>
      </c>
      <c r="M90" s="169">
        <v>0</v>
      </c>
      <c r="N90" s="397">
        <f>[17]Sheet1!C88</f>
        <v>1</v>
      </c>
      <c r="O90" s="633"/>
      <c r="P90" s="620"/>
      <c r="Q90" s="629"/>
      <c r="R90" s="632">
        <f>'CDM Activity'!C136</f>
        <v>217838.93511900041</v>
      </c>
      <c r="S90" s="62"/>
      <c r="T90" s="62"/>
      <c r="U90" s="62"/>
      <c r="V90" s="630"/>
      <c r="W90" s="631">
        <f>[22]GDP!D113</f>
        <v>109.54624110961838</v>
      </c>
      <c r="X90" s="635">
        <f>'[22]Customer Count'!L109</f>
        <v>5840.916666666667</v>
      </c>
      <c r="Y90" s="636"/>
      <c r="Z90" s="310"/>
      <c r="AA90" s="16" t="s">
        <v>22</v>
      </c>
      <c r="AB90" s="16">
        <v>6</v>
      </c>
      <c r="AC90" s="16">
        <v>184569333431816.06</v>
      </c>
      <c r="AD90" s="16">
        <v>30761555571969.344</v>
      </c>
      <c r="AE90" s="16">
        <v>424.79747665827466</v>
      </c>
      <c r="AF90" s="16">
        <v>4.6285422662222501E-75</v>
      </c>
      <c r="AG90"/>
      <c r="AH90"/>
      <c r="AI90"/>
      <c r="AJ90" s="64"/>
      <c r="AK90" s="45"/>
      <c r="AL90" s="45"/>
      <c r="AM90" s="45"/>
      <c r="AN90" s="45"/>
      <c r="AO90" s="45"/>
      <c r="AP90" s="45"/>
      <c r="AQ90" s="45"/>
      <c r="AR90" s="45"/>
      <c r="AS90" s="45"/>
    </row>
    <row r="91" spans="2:45">
      <c r="B91" s="57">
        <f t="shared" si="6"/>
        <v>40968</v>
      </c>
      <c r="C91" s="65">
        <f>[16]Sheet1!C37</f>
        <v>10394346</v>
      </c>
      <c r="D91" s="68"/>
      <c r="E91" s="65">
        <f>[16]Sheet1!D37</f>
        <v>1495</v>
      </c>
      <c r="F91" s="80"/>
      <c r="G91" s="69"/>
      <c r="H91" s="67">
        <f t="shared" si="4"/>
        <v>10395841</v>
      </c>
      <c r="I91" s="304"/>
      <c r="J91" s="169">
        <f>'HDD &amp; CDD'!S7</f>
        <v>671.39999999999986</v>
      </c>
      <c r="K91" s="169">
        <f>'HDD &amp; CDD'!S25</f>
        <v>0</v>
      </c>
      <c r="L91" s="397">
        <f t="shared" si="5"/>
        <v>29</v>
      </c>
      <c r="M91" s="169">
        <v>0</v>
      </c>
      <c r="N91" s="397">
        <f>[17]Sheet1!C89</f>
        <v>1</v>
      </c>
      <c r="O91" s="633"/>
      <c r="P91" s="620"/>
      <c r="Q91" s="629"/>
      <c r="R91" s="632">
        <f>'CDM Activity'!C137</f>
        <v>223319.55663953724</v>
      </c>
      <c r="S91" s="62"/>
      <c r="T91" s="62"/>
      <c r="U91" s="62"/>
      <c r="V91" s="630"/>
      <c r="W91" s="631">
        <f>[22]GDP!D114</f>
        <v>109.70023539766483</v>
      </c>
      <c r="X91" s="635">
        <f>'[22]Customer Count'!L110</f>
        <v>5842.8333333333339</v>
      </c>
      <c r="Y91" s="636"/>
      <c r="Z91" s="310"/>
      <c r="AA91" s="16" t="s">
        <v>23</v>
      </c>
      <c r="AB91" s="16">
        <v>113</v>
      </c>
      <c r="AC91" s="16">
        <v>8182854114335.5811</v>
      </c>
      <c r="AD91" s="16">
        <v>72414638179.960892</v>
      </c>
      <c r="AE91" s="16"/>
      <c r="AF91" s="16"/>
      <c r="AG91"/>
      <c r="AH91"/>
      <c r="AI91"/>
      <c r="AJ91" s="64"/>
      <c r="AK91" s="45"/>
      <c r="AL91" s="45"/>
      <c r="AM91" s="45"/>
      <c r="AN91" s="45"/>
      <c r="AO91" s="45"/>
      <c r="AP91" s="45"/>
      <c r="AQ91" s="45"/>
      <c r="AR91" s="45"/>
      <c r="AS91" s="45"/>
    </row>
    <row r="92" spans="2:45" ht="13.5" thickBot="1">
      <c r="B92" s="57">
        <f t="shared" si="6"/>
        <v>40999</v>
      </c>
      <c r="C92" s="65">
        <f>[16]Sheet1!C38</f>
        <v>9868346</v>
      </c>
      <c r="D92" s="68"/>
      <c r="E92" s="65">
        <f>[16]Sheet1!D38</f>
        <v>3678</v>
      </c>
      <c r="F92" s="80"/>
      <c r="G92" s="69"/>
      <c r="H92" s="67">
        <f t="shared" si="4"/>
        <v>9872024</v>
      </c>
      <c r="I92" s="304"/>
      <c r="J92" s="169">
        <f>'HDD &amp; CDD'!S8</f>
        <v>460.29999999999984</v>
      </c>
      <c r="K92" s="169">
        <f>'HDD &amp; CDD'!S26</f>
        <v>0</v>
      </c>
      <c r="L92" s="397">
        <f t="shared" si="5"/>
        <v>31</v>
      </c>
      <c r="M92" s="169">
        <v>1</v>
      </c>
      <c r="N92" s="397">
        <f>[17]Sheet1!C90</f>
        <v>0</v>
      </c>
      <c r="O92" s="633"/>
      <c r="P92" s="620"/>
      <c r="Q92" s="629"/>
      <c r="R92" s="632">
        <f>'CDM Activity'!C138</f>
        <v>228800.17816007408</v>
      </c>
      <c r="S92" s="62"/>
      <c r="T92" s="62"/>
      <c r="U92" s="62"/>
      <c r="V92" s="630"/>
      <c r="W92" s="631">
        <f>[22]GDP!D115</f>
        <v>109.85444616270318</v>
      </c>
      <c r="X92" s="635">
        <f>'[22]Customer Count'!L111</f>
        <v>5844.7500000000009</v>
      </c>
      <c r="Y92" s="636"/>
      <c r="Z92" s="310"/>
      <c r="AA92" s="17" t="s">
        <v>5</v>
      </c>
      <c r="AB92" s="17">
        <v>119</v>
      </c>
      <c r="AC92" s="17">
        <v>192752187546151.66</v>
      </c>
      <c r="AD92" s="17"/>
      <c r="AE92" s="17"/>
      <c r="AF92" s="17"/>
      <c r="AG92"/>
      <c r="AH92"/>
      <c r="AI92"/>
      <c r="AJ92" s="64"/>
      <c r="AK92" s="45"/>
      <c r="AL92" s="45"/>
      <c r="AM92" s="45"/>
      <c r="AN92" s="45"/>
      <c r="AO92" s="45"/>
      <c r="AP92" s="45"/>
      <c r="AQ92" s="45"/>
      <c r="AR92" s="45"/>
      <c r="AS92" s="45"/>
    </row>
    <row r="93" spans="2:45" ht="13.5" thickBot="1">
      <c r="B93" s="57">
        <f t="shared" si="6"/>
        <v>41029</v>
      </c>
      <c r="C93" s="65">
        <f>[16]Sheet1!C39</f>
        <v>8701738</v>
      </c>
      <c r="D93" s="68"/>
      <c r="E93" s="65">
        <f>[16]Sheet1!D39</f>
        <v>5711</v>
      </c>
      <c r="F93" s="80"/>
      <c r="G93" s="69"/>
      <c r="H93" s="67">
        <f t="shared" si="4"/>
        <v>8707449</v>
      </c>
      <c r="I93" s="304"/>
      <c r="J93" s="169">
        <f>'HDD &amp; CDD'!S9</f>
        <v>363.30000000000007</v>
      </c>
      <c r="K93" s="169">
        <f>'HDD &amp; CDD'!S27</f>
        <v>3.2</v>
      </c>
      <c r="L93" s="397">
        <f t="shared" si="5"/>
        <v>30</v>
      </c>
      <c r="M93" s="169">
        <v>1</v>
      </c>
      <c r="N93" s="397">
        <f>[17]Sheet1!C91</f>
        <v>2</v>
      </c>
      <c r="O93" s="633"/>
      <c r="P93" s="620"/>
      <c r="Q93" s="629"/>
      <c r="R93" s="632">
        <f>'CDM Activity'!C139</f>
        <v>234280.79968061091</v>
      </c>
      <c r="S93" s="62"/>
      <c r="T93" s="62"/>
      <c r="U93" s="62"/>
      <c r="V93" s="630"/>
      <c r="W93" s="631">
        <f>[22]GDP!D116</f>
        <v>110.00887370904532</v>
      </c>
      <c r="X93" s="635">
        <f>'[22]Customer Count'!L112</f>
        <v>5846.6666666666679</v>
      </c>
      <c r="Y93" s="636"/>
      <c r="Z93" s="310"/>
      <c r="AA93"/>
      <c r="AB93"/>
      <c r="AC93"/>
      <c r="AD93"/>
      <c r="AE93"/>
      <c r="AF93"/>
      <c r="AG93"/>
      <c r="AH93"/>
      <c r="AI93"/>
      <c r="AJ93" s="64"/>
      <c r="AK93" s="45"/>
      <c r="AL93" s="45"/>
      <c r="AM93" s="45"/>
      <c r="AN93" s="45"/>
      <c r="AO93" s="45"/>
      <c r="AP93" s="45"/>
      <c r="AQ93" s="45"/>
      <c r="AR93" s="45"/>
      <c r="AS93" s="45"/>
    </row>
    <row r="94" spans="2:45">
      <c r="B94" s="57">
        <f t="shared" si="6"/>
        <v>41060</v>
      </c>
      <c r="C94" s="65">
        <f>[16]Sheet1!C40</f>
        <v>8473818</v>
      </c>
      <c r="D94" s="68"/>
      <c r="E94" s="65">
        <f>[16]Sheet1!D40</f>
        <v>6666</v>
      </c>
      <c r="F94" s="80"/>
      <c r="G94" s="69"/>
      <c r="H94" s="67">
        <f t="shared" si="4"/>
        <v>8480484</v>
      </c>
      <c r="I94" s="304"/>
      <c r="J94" s="169">
        <f>'HDD &amp; CDD'!S10</f>
        <v>102.4</v>
      </c>
      <c r="K94" s="169">
        <f>'HDD &amp; CDD'!S28</f>
        <v>21</v>
      </c>
      <c r="L94" s="397">
        <f t="shared" si="5"/>
        <v>31</v>
      </c>
      <c r="M94" s="169">
        <v>1</v>
      </c>
      <c r="N94" s="397">
        <f>[17]Sheet1!C92</f>
        <v>1</v>
      </c>
      <c r="O94" s="633"/>
      <c r="P94" s="620"/>
      <c r="Q94" s="629"/>
      <c r="R94" s="632">
        <f>'CDM Activity'!C140</f>
        <v>239761.42120114775</v>
      </c>
      <c r="S94" s="62"/>
      <c r="T94" s="62"/>
      <c r="U94" s="62"/>
      <c r="V94" s="630"/>
      <c r="W94" s="631">
        <f>[22]GDP!D117</f>
        <v>110.16351834143087</v>
      </c>
      <c r="X94" s="635">
        <f>'[22]Customer Count'!L113</f>
        <v>5848.5833333333348</v>
      </c>
      <c r="Y94" s="636"/>
      <c r="Z94" s="310"/>
      <c r="AA94" s="18"/>
      <c r="AB94" s="18" t="s">
        <v>30</v>
      </c>
      <c r="AC94" s="18" t="s">
        <v>19</v>
      </c>
      <c r="AD94" s="18" t="s">
        <v>31</v>
      </c>
      <c r="AE94" s="18" t="s">
        <v>32</v>
      </c>
      <c r="AF94" s="18" t="s">
        <v>33</v>
      </c>
      <c r="AG94" s="18" t="s">
        <v>34</v>
      </c>
      <c r="AH94" s="18" t="s">
        <v>101</v>
      </c>
      <c r="AI94" s="18" t="s">
        <v>102</v>
      </c>
      <c r="AJ94" s="64"/>
      <c r="AK94" s="45"/>
      <c r="AL94" s="45"/>
      <c r="AM94" s="45"/>
      <c r="AN94" s="45"/>
      <c r="AO94" s="45"/>
      <c r="AP94" s="45"/>
      <c r="AQ94" s="45"/>
      <c r="AR94" s="45"/>
      <c r="AS94" s="45"/>
    </row>
    <row r="95" spans="2:45">
      <c r="B95" s="57">
        <f t="shared" si="6"/>
        <v>41090</v>
      </c>
      <c r="C95" s="65">
        <f>[16]Sheet1!C41</f>
        <v>9028518</v>
      </c>
      <c r="D95" s="68"/>
      <c r="E95" s="65">
        <f>[16]Sheet1!D41</f>
        <v>8514</v>
      </c>
      <c r="F95" s="80"/>
      <c r="G95" s="69"/>
      <c r="H95" s="67">
        <f t="shared" si="4"/>
        <v>9037032</v>
      </c>
      <c r="I95" s="304"/>
      <c r="J95" s="169">
        <f>'HDD &amp; CDD'!S11</f>
        <v>31.4</v>
      </c>
      <c r="K95" s="169">
        <f>'HDD &amp; CDD'!S29</f>
        <v>70.399999999999991</v>
      </c>
      <c r="L95" s="397">
        <f t="shared" si="5"/>
        <v>30</v>
      </c>
      <c r="M95" s="169">
        <v>0</v>
      </c>
      <c r="N95" s="397">
        <f>[17]Sheet1!C93</f>
        <v>0</v>
      </c>
      <c r="O95" s="633"/>
      <c r="P95" s="620"/>
      <c r="Q95" s="629"/>
      <c r="R95" s="632">
        <f>'CDM Activity'!C141</f>
        <v>245242.04272168459</v>
      </c>
      <c r="S95" s="62"/>
      <c r="T95" s="62"/>
      <c r="U95" s="62"/>
      <c r="V95" s="630"/>
      <c r="W95" s="631">
        <f>[22]GDP!D118</f>
        <v>110.31838036502788</v>
      </c>
      <c r="X95" s="635">
        <f>'[22]Customer Count'!L114</f>
        <v>5850.5000000000018</v>
      </c>
      <c r="Y95" s="636"/>
      <c r="Z95" s="310"/>
      <c r="AA95" s="16" t="s">
        <v>24</v>
      </c>
      <c r="AB95" s="16">
        <v>1162013.3813349148</v>
      </c>
      <c r="AC95" s="16">
        <v>979598.31476778141</v>
      </c>
      <c r="AD95" s="16">
        <v>1.1862141490212503</v>
      </c>
      <c r="AE95" s="16">
        <v>0.23802588151013568</v>
      </c>
      <c r="AF95" s="16">
        <v>-778747.55999871576</v>
      </c>
      <c r="AG95" s="16">
        <v>3102774.3226685454</v>
      </c>
      <c r="AH95" s="16">
        <v>-778747.55999871576</v>
      </c>
      <c r="AI95" s="16">
        <v>3102774.3226685454</v>
      </c>
      <c r="AJ95" s="64"/>
      <c r="AK95" s="45"/>
      <c r="AL95" s="45"/>
      <c r="AM95" s="45"/>
      <c r="AN95" s="45"/>
      <c r="AO95" s="45"/>
      <c r="AP95" s="45"/>
      <c r="AQ95" s="45"/>
      <c r="AR95" s="45"/>
      <c r="AS95" s="45"/>
    </row>
    <row r="96" spans="2:45">
      <c r="B96" s="57">
        <f t="shared" si="6"/>
        <v>41121</v>
      </c>
      <c r="C96" s="65">
        <f>[16]Sheet1!C42</f>
        <v>9776500</v>
      </c>
      <c r="D96" s="68"/>
      <c r="E96" s="65">
        <f>[16]Sheet1!D42</f>
        <v>8372</v>
      </c>
      <c r="F96" s="80"/>
      <c r="G96" s="69"/>
      <c r="H96" s="67">
        <f t="shared" si="4"/>
        <v>9784872</v>
      </c>
      <c r="I96" s="304"/>
      <c r="J96" s="169">
        <f>'HDD &amp; CDD'!S12</f>
        <v>0</v>
      </c>
      <c r="K96" s="169">
        <f>'HDD &amp; CDD'!S30</f>
        <v>142.20000000000005</v>
      </c>
      <c r="L96" s="397">
        <f t="shared" si="5"/>
        <v>31</v>
      </c>
      <c r="M96" s="169">
        <v>0</v>
      </c>
      <c r="N96" s="397">
        <f>[17]Sheet1!C94</f>
        <v>1</v>
      </c>
      <c r="O96" s="633"/>
      <c r="P96" s="620"/>
      <c r="Q96" s="629"/>
      <c r="R96" s="632">
        <f>'CDM Activity'!C142</f>
        <v>250722.66424222142</v>
      </c>
      <c r="S96" s="62"/>
      <c r="T96" s="62"/>
      <c r="U96" s="62"/>
      <c r="V96" s="630"/>
      <c r="W96" s="631">
        <f>[22]GDP!D119</f>
        <v>110.47346008543335</v>
      </c>
      <c r="X96" s="635">
        <f>'[22]Customer Count'!L115</f>
        <v>5852.4166666666688</v>
      </c>
      <c r="Y96" s="636"/>
      <c r="Z96" s="310"/>
      <c r="AA96" s="16" t="s">
        <v>106</v>
      </c>
      <c r="AB96" s="16">
        <v>4671.3215409385366</v>
      </c>
      <c r="AC96" s="16">
        <v>143.80204166680025</v>
      </c>
      <c r="AD96" s="16">
        <v>32.48438955938002</v>
      </c>
      <c r="AE96" s="16">
        <v>3.7983079163637794E-59</v>
      </c>
      <c r="AF96" s="16">
        <v>4386.4237603445426</v>
      </c>
      <c r="AG96" s="16">
        <v>4956.2193215325306</v>
      </c>
      <c r="AH96" s="16">
        <v>4386.4237603445426</v>
      </c>
      <c r="AI96" s="16">
        <v>4956.2193215325306</v>
      </c>
      <c r="AJ96" s="64"/>
      <c r="AK96" s="45"/>
      <c r="AL96" s="45"/>
      <c r="AM96" s="45"/>
      <c r="AN96" s="45"/>
      <c r="AO96" s="45"/>
      <c r="AP96" s="45"/>
      <c r="AQ96" s="45"/>
      <c r="AR96" s="45"/>
      <c r="AS96" s="45"/>
    </row>
    <row r="97" spans="2:45">
      <c r="B97" s="57">
        <f t="shared" si="6"/>
        <v>41152</v>
      </c>
      <c r="C97" s="65">
        <f>[16]Sheet1!C43</f>
        <v>9430200</v>
      </c>
      <c r="D97" s="68"/>
      <c r="E97" s="65">
        <f>[16]Sheet1!D43</f>
        <v>8141</v>
      </c>
      <c r="F97" s="80"/>
      <c r="G97" s="69"/>
      <c r="H97" s="67">
        <f t="shared" si="4"/>
        <v>9438341</v>
      </c>
      <c r="I97" s="304"/>
      <c r="J97" s="169">
        <f>'HDD &amp; CDD'!S13</f>
        <v>8.4</v>
      </c>
      <c r="K97" s="169">
        <f>'HDD &amp; CDD'!S31</f>
        <v>97.600000000000009</v>
      </c>
      <c r="L97" s="397">
        <f t="shared" si="5"/>
        <v>31</v>
      </c>
      <c r="M97" s="169">
        <v>0</v>
      </c>
      <c r="N97" s="397">
        <f>[17]Sheet1!C95</f>
        <v>1</v>
      </c>
      <c r="O97" s="633"/>
      <c r="P97" s="620"/>
      <c r="Q97" s="629"/>
      <c r="R97" s="632">
        <f>'CDM Activity'!C143</f>
        <v>256203.28576275826</v>
      </c>
      <c r="S97" s="62"/>
      <c r="T97" s="62"/>
      <c r="U97" s="62"/>
      <c r="V97" s="630"/>
      <c r="W97" s="631">
        <f>[22]GDP!D120</f>
        <v>110.6287578086739</v>
      </c>
      <c r="X97" s="635">
        <f>'[22]Customer Count'!L116</f>
        <v>5854.3333333333358</v>
      </c>
      <c r="Y97" s="636"/>
      <c r="Z97" s="310"/>
      <c r="AA97" s="16" t="s">
        <v>107</v>
      </c>
      <c r="AB97" s="16">
        <v>13903.498680415627</v>
      </c>
      <c r="AC97" s="16">
        <v>1325.5635481355721</v>
      </c>
      <c r="AD97" s="16">
        <v>10.488745484870293</v>
      </c>
      <c r="AE97" s="16">
        <v>2.1992553270107607E-18</v>
      </c>
      <c r="AF97" s="16">
        <v>11277.318213693419</v>
      </c>
      <c r="AG97" s="16">
        <v>16529.679147137835</v>
      </c>
      <c r="AH97" s="16">
        <v>11277.318213693419</v>
      </c>
      <c r="AI97" s="16">
        <v>16529.679147137835</v>
      </c>
      <c r="AJ97" s="64"/>
      <c r="AK97" s="45"/>
      <c r="AL97" s="45"/>
      <c r="AM97" s="45"/>
      <c r="AN97" s="45"/>
      <c r="AO97" s="45"/>
      <c r="AP97" s="45"/>
      <c r="AQ97" s="45"/>
      <c r="AR97" s="45"/>
      <c r="AS97" s="45"/>
    </row>
    <row r="98" spans="2:45">
      <c r="B98" s="57">
        <f t="shared" si="6"/>
        <v>41182</v>
      </c>
      <c r="C98" s="65">
        <f>[16]Sheet1!C44</f>
        <v>8456345</v>
      </c>
      <c r="D98" s="68"/>
      <c r="E98" s="65">
        <f>[16]Sheet1!D44</f>
        <v>7448</v>
      </c>
      <c r="F98" s="80"/>
      <c r="G98" s="69"/>
      <c r="H98" s="67">
        <f t="shared" si="4"/>
        <v>8463793</v>
      </c>
      <c r="I98" s="304"/>
      <c r="J98" s="169">
        <f>'HDD &amp; CDD'!S14</f>
        <v>127.30000000000001</v>
      </c>
      <c r="K98" s="169">
        <f>'HDD &amp; CDD'!S32</f>
        <v>20.6</v>
      </c>
      <c r="L98" s="397">
        <f t="shared" si="5"/>
        <v>30</v>
      </c>
      <c r="M98" s="169">
        <v>1</v>
      </c>
      <c r="N98" s="397">
        <f>[17]Sheet1!C96</f>
        <v>1</v>
      </c>
      <c r="O98" s="633"/>
      <c r="P98" s="620"/>
      <c r="Q98" s="629"/>
      <c r="R98" s="632">
        <f>'CDM Activity'!C144</f>
        <v>261683.90728329509</v>
      </c>
      <c r="S98" s="62"/>
      <c r="T98" s="62"/>
      <c r="U98" s="62"/>
      <c r="V98" s="630"/>
      <c r="W98" s="631">
        <f>[22]GDP!D121</f>
        <v>110.78427384120633</v>
      </c>
      <c r="X98" s="635">
        <f>'[22]Customer Count'!L117</f>
        <v>5856.2500000000027</v>
      </c>
      <c r="Y98" s="636"/>
      <c r="Z98" s="310"/>
      <c r="AA98" s="16" t="s">
        <v>3</v>
      </c>
      <c r="AB98" s="16">
        <v>249661.16178731096</v>
      </c>
      <c r="AC98" s="16">
        <v>33090.417474037495</v>
      </c>
      <c r="AD98" s="16">
        <v>7.5448175286151447</v>
      </c>
      <c r="AE98" s="16">
        <v>1.2422725640694884E-11</v>
      </c>
      <c r="AF98" s="16">
        <v>184103.07660291615</v>
      </c>
      <c r="AG98" s="16">
        <v>315219.24697170581</v>
      </c>
      <c r="AH98" s="16">
        <v>184103.07660291615</v>
      </c>
      <c r="AI98" s="16">
        <v>315219.24697170581</v>
      </c>
      <c r="AJ98" s="64"/>
      <c r="AK98" s="45"/>
      <c r="AL98" s="45"/>
      <c r="AM98" s="45"/>
      <c r="AN98" s="45"/>
      <c r="AO98" s="45"/>
      <c r="AP98" s="45"/>
      <c r="AQ98" s="45"/>
      <c r="AR98" s="45"/>
      <c r="AS98" s="45"/>
    </row>
    <row r="99" spans="2:45">
      <c r="B99" s="57">
        <f t="shared" si="6"/>
        <v>41213</v>
      </c>
      <c r="C99" s="65">
        <f>[16]Sheet1!C45</f>
        <v>8663345</v>
      </c>
      <c r="D99" s="68"/>
      <c r="E99" s="65">
        <f>[16]Sheet1!D45</f>
        <v>6062</v>
      </c>
      <c r="F99" s="80"/>
      <c r="G99" s="69"/>
      <c r="H99" s="67">
        <f t="shared" si="4"/>
        <v>8669407</v>
      </c>
      <c r="I99" s="304"/>
      <c r="J99" s="418">
        <f>'HDD &amp; CDD'!S15</f>
        <v>259.8595782569019</v>
      </c>
      <c r="K99" s="169">
        <f>'HDD &amp; CDD'!S33</f>
        <v>0</v>
      </c>
      <c r="L99" s="397">
        <f t="shared" si="5"/>
        <v>31</v>
      </c>
      <c r="M99" s="169">
        <v>1</v>
      </c>
      <c r="N99" s="397">
        <f>[17]Sheet1!C97</f>
        <v>1</v>
      </c>
      <c r="O99" s="633"/>
      <c r="P99" s="620"/>
      <c r="Q99" s="629"/>
      <c r="R99" s="632">
        <f>'CDM Activity'!C145</f>
        <v>267164.52880383196</v>
      </c>
      <c r="S99" s="62"/>
      <c r="T99" s="62"/>
      <c r="U99" s="62"/>
      <c r="V99" s="630"/>
      <c r="W99" s="631">
        <f>[22]GDP!D122</f>
        <v>110.94000848991826</v>
      </c>
      <c r="X99" s="635">
        <f>'[22]Customer Count'!L118</f>
        <v>5858.1666666666697</v>
      </c>
      <c r="Y99" s="636"/>
      <c r="Z99" s="310"/>
      <c r="AA99" s="16" t="s">
        <v>108</v>
      </c>
      <c r="AB99" s="16">
        <v>-369386.07676824171</v>
      </c>
      <c r="AC99" s="16">
        <v>74117.893033388638</v>
      </c>
      <c r="AD99" s="16">
        <v>-4.9837638612020534</v>
      </c>
      <c r="AE99" s="16">
        <v>2.266751000163702E-6</v>
      </c>
      <c r="AF99" s="16">
        <v>-516226.99072718807</v>
      </c>
      <c r="AG99" s="16">
        <v>-222545.16280929532</v>
      </c>
      <c r="AH99" s="16">
        <v>-516226.99072718807</v>
      </c>
      <c r="AI99" s="16">
        <v>-222545.16280929532</v>
      </c>
      <c r="AJ99" s="64"/>
      <c r="AK99" s="45"/>
      <c r="AL99" s="45"/>
      <c r="AM99" s="45"/>
      <c r="AN99" s="45"/>
      <c r="AO99" s="45"/>
      <c r="AP99" s="45"/>
      <c r="AQ99" s="45"/>
      <c r="AR99" s="45"/>
      <c r="AS99" s="45"/>
    </row>
    <row r="100" spans="2:45">
      <c r="B100" s="57">
        <f t="shared" si="6"/>
        <v>41243</v>
      </c>
      <c r="C100" s="65">
        <f>[16]Sheet1!C46</f>
        <v>9765918</v>
      </c>
      <c r="D100" s="68"/>
      <c r="E100" s="65">
        <f>[16]Sheet1!D46</f>
        <v>3812</v>
      </c>
      <c r="F100" s="80"/>
      <c r="G100" s="69"/>
      <c r="H100" s="67">
        <f t="shared" si="4"/>
        <v>9769730</v>
      </c>
      <c r="I100" s="304"/>
      <c r="J100" s="169">
        <f>'HDD &amp; CDD'!S16</f>
        <v>541.70000000000005</v>
      </c>
      <c r="K100" s="169">
        <f>'HDD &amp; CDD'!S34</f>
        <v>0</v>
      </c>
      <c r="L100" s="397">
        <f t="shared" si="5"/>
        <v>30</v>
      </c>
      <c r="M100" s="169">
        <v>1</v>
      </c>
      <c r="N100" s="397">
        <f>[17]Sheet1!C98</f>
        <v>0</v>
      </c>
      <c r="O100" s="633"/>
      <c r="P100" s="620"/>
      <c r="Q100" s="629"/>
      <c r="R100" s="632">
        <f>'CDM Activity'!C146</f>
        <v>272645.15032436879</v>
      </c>
      <c r="S100" s="62"/>
      <c r="T100" s="62"/>
      <c r="U100" s="62"/>
      <c r="V100" s="630"/>
      <c r="W100" s="631">
        <f>[22]GDP!D123</f>
        <v>111.09596206212871</v>
      </c>
      <c r="X100" s="635">
        <f>'[22]Customer Count'!L119</f>
        <v>5860.0833333333367</v>
      </c>
      <c r="Y100" s="636"/>
      <c r="Z100" s="310"/>
      <c r="AA100" s="16" t="s">
        <v>109</v>
      </c>
      <c r="AB100" s="16">
        <v>-113634.03402782226</v>
      </c>
      <c r="AC100" s="16">
        <v>41185.91117774431</v>
      </c>
      <c r="AD100" s="16">
        <v>-2.7590511118575627</v>
      </c>
      <c r="AE100" s="16">
        <v>6.7640802867055243E-3</v>
      </c>
      <c r="AF100" s="16">
        <v>-195230.75233776608</v>
      </c>
      <c r="AG100" s="16">
        <v>-32037.315717878431</v>
      </c>
      <c r="AH100" s="16">
        <v>-195230.75233776608</v>
      </c>
      <c r="AI100" s="16">
        <v>-32037.315717878431</v>
      </c>
      <c r="AJ100" s="64"/>
      <c r="AK100" s="45"/>
      <c r="AL100" s="45"/>
      <c r="AM100" s="45"/>
      <c r="AN100" s="45"/>
      <c r="AO100" s="45"/>
      <c r="AP100" s="45"/>
      <c r="AQ100" s="45"/>
      <c r="AR100" s="45"/>
      <c r="AS100" s="45"/>
    </row>
    <row r="101" spans="2:45" ht="13.5" thickBot="1">
      <c r="B101" s="172">
        <f t="shared" si="6"/>
        <v>41274</v>
      </c>
      <c r="C101" s="81">
        <f>[16]Sheet1!C47</f>
        <v>10958364</v>
      </c>
      <c r="D101" s="82"/>
      <c r="E101" s="74">
        <f>[16]Sheet1!D47</f>
        <v>3380</v>
      </c>
      <c r="F101" s="82"/>
      <c r="G101" s="83"/>
      <c r="H101" s="74">
        <f t="shared" si="4"/>
        <v>10961744</v>
      </c>
      <c r="I101" s="305"/>
      <c r="J101" s="118">
        <f>'HDD &amp; CDD'!S17</f>
        <v>719.1</v>
      </c>
      <c r="K101" s="118">
        <f>'HDD &amp; CDD'!S35</f>
        <v>0</v>
      </c>
      <c r="L101" s="398">
        <f t="shared" si="5"/>
        <v>31</v>
      </c>
      <c r="M101" s="118">
        <v>0</v>
      </c>
      <c r="N101" s="398">
        <f>[17]Sheet1!C99</f>
        <v>2</v>
      </c>
      <c r="O101" s="633"/>
      <c r="P101" s="620"/>
      <c r="Q101" s="629"/>
      <c r="R101" s="632">
        <f>'CDM Activity'!C147</f>
        <v>278125.77184490563</v>
      </c>
      <c r="S101" s="62"/>
      <c r="T101" s="62"/>
      <c r="U101" s="62"/>
      <c r="V101" s="630"/>
      <c r="W101" s="631">
        <f>[22]GDP!D124</f>
        <v>111.25213486558869</v>
      </c>
      <c r="X101" s="635">
        <f>'[22]Customer Count'!L120</f>
        <v>5862</v>
      </c>
      <c r="Y101" s="636"/>
      <c r="Z101" s="310"/>
      <c r="AA101" s="17" t="s">
        <v>78</v>
      </c>
      <c r="AB101" s="17">
        <v>-3.1317198744668731</v>
      </c>
      <c r="AC101" s="17">
        <v>0.22180012625311865</v>
      </c>
      <c r="AD101" s="17">
        <v>-14.119558574520148</v>
      </c>
      <c r="AE101" s="17">
        <v>1.048532442967543E-26</v>
      </c>
      <c r="AF101" s="17">
        <v>-3.5711459283152442</v>
      </c>
      <c r="AG101" s="17">
        <v>-2.6922938206185019</v>
      </c>
      <c r="AH101" s="17">
        <v>-3.5711459283152442</v>
      </c>
      <c r="AI101" s="17">
        <v>-2.6922938206185019</v>
      </c>
      <c r="AJ101" s="64"/>
      <c r="AK101" s="45"/>
      <c r="AL101" s="45"/>
      <c r="AM101" s="45"/>
      <c r="AN101" s="45"/>
      <c r="AO101" s="45"/>
      <c r="AP101" s="45"/>
      <c r="AQ101" s="45"/>
      <c r="AR101" s="45"/>
      <c r="AS101" s="45"/>
    </row>
    <row r="102" spans="2:45">
      <c r="B102" s="57">
        <f t="shared" si="6"/>
        <v>41305</v>
      </c>
      <c r="C102" s="65">
        <f>[16]Sheet1!C48</f>
        <v>11999817</v>
      </c>
      <c r="D102" s="68"/>
      <c r="E102" s="65">
        <f>[16]Sheet1!D48</f>
        <v>1235</v>
      </c>
      <c r="F102" s="80"/>
      <c r="G102" s="69"/>
      <c r="H102" s="67">
        <f t="shared" ref="H102:H125" si="7">SUM(C102:G102)</f>
        <v>12001052</v>
      </c>
      <c r="I102" s="304"/>
      <c r="J102" s="169">
        <f>'HDD &amp; CDD'!T6</f>
        <v>839.90000000000009</v>
      </c>
      <c r="K102" s="169">
        <f>'HDD &amp; CDD'!T24</f>
        <v>0</v>
      </c>
      <c r="L102" s="397">
        <f t="shared" si="5"/>
        <v>31</v>
      </c>
      <c r="M102" s="169">
        <v>0</v>
      </c>
      <c r="N102" s="397">
        <f>[17]Sheet1!C100</f>
        <v>1</v>
      </c>
      <c r="O102" s="633"/>
      <c r="P102" s="620"/>
      <c r="Q102" s="629"/>
      <c r="R102" s="632">
        <f>'CDM Activity'!C148</f>
        <v>279677.78465826734</v>
      </c>
      <c r="S102" s="62"/>
      <c r="T102" s="62"/>
      <c r="U102" s="62"/>
      <c r="V102" s="630"/>
      <c r="W102" s="631">
        <f>[22]GDP!D125</f>
        <v>111.37194580300799</v>
      </c>
      <c r="X102" s="635">
        <f>'[22]Customer Count'!L121</f>
        <v>5861.75</v>
      </c>
      <c r="Y102" s="636"/>
      <c r="Z102" s="310"/>
      <c r="AA102"/>
      <c r="AB102"/>
      <c r="AC102"/>
      <c r="AD102"/>
      <c r="AE102"/>
      <c r="AF102"/>
      <c r="AG102"/>
      <c r="AH102"/>
      <c r="AI102"/>
      <c r="AJ102" s="64"/>
      <c r="AK102" s="45"/>
      <c r="AL102" s="45"/>
      <c r="AM102" s="45"/>
      <c r="AN102" s="45"/>
      <c r="AO102" s="45"/>
      <c r="AP102" s="45"/>
      <c r="AQ102" s="45"/>
      <c r="AR102" s="45"/>
      <c r="AS102" s="45"/>
    </row>
    <row r="103" spans="2:45">
      <c r="B103" s="57">
        <f t="shared" si="6"/>
        <v>41333</v>
      </c>
      <c r="C103" s="65">
        <f>[16]Sheet1!C49</f>
        <v>10701983</v>
      </c>
      <c r="D103" s="68"/>
      <c r="E103" s="65">
        <f>[16]Sheet1!D49</f>
        <v>1814</v>
      </c>
      <c r="F103" s="80"/>
      <c r="G103" s="69"/>
      <c r="H103" s="67">
        <f t="shared" si="7"/>
        <v>10703797</v>
      </c>
      <c r="I103" s="304"/>
      <c r="J103" s="169">
        <f>'HDD &amp; CDD'!T7</f>
        <v>728.5</v>
      </c>
      <c r="K103" s="169">
        <f>'HDD &amp; CDD'!T25</f>
        <v>0</v>
      </c>
      <c r="L103" s="397">
        <f t="shared" si="5"/>
        <v>28</v>
      </c>
      <c r="M103" s="169">
        <v>0</v>
      </c>
      <c r="N103" s="397">
        <f>[17]Sheet1!C101</f>
        <v>1</v>
      </c>
      <c r="O103" s="633"/>
      <c r="P103" s="620"/>
      <c r="Q103" s="629"/>
      <c r="R103" s="632">
        <f>'CDM Activity'!C149</f>
        <v>281229.79747162905</v>
      </c>
      <c r="S103" s="62"/>
      <c r="T103" s="62"/>
      <c r="U103" s="62"/>
      <c r="V103" s="630"/>
      <c r="W103" s="631">
        <f>[22]GDP!D126</f>
        <v>111.49188576860946</v>
      </c>
      <c r="X103" s="635">
        <f>'[22]Customer Count'!L122</f>
        <v>5861.5</v>
      </c>
      <c r="Y103" s="636"/>
      <c r="Z103" s="310"/>
      <c r="AA103"/>
      <c r="AB103"/>
      <c r="AC103"/>
      <c r="AD103"/>
      <c r="AE103"/>
      <c r="AF103"/>
      <c r="AG103"/>
      <c r="AH103"/>
      <c r="AI103"/>
      <c r="AJ103" s="64"/>
      <c r="AK103" s="45"/>
      <c r="AL103" s="45"/>
      <c r="AM103" s="45"/>
      <c r="AN103" s="45"/>
      <c r="AO103" s="45"/>
      <c r="AP103" s="45"/>
      <c r="AQ103" s="45"/>
      <c r="AR103" s="45"/>
      <c r="AS103" s="45"/>
    </row>
    <row r="104" spans="2:45">
      <c r="B104" s="57">
        <f t="shared" si="6"/>
        <v>41364</v>
      </c>
      <c r="C104" s="65">
        <f>[16]Sheet1!C50</f>
        <v>10574475</v>
      </c>
      <c r="D104" s="68"/>
      <c r="E104" s="65">
        <f>[16]Sheet1!D50</f>
        <v>2546</v>
      </c>
      <c r="F104" s="80"/>
      <c r="G104" s="69"/>
      <c r="H104" s="67">
        <f t="shared" si="7"/>
        <v>10577021</v>
      </c>
      <c r="I104" s="304"/>
      <c r="J104" s="169">
        <f>'HDD &amp; CDD'!T8</f>
        <v>612.9</v>
      </c>
      <c r="K104" s="169">
        <f>'HDD &amp; CDD'!T26</f>
        <v>0</v>
      </c>
      <c r="L104" s="397">
        <f t="shared" si="5"/>
        <v>31</v>
      </c>
      <c r="M104" s="169">
        <v>1</v>
      </c>
      <c r="N104" s="397">
        <f>[17]Sheet1!C102</f>
        <v>1</v>
      </c>
      <c r="O104" s="633"/>
      <c r="P104" s="620"/>
      <c r="Q104" s="629"/>
      <c r="R104" s="632">
        <f>'CDM Activity'!C150</f>
        <v>282781.81028499076</v>
      </c>
      <c r="S104" s="62"/>
      <c r="T104" s="62"/>
      <c r="U104" s="62"/>
      <c r="V104" s="630"/>
      <c r="W104" s="631">
        <f>[22]GDP!D127</f>
        <v>111.61195490134764</v>
      </c>
      <c r="X104" s="635">
        <f>'[22]Customer Count'!L123</f>
        <v>5861.25</v>
      </c>
      <c r="Y104" s="636"/>
      <c r="Z104" s="310"/>
      <c r="AA104"/>
      <c r="AB104"/>
      <c r="AC104"/>
      <c r="AD104"/>
      <c r="AE104"/>
      <c r="AF104"/>
      <c r="AG104"/>
      <c r="AH104"/>
      <c r="AI104"/>
      <c r="AJ104" s="64"/>
      <c r="AK104" s="45"/>
      <c r="AL104" s="45"/>
      <c r="AM104" s="45"/>
      <c r="AN104" s="45"/>
      <c r="AO104" s="45"/>
      <c r="AP104" s="45"/>
      <c r="AQ104" s="45"/>
      <c r="AR104" s="45"/>
      <c r="AS104" s="45"/>
    </row>
    <row r="105" spans="2:45">
      <c r="B105" s="57">
        <f t="shared" si="6"/>
        <v>41394</v>
      </c>
      <c r="C105" s="65">
        <f>[16]Sheet1!C51</f>
        <v>9116700</v>
      </c>
      <c r="D105" s="68"/>
      <c r="E105" s="65">
        <f>[16]Sheet1!D51</f>
        <v>4962</v>
      </c>
      <c r="F105" s="80"/>
      <c r="G105" s="69"/>
      <c r="H105" s="67">
        <f t="shared" si="7"/>
        <v>9121662</v>
      </c>
      <c r="I105" s="304"/>
      <c r="J105" s="169">
        <f>'HDD &amp; CDD'!T9</f>
        <v>381.1</v>
      </c>
      <c r="K105" s="169">
        <f>'HDD &amp; CDD'!T27</f>
        <v>0</v>
      </c>
      <c r="L105" s="397">
        <f t="shared" si="5"/>
        <v>30</v>
      </c>
      <c r="M105" s="169">
        <v>1</v>
      </c>
      <c r="N105" s="397">
        <f>[17]Sheet1!C103</f>
        <v>1</v>
      </c>
      <c r="O105" s="633"/>
      <c r="P105" s="620"/>
      <c r="Q105" s="629"/>
      <c r="R105" s="632">
        <f>'CDM Activity'!C151</f>
        <v>284333.82309835247</v>
      </c>
      <c r="S105" s="62"/>
      <c r="T105" s="62"/>
      <c r="U105" s="62"/>
      <c r="V105" s="630"/>
      <c r="W105" s="631">
        <f>[22]GDP!D128</f>
        <v>111.7321533403267</v>
      </c>
      <c r="X105" s="635">
        <f>'[22]Customer Count'!L124</f>
        <v>5861</v>
      </c>
      <c r="Y105" s="636"/>
      <c r="Z105" s="310"/>
      <c r="AA105"/>
      <c r="AB105"/>
      <c r="AC105"/>
      <c r="AD105"/>
      <c r="AE105"/>
      <c r="AF105"/>
      <c r="AG105"/>
      <c r="AH105"/>
      <c r="AI105"/>
      <c r="AJ105" s="64"/>
      <c r="AK105" s="45"/>
      <c r="AL105" s="45"/>
      <c r="AM105" s="45"/>
      <c r="AN105" s="45"/>
      <c r="AO105" s="45"/>
      <c r="AP105" s="45"/>
      <c r="AQ105" s="45"/>
      <c r="AR105" s="45"/>
      <c r="AS105" s="45"/>
    </row>
    <row r="106" spans="2:45">
      <c r="B106" s="57">
        <f t="shared" si="6"/>
        <v>41425</v>
      </c>
      <c r="C106" s="65">
        <f>[16]Sheet1!C52</f>
        <v>8204917</v>
      </c>
      <c r="D106" s="68"/>
      <c r="E106" s="65">
        <f>[16]Sheet1!D52</f>
        <v>6326</v>
      </c>
      <c r="F106" s="68"/>
      <c r="G106" s="69"/>
      <c r="H106" s="67">
        <f t="shared" si="7"/>
        <v>8211243</v>
      </c>
      <c r="I106" s="304"/>
      <c r="J106" s="169">
        <f>'HDD &amp; CDD'!T10</f>
        <v>121.2</v>
      </c>
      <c r="K106" s="169">
        <f>'HDD &amp; CDD'!T28</f>
        <v>15.3</v>
      </c>
      <c r="L106" s="397">
        <f t="shared" si="5"/>
        <v>31</v>
      </c>
      <c r="M106" s="169">
        <v>1</v>
      </c>
      <c r="N106" s="397">
        <f>[17]Sheet1!C104</f>
        <v>1</v>
      </c>
      <c r="O106" s="633"/>
      <c r="P106" s="620"/>
      <c r="Q106" s="629"/>
      <c r="R106" s="632">
        <f>'CDM Activity'!C152</f>
        <v>285885.83591171418</v>
      </c>
      <c r="S106" s="62"/>
      <c r="T106" s="62"/>
      <c r="U106" s="62"/>
      <c r="V106" s="630"/>
      <c r="W106" s="631">
        <f>[22]GDP!D129</f>
        <v>111.85248122480061</v>
      </c>
      <c r="X106" s="635">
        <f>'[22]Customer Count'!L125</f>
        <v>5860.75</v>
      </c>
      <c r="Y106" s="636"/>
      <c r="Z106" s="310"/>
      <c r="AA106"/>
      <c r="AB106"/>
      <c r="AC106"/>
      <c r="AD106"/>
      <c r="AE106"/>
      <c r="AF106"/>
      <c r="AG106"/>
      <c r="AH106"/>
      <c r="AI106"/>
      <c r="AJ106" s="64"/>
      <c r="AK106" s="45"/>
      <c r="AL106" s="45"/>
      <c r="AM106" s="45"/>
      <c r="AN106" s="45"/>
      <c r="AO106" s="45"/>
      <c r="AP106" s="45"/>
      <c r="AQ106" s="45"/>
      <c r="AR106" s="45"/>
      <c r="AS106" s="45"/>
    </row>
    <row r="107" spans="2:45">
      <c r="B107" s="57">
        <f t="shared" si="6"/>
        <v>41455</v>
      </c>
      <c r="C107" s="65">
        <f>[16]Sheet1!C53</f>
        <v>8279408</v>
      </c>
      <c r="D107" s="68"/>
      <c r="E107" s="65">
        <f>[16]Sheet1!D53</f>
        <v>8173</v>
      </c>
      <c r="F107" s="68"/>
      <c r="G107" s="69"/>
      <c r="H107" s="67">
        <f t="shared" si="7"/>
        <v>8287581</v>
      </c>
      <c r="I107" s="304"/>
      <c r="J107" s="169">
        <f>'HDD &amp; CDD'!T11</f>
        <v>58.1</v>
      </c>
      <c r="K107" s="169">
        <f>'HDD &amp; CDD'!T29</f>
        <v>39.400000000000006</v>
      </c>
      <c r="L107" s="397">
        <f t="shared" si="5"/>
        <v>30</v>
      </c>
      <c r="M107" s="169">
        <v>0</v>
      </c>
      <c r="N107" s="397">
        <f>[17]Sheet1!C105</f>
        <v>0</v>
      </c>
      <c r="O107" s="633"/>
      <c r="P107" s="620"/>
      <c r="Q107" s="629"/>
      <c r="R107" s="632">
        <f>'CDM Activity'!C153</f>
        <v>287437.84872507589</v>
      </c>
      <c r="S107" s="62"/>
      <c r="T107" s="62"/>
      <c r="U107" s="62"/>
      <c r="V107" s="630"/>
      <c r="W107" s="631">
        <f>[22]GDP!D130</f>
        <v>111.97293869417331</v>
      </c>
      <c r="X107" s="635">
        <f>'[22]Customer Count'!L126</f>
        <v>5860.5</v>
      </c>
      <c r="Y107" s="636"/>
      <c r="Z107" s="310"/>
      <c r="AA107"/>
      <c r="AB107"/>
      <c r="AC107"/>
      <c r="AD107"/>
      <c r="AE107"/>
      <c r="AF107"/>
      <c r="AG107"/>
      <c r="AH107"/>
      <c r="AI107"/>
      <c r="AJ107" s="64"/>
      <c r="AK107" s="45"/>
      <c r="AL107" s="45"/>
      <c r="AM107" s="45"/>
      <c r="AN107" s="45"/>
      <c r="AO107" s="45"/>
      <c r="AP107" s="45"/>
      <c r="AQ107" s="45"/>
      <c r="AR107" s="45"/>
      <c r="AS107" s="45"/>
    </row>
    <row r="108" spans="2:45">
      <c r="B108" s="57">
        <f t="shared" si="6"/>
        <v>41486</v>
      </c>
      <c r="C108" s="65">
        <f>[16]Sheet1!C54</f>
        <v>9591758</v>
      </c>
      <c r="D108" s="68"/>
      <c r="E108" s="65">
        <f>[16]Sheet1!D54</f>
        <v>6943</v>
      </c>
      <c r="F108" s="68"/>
      <c r="G108" s="69"/>
      <c r="H108" s="67">
        <f t="shared" si="7"/>
        <v>9598701</v>
      </c>
      <c r="I108" s="304"/>
      <c r="J108" s="169">
        <f>'HDD &amp; CDD'!T12</f>
        <v>7.7</v>
      </c>
      <c r="K108" s="169">
        <f>'HDD &amp; CDD'!T30</f>
        <v>114.89999999999999</v>
      </c>
      <c r="L108" s="397">
        <f t="shared" si="5"/>
        <v>31</v>
      </c>
      <c r="M108" s="169">
        <v>0</v>
      </c>
      <c r="N108" s="397">
        <f>[17]Sheet1!C106</f>
        <v>1</v>
      </c>
      <c r="O108" s="633"/>
      <c r="P108" s="620"/>
      <c r="Q108" s="629"/>
      <c r="R108" s="632">
        <f>'CDM Activity'!C154</f>
        <v>288989.8615384376</v>
      </c>
      <c r="S108" s="62"/>
      <c r="T108" s="62"/>
      <c r="U108" s="62"/>
      <c r="V108" s="630"/>
      <c r="W108" s="631">
        <f>[22]GDP!D131</f>
        <v>112.09352588799885</v>
      </c>
      <c r="X108" s="635">
        <f>'[22]Customer Count'!L127</f>
        <v>5860.25</v>
      </c>
      <c r="Y108" s="636"/>
      <c r="Z108" s="310"/>
      <c r="AA108"/>
      <c r="AB108"/>
      <c r="AC108"/>
      <c r="AD108"/>
      <c r="AE108"/>
      <c r="AF108"/>
      <c r="AG108"/>
      <c r="AH108"/>
      <c r="AI108"/>
      <c r="AJ108" s="64"/>
      <c r="AK108" s="45"/>
      <c r="AL108" s="45"/>
      <c r="AM108" s="45"/>
      <c r="AN108" s="45"/>
      <c r="AO108" s="45"/>
      <c r="AP108" s="45"/>
      <c r="AQ108" s="45"/>
      <c r="AR108" s="45"/>
      <c r="AS108" s="45"/>
    </row>
    <row r="109" spans="2:45">
      <c r="B109" s="57">
        <f t="shared" si="6"/>
        <v>41517</v>
      </c>
      <c r="C109" s="65">
        <f>[16]Sheet1!C55</f>
        <v>9610958</v>
      </c>
      <c r="D109" s="68"/>
      <c r="E109" s="65">
        <f>[16]Sheet1!D55</f>
        <v>8290</v>
      </c>
      <c r="F109" s="68"/>
      <c r="G109" s="69"/>
      <c r="H109" s="67">
        <f t="shared" si="7"/>
        <v>9619248</v>
      </c>
      <c r="I109" s="304"/>
      <c r="J109" s="169">
        <f>'HDD &amp; CDD'!T13</f>
        <v>13.400000000000004</v>
      </c>
      <c r="K109" s="169">
        <f>'HDD &amp; CDD'!T31</f>
        <v>57.199999999999996</v>
      </c>
      <c r="L109" s="397">
        <f t="shared" si="5"/>
        <v>31</v>
      </c>
      <c r="M109" s="169">
        <v>0</v>
      </c>
      <c r="N109" s="397">
        <f>[17]Sheet1!C107</f>
        <v>1</v>
      </c>
      <c r="O109" s="633"/>
      <c r="P109" s="620"/>
      <c r="Q109" s="629"/>
      <c r="R109" s="632">
        <f>'CDM Activity'!C155</f>
        <v>290541.87435179931</v>
      </c>
      <c r="S109" s="62"/>
      <c r="T109" s="62"/>
      <c r="U109" s="62"/>
      <c r="V109" s="630"/>
      <c r="W109" s="631">
        <f>[22]GDP!D132</f>
        <v>112.21424294598162</v>
      </c>
      <c r="X109" s="635">
        <f>'[22]Customer Count'!L128</f>
        <v>5860</v>
      </c>
      <c r="Y109" s="636"/>
      <c r="Z109" s="310"/>
      <c r="AA109"/>
      <c r="AB109"/>
      <c r="AC109"/>
      <c r="AD109"/>
      <c r="AE109"/>
      <c r="AF109"/>
      <c r="AG109"/>
      <c r="AH109"/>
      <c r="AI109"/>
      <c r="AJ109" s="64"/>
      <c r="AK109" s="45"/>
      <c r="AL109" s="45"/>
      <c r="AM109" s="45"/>
      <c r="AN109" s="45"/>
      <c r="AO109" s="45"/>
      <c r="AP109" s="45"/>
      <c r="AQ109" s="45"/>
      <c r="AR109" s="45"/>
      <c r="AS109" s="45"/>
    </row>
    <row r="110" spans="2:45">
      <c r="B110" s="57">
        <f t="shared" si="6"/>
        <v>41547</v>
      </c>
      <c r="C110" s="65">
        <f>[16]Sheet1!C56</f>
        <v>8187217</v>
      </c>
      <c r="D110" s="68"/>
      <c r="E110" s="65">
        <f>[16]Sheet1!D56</f>
        <v>7556</v>
      </c>
      <c r="F110" s="68"/>
      <c r="G110" s="69"/>
      <c r="H110" s="67">
        <f t="shared" si="7"/>
        <v>8194773</v>
      </c>
      <c r="I110" s="304"/>
      <c r="J110" s="169">
        <f>'HDD &amp; CDD'!T14</f>
        <v>133.20000000000005</v>
      </c>
      <c r="K110" s="169">
        <f>'HDD &amp; CDD'!T32</f>
        <v>10.1</v>
      </c>
      <c r="L110" s="397">
        <f t="shared" si="5"/>
        <v>30</v>
      </c>
      <c r="M110" s="169">
        <v>1</v>
      </c>
      <c r="N110" s="397">
        <f>[17]Sheet1!C108</f>
        <v>1</v>
      </c>
      <c r="O110" s="633"/>
      <c r="P110" s="620"/>
      <c r="Q110" s="629"/>
      <c r="R110" s="632">
        <f>'CDM Activity'!C156</f>
        <v>292093.88716516102</v>
      </c>
      <c r="S110" s="62"/>
      <c r="T110" s="62"/>
      <c r="U110" s="62"/>
      <c r="V110" s="630"/>
      <c r="W110" s="631">
        <f>[22]GDP!D133</f>
        <v>112.33509000797642</v>
      </c>
      <c r="X110" s="635">
        <f>'[22]Customer Count'!L129</f>
        <v>5859.75</v>
      </c>
      <c r="Y110" s="636"/>
      <c r="Z110" s="310"/>
      <c r="AA110"/>
      <c r="AB110"/>
      <c r="AC110"/>
      <c r="AD110"/>
      <c r="AE110"/>
      <c r="AF110"/>
      <c r="AG110"/>
      <c r="AH110"/>
      <c r="AI110"/>
      <c r="AJ110" s="64"/>
      <c r="AK110" s="45"/>
      <c r="AL110" s="45"/>
      <c r="AM110" s="45"/>
      <c r="AN110" s="45"/>
      <c r="AO110" s="45"/>
      <c r="AP110" s="45"/>
      <c r="AQ110" s="45"/>
      <c r="AR110" s="45"/>
      <c r="AS110" s="45"/>
    </row>
    <row r="111" spans="2:45">
      <c r="B111" s="57">
        <f t="shared" si="6"/>
        <v>41578</v>
      </c>
      <c r="C111" s="65">
        <f>[16]Sheet1!C57</f>
        <v>8725825</v>
      </c>
      <c r="D111" s="68"/>
      <c r="E111" s="65">
        <f>[16]Sheet1!D57</f>
        <v>6244</v>
      </c>
      <c r="F111" s="68"/>
      <c r="G111" s="69"/>
      <c r="H111" s="67">
        <f t="shared" si="7"/>
        <v>8732069</v>
      </c>
      <c r="I111" s="304"/>
      <c r="J111" s="169">
        <f>'HDD &amp; CDD'!T15</f>
        <v>265.2</v>
      </c>
      <c r="K111" s="169">
        <f>'HDD &amp; CDD'!T33</f>
        <v>0.7</v>
      </c>
      <c r="L111" s="397">
        <f t="shared" si="5"/>
        <v>31</v>
      </c>
      <c r="M111" s="169">
        <v>1</v>
      </c>
      <c r="N111" s="397">
        <f>[17]Sheet1!C109</f>
        <v>1</v>
      </c>
      <c r="O111" s="633"/>
      <c r="P111" s="620"/>
      <c r="Q111" s="629"/>
      <c r="R111" s="632">
        <f>'CDM Activity'!C157</f>
        <v>293645.89997852274</v>
      </c>
      <c r="S111" s="62"/>
      <c r="T111" s="62"/>
      <c r="U111" s="62"/>
      <c r="V111" s="630"/>
      <c r="W111" s="631">
        <f>[22]GDP!D134</f>
        <v>112.45606721398867</v>
      </c>
      <c r="X111" s="635">
        <f>'[22]Customer Count'!L130</f>
        <v>5859.5</v>
      </c>
      <c r="Y111" s="636"/>
      <c r="Z111" s="310"/>
      <c r="AA111"/>
      <c r="AB111"/>
      <c r="AC111"/>
      <c r="AD111"/>
      <c r="AE111"/>
      <c r="AF111"/>
      <c r="AG111"/>
      <c r="AH111"/>
      <c r="AI111"/>
      <c r="AJ111" s="64"/>
      <c r="AK111" s="45"/>
      <c r="AL111" s="45"/>
      <c r="AM111" s="45"/>
      <c r="AN111" s="45"/>
      <c r="AO111" s="45"/>
      <c r="AP111" s="45"/>
      <c r="AQ111" s="45"/>
      <c r="AR111" s="45"/>
      <c r="AS111" s="45"/>
    </row>
    <row r="112" spans="2:45">
      <c r="B112" s="57">
        <f t="shared" si="6"/>
        <v>41608</v>
      </c>
      <c r="C112" s="65">
        <f>[16]Sheet1!C58</f>
        <v>9926917</v>
      </c>
      <c r="D112" s="68"/>
      <c r="E112" s="65">
        <f>[16]Sheet1!D58</f>
        <v>4461</v>
      </c>
      <c r="F112" s="68"/>
      <c r="G112" s="69"/>
      <c r="H112" s="67">
        <f t="shared" si="7"/>
        <v>9931378</v>
      </c>
      <c r="I112" s="304"/>
      <c r="J112" s="169">
        <f>'HDD &amp; CDD'!T16</f>
        <v>560.79999999999995</v>
      </c>
      <c r="K112" s="169">
        <f>'HDD &amp; CDD'!T34</f>
        <v>0</v>
      </c>
      <c r="L112" s="397">
        <f t="shared" si="5"/>
        <v>30</v>
      </c>
      <c r="M112" s="169">
        <v>1</v>
      </c>
      <c r="N112" s="397">
        <f>[17]Sheet1!C110</f>
        <v>0</v>
      </c>
      <c r="O112" s="633"/>
      <c r="P112" s="620"/>
      <c r="Q112" s="629"/>
      <c r="R112" s="632">
        <f>'CDM Activity'!C158</f>
        <v>295197.91279188445</v>
      </c>
      <c r="S112" s="62"/>
      <c r="T112" s="62"/>
      <c r="U112" s="62"/>
      <c r="V112" s="630"/>
      <c r="W112" s="631">
        <f>[22]GDP!D135</f>
        <v>112.57717470417458</v>
      </c>
      <c r="X112" s="635">
        <f>'[22]Customer Count'!L131</f>
        <v>5859.25</v>
      </c>
      <c r="Y112" s="636"/>
      <c r="Z112" s="310"/>
      <c r="AA112"/>
      <c r="AB112"/>
      <c r="AC112"/>
      <c r="AD112"/>
      <c r="AE112"/>
      <c r="AF112"/>
      <c r="AG112"/>
      <c r="AH112"/>
      <c r="AI112"/>
      <c r="AJ112" s="64"/>
      <c r="AK112" s="45"/>
      <c r="AL112" s="45"/>
      <c r="AM112" s="45"/>
      <c r="AN112" s="45"/>
      <c r="AO112" s="45"/>
      <c r="AP112" s="45"/>
      <c r="AQ112" s="45"/>
      <c r="AR112" s="45"/>
      <c r="AS112" s="45"/>
    </row>
    <row r="113" spans="2:45">
      <c r="B113" s="172">
        <f t="shared" si="6"/>
        <v>41639</v>
      </c>
      <c r="C113" s="81">
        <f>[16]Sheet1!C59</f>
        <v>11614675</v>
      </c>
      <c r="D113" s="82"/>
      <c r="E113" s="74">
        <f>[16]Sheet1!D59</f>
        <v>2266</v>
      </c>
      <c r="F113" s="82"/>
      <c r="G113" s="83"/>
      <c r="H113" s="74">
        <f t="shared" si="7"/>
        <v>11616941</v>
      </c>
      <c r="I113" s="305"/>
      <c r="J113" s="118">
        <f>'HDD &amp; CDD'!T17</f>
        <v>858.20000000000016</v>
      </c>
      <c r="K113" s="118">
        <f>'HDD &amp; CDD'!T35</f>
        <v>0</v>
      </c>
      <c r="L113" s="398">
        <f t="shared" si="5"/>
        <v>31</v>
      </c>
      <c r="M113" s="118">
        <v>0</v>
      </c>
      <c r="N113" s="398">
        <f>[17]Sheet1!C111</f>
        <v>2</v>
      </c>
      <c r="O113" s="633"/>
      <c r="P113" s="620"/>
      <c r="Q113" s="629"/>
      <c r="R113" s="632">
        <f>'CDM Activity'!C159</f>
        <v>296749.92560524616</v>
      </c>
      <c r="S113" s="62"/>
      <c r="T113" s="62"/>
      <c r="U113" s="62"/>
      <c r="V113" s="630"/>
      <c r="W113" s="631">
        <f>[22]GDP!D136</f>
        <v>112.69841261884129</v>
      </c>
      <c r="X113" s="635">
        <f>'[22]Customer Count'!L132</f>
        <v>5859</v>
      </c>
      <c r="Y113" s="636"/>
      <c r="Z113" s="310"/>
      <c r="AA113"/>
      <c r="AB113"/>
      <c r="AC113"/>
      <c r="AD113"/>
      <c r="AE113"/>
      <c r="AF113"/>
      <c r="AG113"/>
      <c r="AH113"/>
      <c r="AI113"/>
      <c r="AJ113" s="64"/>
      <c r="AK113" s="45"/>
      <c r="AL113" s="45"/>
      <c r="AM113" s="45"/>
      <c r="AN113" s="45"/>
      <c r="AO113" s="45"/>
      <c r="AP113" s="45"/>
      <c r="AQ113" s="45"/>
      <c r="AR113" s="45"/>
      <c r="AS113" s="45"/>
    </row>
    <row r="114" spans="2:45">
      <c r="B114" s="57">
        <f t="shared" si="6"/>
        <v>41670</v>
      </c>
      <c r="C114" s="65">
        <f>[16]Sheet1!C60</f>
        <v>12521267</v>
      </c>
      <c r="D114" s="68"/>
      <c r="E114" s="65">
        <f>[16]Sheet1!D60</f>
        <v>864</v>
      </c>
      <c r="F114" s="68"/>
      <c r="G114" s="69"/>
      <c r="H114" s="67">
        <f t="shared" si="7"/>
        <v>12522131</v>
      </c>
      <c r="I114" s="304"/>
      <c r="J114" s="169">
        <f>'HDD &amp; CDD'!U6</f>
        <v>918.30000000000007</v>
      </c>
      <c r="K114" s="169">
        <f>'HDD &amp; CDD'!U24</f>
        <v>0</v>
      </c>
      <c r="L114" s="397">
        <f t="shared" si="5"/>
        <v>31</v>
      </c>
      <c r="M114" s="169">
        <v>0</v>
      </c>
      <c r="N114" s="397">
        <f>[17]Sheet1!C112</f>
        <v>1</v>
      </c>
      <c r="O114" s="633"/>
      <c r="P114" s="620"/>
      <c r="Q114" s="629"/>
      <c r="R114" s="632">
        <f>'CDM Activity'!C160</f>
        <v>302829.05437576823</v>
      </c>
      <c r="S114" s="62"/>
      <c r="T114" s="62"/>
      <c r="U114" s="62"/>
      <c r="V114" s="630"/>
      <c r="W114" s="631">
        <f>[22]GDP!D137</f>
        <v>112.87531646974237</v>
      </c>
      <c r="X114" s="635">
        <f>'[22]Customer Count'!L133</f>
        <v>5858.916666666667</v>
      </c>
      <c r="Y114" s="636"/>
      <c r="Z114" s="310"/>
      <c r="AA114"/>
      <c r="AB114"/>
      <c r="AC114"/>
      <c r="AD114"/>
      <c r="AE114"/>
      <c r="AF114"/>
      <c r="AG114"/>
      <c r="AH114"/>
      <c r="AI114"/>
      <c r="AJ114" s="64"/>
      <c r="AK114" s="45"/>
      <c r="AL114" s="45"/>
      <c r="AM114" s="45"/>
      <c r="AN114" s="45"/>
      <c r="AO114" s="45"/>
      <c r="AP114" s="45"/>
      <c r="AQ114" s="45"/>
      <c r="AR114" s="45"/>
      <c r="AS114" s="45"/>
    </row>
    <row r="115" spans="2:45">
      <c r="B115" s="57">
        <f t="shared" si="6"/>
        <v>41698</v>
      </c>
      <c r="C115" s="65">
        <f>[16]Sheet1!C61</f>
        <v>10693642</v>
      </c>
      <c r="D115" s="68"/>
      <c r="E115" s="65">
        <f>[16]Sheet1!D61</f>
        <v>1826</v>
      </c>
      <c r="F115" s="68"/>
      <c r="G115" s="69"/>
      <c r="H115" s="67">
        <f t="shared" si="7"/>
        <v>10695468</v>
      </c>
      <c r="I115" s="304"/>
      <c r="J115" s="169">
        <f>'HDD &amp; CDD'!U7</f>
        <v>793.2</v>
      </c>
      <c r="K115" s="169">
        <f>'HDD &amp; CDD'!U25</f>
        <v>0</v>
      </c>
      <c r="L115" s="397">
        <f t="shared" si="5"/>
        <v>28</v>
      </c>
      <c r="M115" s="169">
        <v>0</v>
      </c>
      <c r="N115" s="397">
        <f>[17]Sheet1!C113</f>
        <v>1</v>
      </c>
      <c r="O115" s="633"/>
      <c r="P115" s="620"/>
      <c r="Q115" s="629"/>
      <c r="R115" s="632">
        <f>'CDM Activity'!C161</f>
        <v>308908.18314629031</v>
      </c>
      <c r="S115" s="62"/>
      <c r="T115" s="62"/>
      <c r="U115" s="62"/>
      <c r="V115" s="630"/>
      <c r="W115" s="631">
        <f>[22]GDP!D138</f>
        <v>113.05249800842749</v>
      </c>
      <c r="X115" s="635">
        <f>'[22]Customer Count'!L134</f>
        <v>5858.8333333333339</v>
      </c>
      <c r="Y115" s="636"/>
      <c r="Z115" s="310"/>
      <c r="AA115"/>
      <c r="AB115"/>
      <c r="AC115"/>
      <c r="AD115"/>
      <c r="AE115"/>
      <c r="AF115"/>
      <c r="AG115"/>
      <c r="AH115"/>
      <c r="AI115"/>
      <c r="AJ115" s="64"/>
      <c r="AK115" s="45"/>
      <c r="AL115" s="45"/>
      <c r="AM115" s="45"/>
      <c r="AN115" s="45"/>
      <c r="AO115" s="45"/>
      <c r="AP115" s="45"/>
      <c r="AQ115" s="45"/>
      <c r="AR115" s="45"/>
      <c r="AS115" s="45"/>
    </row>
    <row r="116" spans="2:45">
      <c r="B116" s="57">
        <f t="shared" si="6"/>
        <v>41729</v>
      </c>
      <c r="C116" s="65">
        <f>[16]Sheet1!C62</f>
        <v>11270883</v>
      </c>
      <c r="D116" s="68"/>
      <c r="E116" s="65">
        <f>[16]Sheet1!D62</f>
        <v>2647</v>
      </c>
      <c r="F116" s="68"/>
      <c r="G116" s="69"/>
      <c r="H116" s="67">
        <f t="shared" si="7"/>
        <v>11273530</v>
      </c>
      <c r="I116" s="304"/>
      <c r="J116" s="169">
        <f>'HDD &amp; CDD'!U8</f>
        <v>783.6</v>
      </c>
      <c r="K116" s="169">
        <f>'HDD &amp; CDD'!U26</f>
        <v>0</v>
      </c>
      <c r="L116" s="397">
        <f t="shared" si="5"/>
        <v>31</v>
      </c>
      <c r="M116" s="169">
        <v>1</v>
      </c>
      <c r="N116" s="397">
        <f>[17]Sheet1!C114</f>
        <v>0</v>
      </c>
      <c r="O116" s="633"/>
      <c r="P116" s="620"/>
      <c r="Q116" s="629"/>
      <c r="R116" s="632">
        <f>'CDM Activity'!C162</f>
        <v>314987.31191681238</v>
      </c>
      <c r="S116" s="62"/>
      <c r="T116" s="62"/>
      <c r="U116" s="62"/>
      <c r="V116" s="630"/>
      <c r="W116" s="631">
        <f>[22]GDP!D139</f>
        <v>113.22995767078599</v>
      </c>
      <c r="X116" s="635">
        <f>'[22]Customer Count'!L135</f>
        <v>5858.7500000000009</v>
      </c>
      <c r="Y116" s="636"/>
      <c r="Z116" s="310"/>
      <c r="AA116"/>
      <c r="AB116"/>
      <c r="AC116"/>
      <c r="AD116"/>
      <c r="AE116"/>
      <c r="AF116"/>
      <c r="AG116"/>
      <c r="AH116"/>
      <c r="AI116"/>
      <c r="AJ116" s="64"/>
      <c r="AK116" s="45"/>
      <c r="AL116" s="45"/>
      <c r="AM116" s="45"/>
      <c r="AN116" s="45"/>
      <c r="AO116" s="45"/>
      <c r="AP116" s="45"/>
      <c r="AQ116" s="45"/>
      <c r="AR116" s="45"/>
      <c r="AS116" s="45"/>
    </row>
    <row r="117" spans="2:45">
      <c r="B117" s="57">
        <f t="shared" si="6"/>
        <v>41759</v>
      </c>
      <c r="C117" s="65">
        <f>[16]Sheet1!C63</f>
        <v>9026483</v>
      </c>
      <c r="D117" s="68"/>
      <c r="E117" s="65">
        <f>[16]Sheet1!D63</f>
        <v>5510</v>
      </c>
      <c r="F117" s="68"/>
      <c r="G117" s="69"/>
      <c r="H117" s="67">
        <f t="shared" si="7"/>
        <v>9031993</v>
      </c>
      <c r="I117" s="304"/>
      <c r="J117" s="169">
        <f>'HDD &amp; CDD'!U9</f>
        <v>384.20000000000005</v>
      </c>
      <c r="K117" s="169">
        <f>'HDD &amp; CDD'!U27</f>
        <v>0</v>
      </c>
      <c r="L117" s="397">
        <f t="shared" si="5"/>
        <v>30</v>
      </c>
      <c r="M117" s="169">
        <v>1</v>
      </c>
      <c r="N117" s="397">
        <f>[17]Sheet1!C115</f>
        <v>2</v>
      </c>
      <c r="O117" s="633"/>
      <c r="P117" s="620"/>
      <c r="Q117" s="629"/>
      <c r="R117" s="632">
        <f>'CDM Activity'!C163</f>
        <v>321066.44068733446</v>
      </c>
      <c r="S117" s="62"/>
      <c r="T117" s="62"/>
      <c r="U117" s="62"/>
      <c r="V117" s="630"/>
      <c r="W117" s="631">
        <f>[22]GDP!D140</f>
        <v>113.40769589339145</v>
      </c>
      <c r="X117" s="635">
        <f>'[22]Customer Count'!L136</f>
        <v>5858.6666666666679</v>
      </c>
      <c r="Y117" s="636"/>
      <c r="Z117" s="310"/>
      <c r="AA117"/>
      <c r="AB117"/>
      <c r="AC117"/>
      <c r="AD117"/>
      <c r="AE117"/>
      <c r="AF117"/>
      <c r="AG117"/>
      <c r="AH117"/>
      <c r="AI117"/>
      <c r="AJ117" s="64"/>
      <c r="AK117" s="45"/>
      <c r="AL117" s="45"/>
      <c r="AM117" s="45"/>
      <c r="AN117" s="45"/>
      <c r="AO117" s="45"/>
      <c r="AP117" s="45"/>
      <c r="AQ117" s="45"/>
      <c r="AR117" s="45"/>
      <c r="AS117" s="45"/>
    </row>
    <row r="118" spans="2:45">
      <c r="B118" s="57">
        <f t="shared" si="6"/>
        <v>41790</v>
      </c>
      <c r="C118" s="65">
        <f>[16]Sheet1!C64</f>
        <v>8278885</v>
      </c>
      <c r="D118" s="68"/>
      <c r="E118" s="65">
        <f>[16]Sheet1!D64</f>
        <v>8035</v>
      </c>
      <c r="F118" s="68"/>
      <c r="G118" s="69"/>
      <c r="H118" s="67">
        <f t="shared" si="7"/>
        <v>8286920</v>
      </c>
      <c r="I118" s="304"/>
      <c r="J118" s="169">
        <f>'HDD &amp; CDD'!U10</f>
        <v>127.3</v>
      </c>
      <c r="K118" s="169">
        <f>'HDD &amp; CDD'!U28</f>
        <v>8.8000000000000007</v>
      </c>
      <c r="L118" s="397">
        <f t="shared" si="5"/>
        <v>31</v>
      </c>
      <c r="M118" s="169">
        <v>1</v>
      </c>
      <c r="N118" s="397">
        <f>[17]Sheet1!C116</f>
        <v>1</v>
      </c>
      <c r="O118" s="633"/>
      <c r="P118" s="620"/>
      <c r="Q118" s="629"/>
      <c r="R118" s="632">
        <f>'CDM Activity'!C164</f>
        <v>327145.56945785653</v>
      </c>
      <c r="S118" s="62"/>
      <c r="T118" s="62"/>
      <c r="U118" s="62"/>
      <c r="V118" s="630"/>
      <c r="W118" s="631">
        <f>[22]GDP!D141</f>
        <v>113.58571311350273</v>
      </c>
      <c r="X118" s="635">
        <f>'[22]Customer Count'!L137</f>
        <v>5858.5833333333348</v>
      </c>
      <c r="Y118" s="636"/>
      <c r="Z118" s="310"/>
      <c r="AA118"/>
      <c r="AB118"/>
      <c r="AC118"/>
      <c r="AD118"/>
      <c r="AE118"/>
      <c r="AF118"/>
      <c r="AG118"/>
      <c r="AH118"/>
      <c r="AI118"/>
      <c r="AJ118" s="64"/>
      <c r="AK118" s="45"/>
      <c r="AL118" s="45"/>
      <c r="AM118" s="45"/>
      <c r="AN118" s="45"/>
      <c r="AO118" s="45"/>
      <c r="AP118" s="45"/>
      <c r="AQ118" s="45"/>
      <c r="AR118" s="45"/>
      <c r="AS118" s="45"/>
    </row>
    <row r="119" spans="2:45">
      <c r="B119" s="57">
        <f t="shared" si="6"/>
        <v>41820</v>
      </c>
      <c r="C119" s="65">
        <f>[16]Sheet1!C65</f>
        <v>8570154</v>
      </c>
      <c r="D119" s="68"/>
      <c r="E119" s="65">
        <f>[16]Sheet1!D65</f>
        <v>9577</v>
      </c>
      <c r="F119" s="68"/>
      <c r="G119" s="69"/>
      <c r="H119" s="67">
        <f t="shared" si="7"/>
        <v>8579731</v>
      </c>
      <c r="I119" s="304"/>
      <c r="J119" s="169">
        <f>'HDD &amp; CDD'!U11</f>
        <v>20.299999999999997</v>
      </c>
      <c r="K119" s="169">
        <f>'HDD &amp; CDD'!U29</f>
        <v>54.9</v>
      </c>
      <c r="L119" s="397">
        <f t="shared" si="5"/>
        <v>30</v>
      </c>
      <c r="M119" s="169">
        <v>0</v>
      </c>
      <c r="N119" s="397">
        <f>[17]Sheet1!C117</f>
        <v>0</v>
      </c>
      <c r="O119" s="633"/>
      <c r="P119" s="620"/>
      <c r="Q119" s="629"/>
      <c r="R119" s="632">
        <f>'CDM Activity'!C165</f>
        <v>333224.69822837861</v>
      </c>
      <c r="S119" s="62"/>
      <c r="T119" s="62"/>
      <c r="U119" s="62"/>
      <c r="V119" s="630"/>
      <c r="W119" s="631">
        <f>[22]GDP!D142</f>
        <v>113.76400976906508</v>
      </c>
      <c r="X119" s="635">
        <f>'[22]Customer Count'!L138</f>
        <v>5858.5000000000018</v>
      </c>
      <c r="Y119" s="636"/>
      <c r="Z119" s="310"/>
      <c r="AA119"/>
      <c r="AB119"/>
      <c r="AC119"/>
      <c r="AD119"/>
      <c r="AE119"/>
      <c r="AF119"/>
      <c r="AG119"/>
      <c r="AH119"/>
      <c r="AI119"/>
      <c r="AJ119" s="64"/>
      <c r="AK119" s="45"/>
      <c r="AL119" s="45"/>
      <c r="AM119" s="45"/>
      <c r="AN119" s="45"/>
      <c r="AO119" s="45"/>
      <c r="AP119" s="45"/>
      <c r="AQ119" s="45"/>
      <c r="AR119" s="45"/>
      <c r="AS119" s="45"/>
    </row>
    <row r="120" spans="2:45">
      <c r="B120" s="57">
        <f t="shared" si="6"/>
        <v>41851</v>
      </c>
      <c r="C120" s="90">
        <f>[16]Sheet1!C66</f>
        <v>9070654</v>
      </c>
      <c r="D120" s="68"/>
      <c r="E120" s="65">
        <f>[16]Sheet1!D66</f>
        <v>9467</v>
      </c>
      <c r="F120" s="68"/>
      <c r="G120" s="69"/>
      <c r="H120" s="67">
        <f t="shared" si="7"/>
        <v>9080121</v>
      </c>
      <c r="I120" s="304"/>
      <c r="J120" s="169">
        <f>'HDD &amp; CDD'!U12</f>
        <v>8.8000000000000007</v>
      </c>
      <c r="K120" s="169">
        <f>'HDD &amp; CDD'!U30</f>
        <v>62.800000000000011</v>
      </c>
      <c r="L120" s="397">
        <f t="shared" si="5"/>
        <v>31</v>
      </c>
      <c r="M120" s="169">
        <v>0</v>
      </c>
      <c r="N120" s="397">
        <f>[17]Sheet1!C118</f>
        <v>1</v>
      </c>
      <c r="O120" s="633"/>
      <c r="P120" s="620"/>
      <c r="Q120" s="629"/>
      <c r="R120" s="632">
        <f>'CDM Activity'!C166</f>
        <v>339303.82699890068</v>
      </c>
      <c r="S120" s="62"/>
      <c r="T120" s="62"/>
      <c r="U120" s="62"/>
      <c r="V120" s="630"/>
      <c r="W120" s="631">
        <f>[22]GDP!D143</f>
        <v>113.94258629871118</v>
      </c>
      <c r="X120" s="635">
        <f>'[22]Customer Count'!L139</f>
        <v>5858.4166666666688</v>
      </c>
      <c r="Y120" s="636"/>
      <c r="Z120" s="310"/>
      <c r="AA120"/>
      <c r="AB120"/>
      <c r="AC120"/>
      <c r="AD120"/>
      <c r="AE120"/>
      <c r="AF120"/>
      <c r="AG120"/>
      <c r="AH120"/>
      <c r="AI120"/>
      <c r="AJ120" s="64"/>
      <c r="AK120" s="45"/>
      <c r="AL120" s="45"/>
      <c r="AM120" s="45"/>
      <c r="AN120" s="45"/>
      <c r="AO120" s="45"/>
      <c r="AP120" s="45"/>
      <c r="AQ120" s="45"/>
      <c r="AR120" s="45"/>
      <c r="AS120" s="45"/>
    </row>
    <row r="121" spans="2:45">
      <c r="B121" s="57">
        <f t="shared" si="6"/>
        <v>41882</v>
      </c>
      <c r="C121" s="90">
        <f>[16]Sheet1!C67</f>
        <v>8980123</v>
      </c>
      <c r="D121" s="68"/>
      <c r="E121" s="65">
        <f>[16]Sheet1!D67</f>
        <v>9127</v>
      </c>
      <c r="F121" s="68"/>
      <c r="G121" s="69"/>
      <c r="H121" s="67">
        <f t="shared" si="7"/>
        <v>8989250</v>
      </c>
      <c r="I121" s="304"/>
      <c r="J121" s="169">
        <f>'HDD &amp; CDD'!U13</f>
        <v>21.400000000000002</v>
      </c>
      <c r="K121" s="169">
        <f>'HDD &amp; CDD'!U31</f>
        <v>55.800000000000004</v>
      </c>
      <c r="L121" s="397">
        <f t="shared" si="5"/>
        <v>31</v>
      </c>
      <c r="M121" s="169">
        <v>0</v>
      </c>
      <c r="N121" s="397">
        <f>[17]Sheet1!C119</f>
        <v>1</v>
      </c>
      <c r="O121" s="633"/>
      <c r="P121" s="620"/>
      <c r="Q121" s="629"/>
      <c r="R121" s="632">
        <f>'CDM Activity'!C167</f>
        <v>345382.95576942276</v>
      </c>
      <c r="S121" s="62"/>
      <c r="T121" s="62"/>
      <c r="U121" s="62"/>
      <c r="V121" s="630"/>
      <c r="W121" s="631">
        <f>[22]GDP!D144</f>
        <v>114.12144314176223</v>
      </c>
      <c r="X121" s="635">
        <f>'[22]Customer Count'!L140</f>
        <v>5858.3333333333358</v>
      </c>
      <c r="Y121" s="637"/>
      <c r="Z121" s="310"/>
      <c r="AA121"/>
      <c r="AB121"/>
      <c r="AC121"/>
      <c r="AD121"/>
      <c r="AE121"/>
      <c r="AF121"/>
      <c r="AG121"/>
      <c r="AH121"/>
      <c r="AI121"/>
      <c r="AJ121" s="64"/>
      <c r="AK121" s="45"/>
      <c r="AL121" s="45"/>
      <c r="AM121" s="45"/>
      <c r="AN121" s="45"/>
      <c r="AO121" s="45"/>
      <c r="AP121" s="45"/>
      <c r="AQ121" s="45"/>
      <c r="AR121" s="45"/>
      <c r="AS121" s="45"/>
    </row>
    <row r="122" spans="2:45">
      <c r="B122" s="57">
        <f t="shared" si="6"/>
        <v>41912</v>
      </c>
      <c r="C122" s="90">
        <f>[16]Sheet1!C68</f>
        <v>8455877</v>
      </c>
      <c r="D122" s="68"/>
      <c r="E122" s="65">
        <f>[16]Sheet1!D68</f>
        <v>8673</v>
      </c>
      <c r="F122" s="68"/>
      <c r="G122" s="69"/>
      <c r="H122" s="67">
        <f t="shared" si="7"/>
        <v>8464550</v>
      </c>
      <c r="I122" s="304"/>
      <c r="J122" s="169">
        <f>'HDD &amp; CDD'!U14</f>
        <v>110.3</v>
      </c>
      <c r="K122" s="169">
        <f>'HDD &amp; CDD'!U32</f>
        <v>21.600000000000005</v>
      </c>
      <c r="L122" s="397">
        <f t="shared" si="5"/>
        <v>30</v>
      </c>
      <c r="M122" s="169">
        <v>1</v>
      </c>
      <c r="N122" s="397">
        <f>[17]Sheet1!C120</f>
        <v>1</v>
      </c>
      <c r="O122" s="633"/>
      <c r="P122" s="620"/>
      <c r="Q122" s="629"/>
      <c r="R122" s="632">
        <f>'CDM Activity'!C168</f>
        <v>351462.08453994483</v>
      </c>
      <c r="S122" s="62"/>
      <c r="T122" s="62"/>
      <c r="U122" s="62"/>
      <c r="V122" s="630"/>
      <c r="W122" s="631">
        <f>[22]GDP!D145</f>
        <v>114.30058073822906</v>
      </c>
      <c r="X122" s="635">
        <f>'[22]Customer Count'!L141</f>
        <v>5858.2500000000027</v>
      </c>
      <c r="Y122" s="637"/>
      <c r="Z122" s="310"/>
      <c r="AA122"/>
      <c r="AB122"/>
      <c r="AC122"/>
      <c r="AD122"/>
      <c r="AE122"/>
      <c r="AF122"/>
      <c r="AG122"/>
      <c r="AH122"/>
      <c r="AI122"/>
      <c r="AJ122" s="64"/>
      <c r="AK122" s="45"/>
      <c r="AL122" s="45"/>
      <c r="AM122" s="45"/>
      <c r="AN122" s="45"/>
      <c r="AO122" s="45"/>
      <c r="AP122" s="45"/>
      <c r="AQ122" s="45"/>
      <c r="AR122" s="45"/>
      <c r="AS122" s="45"/>
    </row>
    <row r="123" spans="2:45">
      <c r="B123" s="57">
        <f t="shared" si="6"/>
        <v>41943</v>
      </c>
      <c r="C123" s="90">
        <f>[16]Sheet1!C69</f>
        <v>8663323</v>
      </c>
      <c r="D123" s="68"/>
      <c r="E123" s="65">
        <f>[16]Sheet1!D69</f>
        <v>7439</v>
      </c>
      <c r="F123" s="68"/>
      <c r="G123" s="69"/>
      <c r="H123" s="67">
        <f t="shared" si="7"/>
        <v>8670762</v>
      </c>
      <c r="I123" s="304"/>
      <c r="J123" s="169">
        <f>'HDD &amp; CDD'!U15</f>
        <v>257.90000000000003</v>
      </c>
      <c r="K123" s="169">
        <f>'HDD &amp; CDD'!U33</f>
        <v>3.1</v>
      </c>
      <c r="L123" s="397">
        <f t="shared" si="5"/>
        <v>31</v>
      </c>
      <c r="M123" s="169">
        <v>1</v>
      </c>
      <c r="N123" s="397">
        <f>[17]Sheet1!C121</f>
        <v>1</v>
      </c>
      <c r="O123" s="633"/>
      <c r="P123" s="620"/>
      <c r="Q123" s="629"/>
      <c r="R123" s="632">
        <f>'CDM Activity'!C169</f>
        <v>357541.2133104669</v>
      </c>
      <c r="S123" s="62"/>
      <c r="T123" s="62"/>
      <c r="U123" s="62"/>
      <c r="V123" s="630"/>
      <c r="W123" s="631">
        <f>[22]GDP!D146</f>
        <v>114.47999952881318</v>
      </c>
      <c r="X123" s="635">
        <f>'[22]Customer Count'!L142</f>
        <v>5858.1666666666697</v>
      </c>
      <c r="Y123" s="637"/>
      <c r="Z123" s="310"/>
      <c r="AA123"/>
      <c r="AB123"/>
      <c r="AC123"/>
      <c r="AD123"/>
      <c r="AE123"/>
      <c r="AF123"/>
      <c r="AG123"/>
      <c r="AH123"/>
      <c r="AI123"/>
      <c r="AJ123" s="64"/>
      <c r="AK123" s="45"/>
      <c r="AL123" s="45"/>
      <c r="AM123" s="45"/>
      <c r="AN123" s="45"/>
      <c r="AO123" s="45"/>
      <c r="AP123" s="45"/>
      <c r="AQ123" s="45"/>
      <c r="AR123" s="45"/>
      <c r="AS123" s="45"/>
    </row>
    <row r="124" spans="2:45">
      <c r="B124" s="57">
        <f t="shared" si="6"/>
        <v>41973</v>
      </c>
      <c r="C124" s="90">
        <f>[16]Sheet1!C70</f>
        <v>9594308</v>
      </c>
      <c r="D124" s="68"/>
      <c r="E124" s="65">
        <f>[16]Sheet1!D70</f>
        <v>4365</v>
      </c>
      <c r="F124" s="68"/>
      <c r="G124" s="69"/>
      <c r="H124" s="67">
        <f t="shared" si="7"/>
        <v>9598673</v>
      </c>
      <c r="I124" s="304"/>
      <c r="J124" s="169">
        <f>'HDD &amp; CDD'!U16</f>
        <v>510.6</v>
      </c>
      <c r="K124" s="169">
        <f>'HDD &amp; CDD'!U34</f>
        <v>0</v>
      </c>
      <c r="L124" s="397">
        <f t="shared" si="5"/>
        <v>30</v>
      </c>
      <c r="M124" s="169">
        <v>1</v>
      </c>
      <c r="N124" s="397">
        <f>[17]Sheet1!C122</f>
        <v>0</v>
      </c>
      <c r="O124" s="633"/>
      <c r="P124" s="620"/>
      <c r="Q124" s="629"/>
      <c r="R124" s="632">
        <f>'CDM Activity'!C170</f>
        <v>363620.34208098898</v>
      </c>
      <c r="S124" s="62"/>
      <c r="T124" s="62"/>
      <c r="U124" s="62"/>
      <c r="V124" s="630"/>
      <c r="W124" s="631">
        <f>[22]GDP!D147</f>
        <v>114.65969995490788</v>
      </c>
      <c r="X124" s="635">
        <f>'[22]Customer Count'!L143</f>
        <v>5858.0833333333367</v>
      </c>
      <c r="Y124" s="637"/>
      <c r="AJ124" s="64"/>
      <c r="AK124" s="45"/>
      <c r="AL124" s="45"/>
      <c r="AM124" s="45"/>
      <c r="AN124" s="45"/>
      <c r="AO124" s="45"/>
      <c r="AP124" s="45"/>
      <c r="AQ124" s="45"/>
      <c r="AR124" s="45"/>
      <c r="AS124" s="45"/>
    </row>
    <row r="125" spans="2:45">
      <c r="B125" s="583">
        <f t="shared" si="6"/>
        <v>42004</v>
      </c>
      <c r="C125" s="584">
        <f>[16]Sheet1!C71</f>
        <v>10753031</v>
      </c>
      <c r="D125" s="585"/>
      <c r="E125" s="584">
        <f>[16]Sheet1!D71</f>
        <v>2388</v>
      </c>
      <c r="F125" s="585"/>
      <c r="G125" s="586"/>
      <c r="H125" s="584">
        <f t="shared" si="7"/>
        <v>10755419</v>
      </c>
      <c r="I125" s="587"/>
      <c r="J125" s="588">
        <f>'HDD &amp; CDD'!U17</f>
        <v>696.39999999999986</v>
      </c>
      <c r="K125" s="588">
        <f>'HDD &amp; CDD'!U35</f>
        <v>0</v>
      </c>
      <c r="L125" s="589">
        <f t="shared" si="5"/>
        <v>31</v>
      </c>
      <c r="M125" s="588">
        <v>0</v>
      </c>
      <c r="N125" s="589">
        <f>[17]Sheet1!C123</f>
        <v>2</v>
      </c>
      <c r="O125" s="642"/>
      <c r="P125" s="641"/>
      <c r="Q125" s="629"/>
      <c r="R125" s="632">
        <f>'CDM Activity'!C171</f>
        <v>369699.47085151105</v>
      </c>
      <c r="S125" s="62"/>
      <c r="T125" s="62"/>
      <c r="U125" s="62"/>
      <c r="V125" s="630"/>
      <c r="W125" s="631">
        <f>[22]GDP!D148</f>
        <v>114.83968245859928</v>
      </c>
      <c r="X125" s="635">
        <f>'[22]Customer Count'!L144</f>
        <v>5858</v>
      </c>
      <c r="Y125" s="637"/>
      <c r="AJ125" s="64"/>
      <c r="AK125" s="45"/>
      <c r="AL125" s="45"/>
      <c r="AM125" s="45"/>
      <c r="AN125" s="45"/>
      <c r="AO125" s="45"/>
      <c r="AP125" s="45"/>
      <c r="AQ125" s="45"/>
      <c r="AR125" s="45"/>
      <c r="AS125" s="45"/>
    </row>
    <row r="126" spans="2:45" ht="14.25">
      <c r="B126" s="105"/>
      <c r="C126" s="106"/>
      <c r="D126" s="107"/>
      <c r="E126" s="102"/>
      <c r="S126" s="94"/>
      <c r="T126" s="122"/>
      <c r="U126" s="122"/>
      <c r="V126" s="97"/>
      <c r="W126" s="619"/>
      <c r="X126" s="619"/>
      <c r="Y126" s="637"/>
      <c r="AJ126" s="45"/>
      <c r="AK126" s="45"/>
      <c r="AL126" s="45"/>
      <c r="AM126" s="45"/>
      <c r="AN126" s="45"/>
      <c r="AO126" s="45"/>
      <c r="AP126" s="45"/>
      <c r="AQ126" s="45"/>
      <c r="AR126" s="45"/>
      <c r="AS126" s="45"/>
    </row>
    <row r="127" spans="2:45" ht="14.25">
      <c r="B127" s="105"/>
      <c r="C127" s="106"/>
      <c r="D127" s="107"/>
      <c r="E127" s="102"/>
      <c r="S127" s="94"/>
      <c r="T127" s="122"/>
      <c r="U127" s="122"/>
      <c r="V127" s="97"/>
      <c r="Y127" s="637"/>
      <c r="AJ127" s="45"/>
      <c r="AK127" s="45"/>
      <c r="AL127" s="45"/>
      <c r="AM127" s="45"/>
      <c r="AN127" s="45"/>
      <c r="AO127" s="45"/>
      <c r="AP127" s="45"/>
      <c r="AQ127" s="45"/>
      <c r="AR127" s="45"/>
      <c r="AS127" s="45"/>
    </row>
    <row r="128" spans="2:45" ht="14.25">
      <c r="B128" s="105"/>
      <c r="C128" s="106"/>
      <c r="D128" s="107"/>
      <c r="E128" s="102"/>
      <c r="S128" s="94"/>
      <c r="T128" s="122"/>
      <c r="U128" s="122"/>
      <c r="V128" s="97"/>
      <c r="AJ128" s="45"/>
      <c r="AK128" s="45"/>
      <c r="AL128" s="45"/>
      <c r="AM128" s="45"/>
      <c r="AN128" s="45"/>
      <c r="AO128" s="45"/>
      <c r="AP128" s="45"/>
      <c r="AQ128" s="45"/>
      <c r="AR128" s="45"/>
      <c r="AS128" s="45"/>
    </row>
    <row r="129" spans="2:45" ht="14.25">
      <c r="B129" s="105"/>
      <c r="C129" s="106"/>
      <c r="D129" s="107"/>
      <c r="E129" s="102"/>
      <c r="S129" s="94"/>
      <c r="T129" s="122"/>
      <c r="U129" s="122"/>
      <c r="V129" s="97"/>
      <c r="AJ129" s="45"/>
      <c r="AK129" s="45"/>
      <c r="AL129" s="45"/>
      <c r="AM129" s="45"/>
      <c r="AN129" s="45"/>
      <c r="AO129" s="45"/>
      <c r="AP129" s="45"/>
      <c r="AQ129" s="45"/>
      <c r="AR129" s="45"/>
      <c r="AS129" s="45"/>
    </row>
    <row r="130" spans="2:45" ht="14.25">
      <c r="B130" s="105"/>
      <c r="C130" s="106"/>
      <c r="D130" s="107"/>
      <c r="E130" s="102"/>
      <c r="S130" s="94"/>
      <c r="T130" s="122"/>
      <c r="U130" s="122"/>
      <c r="V130" s="97"/>
      <c r="AJ130" s="45"/>
      <c r="AK130" s="45"/>
      <c r="AL130" s="45"/>
      <c r="AM130" s="45"/>
      <c r="AN130" s="45"/>
      <c r="AO130" s="45"/>
      <c r="AP130" s="45"/>
      <c r="AQ130" s="45"/>
      <c r="AR130" s="45"/>
      <c r="AS130" s="45"/>
    </row>
    <row r="131" spans="2:45" ht="14.25">
      <c r="B131" s="105"/>
      <c r="C131" s="106"/>
      <c r="D131" s="107"/>
      <c r="E131" s="102"/>
      <c r="S131" s="94"/>
      <c r="T131" s="122"/>
      <c r="U131" s="122"/>
      <c r="V131" s="97"/>
      <c r="AK131" s="45"/>
      <c r="AL131" s="45"/>
      <c r="AM131" s="45"/>
      <c r="AN131" s="45"/>
      <c r="AO131" s="45"/>
      <c r="AP131" s="45"/>
      <c r="AQ131" s="45"/>
      <c r="AR131" s="45"/>
      <c r="AS131" s="45"/>
    </row>
    <row r="132" spans="2:45" ht="14.25">
      <c r="B132" s="105"/>
      <c r="C132" s="106"/>
      <c r="D132" s="107"/>
      <c r="E132" s="102"/>
      <c r="S132" s="94"/>
      <c r="T132" s="122"/>
      <c r="U132" s="122"/>
      <c r="V132" s="97"/>
      <c r="AK132" s="45"/>
      <c r="AL132" s="45"/>
      <c r="AM132" s="45"/>
      <c r="AN132" s="45"/>
      <c r="AO132" s="45"/>
      <c r="AP132" s="45"/>
      <c r="AQ132" s="45"/>
      <c r="AR132" s="45"/>
      <c r="AS132" s="45"/>
    </row>
    <row r="133" spans="2:45" ht="14.25">
      <c r="B133" s="105"/>
      <c r="C133" s="106"/>
      <c r="D133" s="107"/>
      <c r="E133" s="102"/>
      <c r="S133" s="94"/>
      <c r="T133" s="122"/>
      <c r="U133" s="122"/>
      <c r="V133" s="97"/>
      <c r="AK133" s="45"/>
      <c r="AL133" s="45"/>
      <c r="AM133" s="45"/>
      <c r="AN133" s="45"/>
      <c r="AO133" s="45"/>
      <c r="AP133" s="45"/>
      <c r="AQ133" s="45"/>
      <c r="AR133" s="45"/>
      <c r="AS133" s="45"/>
    </row>
    <row r="134" spans="2:45" ht="14.25">
      <c r="B134" s="105"/>
      <c r="C134" s="106"/>
      <c r="D134" s="107"/>
      <c r="E134" s="102"/>
      <c r="S134" s="94"/>
      <c r="T134" s="122"/>
      <c r="U134" s="122"/>
      <c r="V134" s="97"/>
      <c r="AK134" s="45"/>
      <c r="AL134" s="45"/>
      <c r="AM134" s="45"/>
      <c r="AN134" s="45"/>
      <c r="AO134" s="45"/>
      <c r="AP134" s="45"/>
      <c r="AQ134" s="45"/>
      <c r="AR134" s="45"/>
      <c r="AS134" s="45"/>
    </row>
    <row r="135" spans="2:45" ht="14.25">
      <c r="B135" s="105"/>
      <c r="C135" s="106"/>
      <c r="D135" s="107"/>
      <c r="E135" s="102"/>
      <c r="S135" s="94"/>
      <c r="T135" s="122"/>
      <c r="U135" s="122"/>
      <c r="V135" s="97"/>
      <c r="AK135" s="45"/>
      <c r="AL135" s="45"/>
      <c r="AM135" s="45"/>
      <c r="AN135" s="45"/>
      <c r="AO135" s="45"/>
      <c r="AP135" s="45"/>
      <c r="AQ135" s="45"/>
      <c r="AR135" s="45"/>
      <c r="AS135" s="45"/>
    </row>
    <row r="136" spans="2:45" ht="14.25">
      <c r="B136" s="105"/>
      <c r="C136" s="106"/>
      <c r="D136" s="107"/>
      <c r="E136" s="102"/>
      <c r="S136" s="94"/>
      <c r="T136" s="122"/>
      <c r="U136" s="122"/>
      <c r="V136" s="97"/>
      <c r="AK136" s="45"/>
      <c r="AL136" s="45"/>
      <c r="AM136" s="45"/>
      <c r="AN136" s="45"/>
      <c r="AO136" s="45"/>
      <c r="AP136" s="45"/>
      <c r="AQ136" s="45"/>
      <c r="AR136" s="45"/>
      <c r="AS136" s="45"/>
    </row>
    <row r="137" spans="2:45" ht="14.25">
      <c r="B137" s="105"/>
      <c r="C137" s="106"/>
      <c r="D137" s="107"/>
      <c r="E137" s="102"/>
      <c r="S137" s="95"/>
      <c r="T137" s="118"/>
      <c r="U137" s="118"/>
      <c r="V137" s="96"/>
      <c r="AK137" s="45"/>
      <c r="AL137" s="45"/>
      <c r="AM137" s="45"/>
      <c r="AN137" s="45"/>
      <c r="AO137" s="45"/>
      <c r="AP137" s="45"/>
      <c r="AQ137" s="45"/>
      <c r="AR137" s="45"/>
      <c r="AS137" s="45"/>
    </row>
    <row r="138" spans="2:45" ht="14.25">
      <c r="B138" s="105"/>
      <c r="C138" s="106"/>
      <c r="D138" s="107"/>
      <c r="E138" s="102"/>
      <c r="S138" s="93"/>
      <c r="T138" s="116"/>
      <c r="U138" s="116"/>
      <c r="V138" s="97"/>
      <c r="AK138" s="45"/>
      <c r="AL138" s="45"/>
      <c r="AM138" s="45"/>
      <c r="AN138" s="45"/>
      <c r="AO138" s="45"/>
      <c r="AP138" s="45"/>
      <c r="AQ138" s="45"/>
      <c r="AR138" s="45"/>
      <c r="AS138" s="45"/>
    </row>
    <row r="139" spans="2:45" ht="14.25">
      <c r="B139" s="105"/>
      <c r="C139" s="106"/>
      <c r="D139" s="107"/>
      <c r="E139" s="102"/>
      <c r="S139" s="94"/>
      <c r="T139" s="122"/>
      <c r="U139" s="122"/>
      <c r="V139" s="97"/>
      <c r="AK139" s="45"/>
      <c r="AL139" s="45"/>
      <c r="AM139" s="45"/>
      <c r="AN139" s="45"/>
      <c r="AO139" s="45"/>
      <c r="AP139" s="45"/>
      <c r="AQ139" s="45"/>
      <c r="AR139" s="45"/>
      <c r="AS139" s="45"/>
    </row>
    <row r="140" spans="2:45" ht="14.25">
      <c r="B140" s="105"/>
      <c r="C140" s="106"/>
      <c r="D140" s="107"/>
      <c r="E140" s="102"/>
      <c r="S140" s="94"/>
      <c r="T140" s="122"/>
      <c r="U140" s="122"/>
      <c r="V140" s="97"/>
      <c r="AK140" s="45"/>
      <c r="AL140" s="45"/>
      <c r="AM140" s="45"/>
      <c r="AN140" s="45"/>
      <c r="AO140" s="45"/>
      <c r="AP140" s="45"/>
      <c r="AQ140" s="45"/>
      <c r="AR140" s="45"/>
      <c r="AS140" s="45"/>
    </row>
    <row r="141" spans="2:45" ht="14.25">
      <c r="B141" s="105"/>
      <c r="C141" s="106"/>
      <c r="D141" s="107"/>
      <c r="E141" s="102"/>
      <c r="S141" s="94"/>
      <c r="T141" s="122"/>
      <c r="U141" s="122"/>
      <c r="V141" s="97"/>
      <c r="AK141" s="45"/>
      <c r="AL141" s="45"/>
      <c r="AM141" s="45"/>
      <c r="AN141" s="45"/>
      <c r="AO141" s="45"/>
      <c r="AP141" s="45"/>
      <c r="AQ141" s="45"/>
      <c r="AR141" s="45"/>
      <c r="AS141" s="45"/>
    </row>
    <row r="142" spans="2:45" ht="14.25">
      <c r="B142" s="105"/>
      <c r="C142" s="106"/>
      <c r="D142" s="107"/>
      <c r="E142" s="102"/>
      <c r="S142" s="94"/>
      <c r="T142" s="122"/>
      <c r="U142" s="122"/>
      <c r="V142" s="97"/>
      <c r="AK142" s="45"/>
      <c r="AL142" s="45"/>
      <c r="AM142" s="45"/>
      <c r="AN142" s="45"/>
      <c r="AO142" s="45"/>
      <c r="AP142" s="45"/>
      <c r="AQ142" s="45"/>
      <c r="AR142" s="45"/>
      <c r="AS142" s="45"/>
    </row>
    <row r="143" spans="2:45" ht="14.25">
      <c r="B143" s="105"/>
      <c r="C143" s="106"/>
      <c r="D143" s="107"/>
      <c r="E143" s="102"/>
      <c r="S143" s="94"/>
      <c r="T143" s="122"/>
      <c r="U143" s="122"/>
      <c r="V143" s="97"/>
      <c r="AK143" s="45"/>
      <c r="AL143" s="45"/>
      <c r="AM143" s="45"/>
      <c r="AN143" s="45"/>
      <c r="AO143" s="45"/>
      <c r="AP143" s="45"/>
      <c r="AQ143" s="45"/>
      <c r="AR143" s="45"/>
      <c r="AS143" s="45"/>
    </row>
    <row r="144" spans="2:45" ht="14.25">
      <c r="B144" s="105"/>
      <c r="C144" s="106"/>
      <c r="D144" s="107"/>
      <c r="E144" s="102"/>
      <c r="S144" s="94"/>
      <c r="T144" s="122"/>
      <c r="U144" s="122"/>
      <c r="V144" s="97"/>
      <c r="AK144" s="45"/>
      <c r="AL144" s="45"/>
      <c r="AM144" s="45"/>
      <c r="AN144" s="45"/>
      <c r="AO144" s="45"/>
      <c r="AP144" s="45"/>
      <c r="AQ144" s="45"/>
      <c r="AR144" s="45"/>
      <c r="AS144" s="45"/>
    </row>
    <row r="145" spans="2:45" ht="14.25">
      <c r="B145" s="105"/>
      <c r="C145" s="106"/>
      <c r="D145" s="107"/>
      <c r="E145" s="102"/>
      <c r="S145" s="94"/>
      <c r="T145" s="122"/>
      <c r="U145" s="122"/>
      <c r="V145" s="97"/>
      <c r="AK145" s="45"/>
      <c r="AL145" s="45"/>
      <c r="AM145" s="45"/>
      <c r="AN145" s="45"/>
      <c r="AO145" s="45"/>
      <c r="AP145" s="45"/>
      <c r="AQ145" s="45"/>
      <c r="AR145" s="45"/>
      <c r="AS145" s="45"/>
    </row>
    <row r="146" spans="2:45" ht="14.25">
      <c r="B146" s="105"/>
      <c r="C146" s="106"/>
      <c r="D146" s="107"/>
      <c r="E146" s="102"/>
      <c r="S146" s="94"/>
      <c r="T146" s="122"/>
      <c r="U146" s="122"/>
      <c r="V146" s="97"/>
      <c r="AK146" s="45"/>
      <c r="AL146" s="45"/>
      <c r="AM146" s="45"/>
      <c r="AN146" s="45"/>
      <c r="AO146" s="45"/>
      <c r="AP146" s="45"/>
      <c r="AQ146" s="45"/>
      <c r="AR146" s="45"/>
      <c r="AS146" s="45"/>
    </row>
    <row r="147" spans="2:45" ht="14.25">
      <c r="B147" s="105"/>
      <c r="C147" s="106"/>
      <c r="D147" s="107"/>
      <c r="E147" s="102"/>
      <c r="S147" s="94"/>
      <c r="T147" s="122"/>
      <c r="U147" s="122"/>
      <c r="V147" s="97"/>
      <c r="AK147" s="45"/>
      <c r="AL147" s="45"/>
      <c r="AM147" s="45"/>
      <c r="AN147" s="45"/>
      <c r="AO147" s="45"/>
      <c r="AP147" s="45"/>
      <c r="AQ147" s="45"/>
      <c r="AR147" s="45"/>
      <c r="AS147" s="45"/>
    </row>
    <row r="148" spans="2:45" ht="14.25">
      <c r="B148" s="105"/>
      <c r="C148" s="106"/>
      <c r="D148" s="107"/>
      <c r="E148" s="102"/>
      <c r="S148" s="94"/>
      <c r="T148" s="122"/>
      <c r="U148" s="122"/>
      <c r="V148" s="97"/>
      <c r="AK148" s="45"/>
      <c r="AL148" s="45"/>
      <c r="AM148" s="45"/>
      <c r="AN148" s="45"/>
      <c r="AO148" s="45"/>
      <c r="AP148" s="45"/>
      <c r="AQ148" s="45"/>
      <c r="AR148" s="45"/>
      <c r="AS148" s="45"/>
    </row>
    <row r="149" spans="2:45" ht="14.25">
      <c r="B149" s="105"/>
      <c r="C149" s="106"/>
      <c r="D149" s="107"/>
      <c r="E149" s="102"/>
      <c r="S149" s="95"/>
      <c r="T149" s="118"/>
      <c r="U149" s="118"/>
      <c r="V149" s="96"/>
      <c r="AK149" s="45"/>
      <c r="AL149" s="45"/>
      <c r="AM149" s="45"/>
      <c r="AN149" s="45"/>
      <c r="AO149" s="45"/>
      <c r="AP149" s="45"/>
      <c r="AQ149" s="45"/>
      <c r="AR149" s="45"/>
      <c r="AS149" s="45"/>
    </row>
    <row r="150" spans="2:45" ht="14.25">
      <c r="B150" s="105"/>
      <c r="C150" s="106"/>
      <c r="D150" s="107"/>
      <c r="E150" s="102"/>
      <c r="AK150" s="45"/>
      <c r="AL150" s="45"/>
      <c r="AM150" s="45"/>
      <c r="AN150" s="45"/>
      <c r="AO150" s="45"/>
      <c r="AP150" s="45"/>
      <c r="AQ150" s="45"/>
      <c r="AR150" s="45"/>
      <c r="AS150" s="45"/>
    </row>
    <row r="151" spans="2:45" ht="14.25">
      <c r="B151" s="105"/>
      <c r="C151" s="106"/>
      <c r="D151" s="107"/>
      <c r="E151" s="102"/>
      <c r="S151" s="89"/>
      <c r="T151" s="89"/>
      <c r="U151" s="89"/>
      <c r="V151" s="89"/>
      <c r="AK151" s="45"/>
      <c r="AL151" s="45"/>
      <c r="AM151" s="45"/>
      <c r="AN151" s="45"/>
      <c r="AO151" s="45"/>
      <c r="AP151" s="45"/>
      <c r="AQ151" s="45"/>
      <c r="AR151" s="45"/>
      <c r="AS151" s="45"/>
    </row>
    <row r="152" spans="2:45" ht="14.25">
      <c r="B152" s="105"/>
      <c r="C152" s="106"/>
      <c r="D152" s="107"/>
      <c r="E152" s="102"/>
      <c r="AK152" s="45"/>
      <c r="AL152" s="45"/>
      <c r="AM152" s="45"/>
      <c r="AN152" s="45"/>
      <c r="AO152" s="45"/>
      <c r="AP152" s="45"/>
      <c r="AQ152" s="45"/>
      <c r="AR152" s="45"/>
      <c r="AS152" s="45"/>
    </row>
    <row r="153" spans="2:45" ht="14.25">
      <c r="B153" s="105"/>
      <c r="C153" s="106"/>
      <c r="D153" s="107"/>
      <c r="E153" s="102"/>
      <c r="AK153" s="45"/>
      <c r="AL153" s="45"/>
      <c r="AM153" s="45"/>
      <c r="AN153" s="45"/>
      <c r="AO153" s="45"/>
      <c r="AP153" s="45"/>
      <c r="AQ153" s="45"/>
      <c r="AR153" s="45"/>
      <c r="AS153" s="45"/>
    </row>
    <row r="154" spans="2:45" ht="14.25">
      <c r="B154" s="105"/>
      <c r="C154" s="106"/>
      <c r="D154" s="107"/>
      <c r="E154" s="102"/>
      <c r="AK154" s="45"/>
      <c r="AL154" s="45"/>
      <c r="AM154" s="45"/>
      <c r="AN154" s="45"/>
      <c r="AO154" s="45"/>
      <c r="AP154" s="45"/>
      <c r="AQ154" s="45"/>
      <c r="AR154" s="45"/>
      <c r="AS154" s="45"/>
    </row>
    <row r="155" spans="2:45" ht="14.25">
      <c r="B155" s="105"/>
      <c r="C155" s="106"/>
      <c r="D155" s="107"/>
      <c r="E155" s="102"/>
    </row>
    <row r="156" spans="2:45" ht="14.25">
      <c r="B156" s="105"/>
      <c r="C156" s="106"/>
      <c r="D156" s="107"/>
      <c r="E156" s="102"/>
    </row>
    <row r="157" spans="2:45" ht="14.25">
      <c r="B157" s="105"/>
      <c r="C157" s="106"/>
      <c r="D157" s="107"/>
      <c r="E157" s="102"/>
    </row>
    <row r="158" spans="2:45" ht="14.25">
      <c r="B158" s="105"/>
      <c r="C158" s="106"/>
      <c r="D158" s="107"/>
      <c r="E158" s="102"/>
    </row>
    <row r="159" spans="2:45" ht="14.25">
      <c r="B159" s="105"/>
      <c r="C159" s="106"/>
      <c r="D159" s="107"/>
      <c r="E159" s="102"/>
    </row>
    <row r="160" spans="2:45" ht="14.25">
      <c r="B160" s="105"/>
      <c r="C160" s="106"/>
      <c r="D160" s="107"/>
      <c r="E160" s="102"/>
    </row>
    <row r="161" spans="2:63" ht="14.25">
      <c r="B161" s="105"/>
      <c r="C161" s="106"/>
      <c r="D161" s="107"/>
      <c r="E161" s="102"/>
    </row>
    <row r="162" spans="2:63" ht="14.25">
      <c r="B162" s="105"/>
      <c r="C162" s="106"/>
      <c r="D162" s="107"/>
      <c r="E162" s="102"/>
      <c r="AZ162" s="36"/>
    </row>
    <row r="163" spans="2:63" ht="14.25">
      <c r="B163" s="105"/>
      <c r="C163" s="106"/>
      <c r="D163" s="107"/>
      <c r="E163" s="102"/>
      <c r="AY163" s="36"/>
      <c r="AZ163" s="36"/>
      <c r="BA163" s="36"/>
      <c r="BB163" s="36"/>
      <c r="BC163" s="36"/>
      <c r="BD163" s="36"/>
      <c r="BE163" s="36"/>
      <c r="BF163" s="36"/>
      <c r="BG163" s="36"/>
      <c r="BH163" s="36"/>
      <c r="BI163" s="36"/>
      <c r="BJ163" s="36"/>
      <c r="BK163" s="36"/>
    </row>
    <row r="164" spans="2:63" s="36" customFormat="1" ht="14.25">
      <c r="B164" s="105"/>
      <c r="C164" s="106"/>
      <c r="D164" s="107"/>
      <c r="E164" s="102"/>
      <c r="I164" s="102"/>
      <c r="J164" s="38"/>
      <c r="K164" s="38"/>
      <c r="L164" s="38"/>
      <c r="M164" s="38"/>
      <c r="N164" s="38"/>
      <c r="O164" s="38"/>
      <c r="P164" s="38"/>
      <c r="Q164" s="621"/>
      <c r="R164" s="38"/>
      <c r="S164" s="38"/>
      <c r="T164" s="38"/>
      <c r="U164" s="38"/>
      <c r="V164" s="38"/>
      <c r="W164" s="38"/>
      <c r="X164" s="38"/>
      <c r="Y164" s="38"/>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row>
    <row r="165" spans="2:63" s="36" customFormat="1" ht="14.25">
      <c r="B165" s="105"/>
      <c r="C165" s="106"/>
      <c r="D165" s="107"/>
      <c r="E165" s="102"/>
      <c r="I165" s="102"/>
      <c r="J165" s="38"/>
      <c r="K165" s="38"/>
      <c r="L165" s="38"/>
      <c r="M165" s="38"/>
      <c r="N165" s="38"/>
      <c r="O165" s="38"/>
      <c r="P165" s="38"/>
      <c r="Q165" s="621"/>
      <c r="R165" s="38"/>
      <c r="S165" s="38"/>
      <c r="T165" s="38"/>
      <c r="U165" s="38"/>
      <c r="V165" s="38"/>
      <c r="W165" s="38"/>
      <c r="X165" s="38"/>
      <c r="Y165" s="38"/>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row>
    <row r="166" spans="2:63" s="36" customFormat="1" ht="14.25">
      <c r="B166" s="105"/>
      <c r="C166" s="106"/>
      <c r="D166" s="107"/>
      <c r="E166" s="102"/>
      <c r="I166" s="102"/>
      <c r="J166" s="459"/>
      <c r="K166" s="38"/>
      <c r="L166" s="38"/>
      <c r="M166" s="38"/>
      <c r="N166" s="38"/>
      <c r="O166" s="38"/>
      <c r="P166" s="38"/>
      <c r="Q166" s="621"/>
      <c r="S166" s="38"/>
      <c r="T166" s="38"/>
      <c r="U166" s="38"/>
      <c r="V166" s="38"/>
      <c r="W166" s="38"/>
      <c r="X166" s="38"/>
      <c r="Y166" s="38"/>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row>
    <row r="167" spans="2:63" s="36" customFormat="1" ht="14.25">
      <c r="B167" s="105"/>
      <c r="C167" s="106"/>
      <c r="D167" s="107"/>
      <c r="E167" s="102"/>
      <c r="I167" s="102"/>
      <c r="J167" s="459"/>
      <c r="K167" s="38"/>
      <c r="L167" s="38"/>
      <c r="M167" s="38"/>
      <c r="N167" s="38"/>
      <c r="O167" s="38"/>
      <c r="P167" s="38"/>
      <c r="Q167" s="621"/>
      <c r="R167" s="38"/>
      <c r="S167" s="38"/>
      <c r="T167" s="38"/>
      <c r="U167" s="38"/>
      <c r="V167" s="38"/>
      <c r="W167" s="38"/>
      <c r="X167" s="38"/>
      <c r="Y167" s="38"/>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Z167" s="39"/>
    </row>
    <row r="168" spans="2:63" s="36" customFormat="1">
      <c r="B168" s="104"/>
      <c r="C168" s="103"/>
      <c r="D168" s="104"/>
      <c r="E168" s="102"/>
      <c r="I168" s="102"/>
      <c r="J168" s="38"/>
      <c r="K168" s="38"/>
      <c r="L168" s="38"/>
      <c r="M168" s="38"/>
      <c r="N168" s="38"/>
      <c r="O168" s="38"/>
      <c r="P168" s="38"/>
      <c r="Q168" s="621"/>
      <c r="R168" s="38"/>
      <c r="S168" s="38"/>
      <c r="T168" s="38"/>
      <c r="U168" s="38"/>
      <c r="V168" s="38"/>
      <c r="W168" s="38"/>
      <c r="X168" s="38"/>
      <c r="Y168" s="38"/>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Y168" s="39"/>
      <c r="AZ168" s="39"/>
      <c r="BA168" s="39"/>
      <c r="BB168" s="39"/>
      <c r="BC168" s="39"/>
      <c r="BD168" s="39"/>
      <c r="BE168" s="39"/>
      <c r="BF168" s="39"/>
      <c r="BG168" s="39"/>
      <c r="BH168" s="39"/>
      <c r="BI168" s="39"/>
      <c r="BJ168" s="39"/>
      <c r="BK168" s="39"/>
    </row>
    <row r="169" spans="2:63">
      <c r="AV169" s="36"/>
      <c r="AW169" s="36"/>
      <c r="AX169" s="36"/>
    </row>
    <row r="170" spans="2:63">
      <c r="AV170" s="36"/>
      <c r="AW170" s="36"/>
      <c r="AX170" s="36"/>
    </row>
    <row r="171" spans="2:63">
      <c r="AV171" s="36"/>
      <c r="AW171" s="36"/>
      <c r="AX171" s="36"/>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tabSelected="1" zoomScaleNormal="100" workbookViewId="0">
      <selection activeCell="B18" sqref="B18"/>
    </sheetView>
  </sheetViews>
  <sheetFormatPr defaultRowHeight="12.75"/>
  <cols>
    <col min="1" max="1" width="8.7109375" style="332" customWidth="1"/>
    <col min="2" max="2" width="30.7109375" style="332" customWidth="1"/>
    <col min="3" max="3" width="12.7109375" style="332" customWidth="1"/>
    <col min="4" max="4" width="14" style="332" customWidth="1"/>
    <col min="5" max="7" width="12.7109375" style="332" customWidth="1"/>
    <col min="8" max="8" width="14.7109375" style="332" customWidth="1"/>
    <col min="9" max="16384" width="9.140625" style="332"/>
  </cols>
  <sheetData>
    <row r="1" spans="1:10">
      <c r="G1" s="333" t="s">
        <v>161</v>
      </c>
      <c r="H1" s="334">
        <v>0</v>
      </c>
    </row>
    <row r="2" spans="1:10">
      <c r="A2" s="332" t="s">
        <v>162</v>
      </c>
      <c r="B2" s="332" t="s">
        <v>163</v>
      </c>
      <c r="G2" s="333" t="s">
        <v>164</v>
      </c>
      <c r="H2" s="335"/>
    </row>
    <row r="3" spans="1:10">
      <c r="G3" s="333" t="s">
        <v>165</v>
      </c>
      <c r="H3" s="335"/>
    </row>
    <row r="4" spans="1:10">
      <c r="G4" s="333" t="s">
        <v>166</v>
      </c>
      <c r="H4" s="335"/>
    </row>
    <row r="5" spans="1:10">
      <c r="G5" s="333" t="s">
        <v>167</v>
      </c>
      <c r="H5" s="336"/>
    </row>
    <row r="6" spans="1:10">
      <c r="G6" s="333"/>
      <c r="H6" s="334"/>
    </row>
    <row r="7" spans="1:10">
      <c r="G7" s="333" t="s">
        <v>168</v>
      </c>
      <c r="H7" s="336"/>
    </row>
    <row r="9" spans="1:10" ht="18">
      <c r="A9" s="669" t="s">
        <v>169</v>
      </c>
      <c r="B9" s="669"/>
      <c r="C9" s="669"/>
      <c r="D9" s="669"/>
      <c r="E9" s="669"/>
      <c r="F9" s="669"/>
      <c r="G9" s="669"/>
      <c r="H9" s="669"/>
    </row>
    <row r="10" spans="1:10" ht="18">
      <c r="A10" s="669" t="s">
        <v>170</v>
      </c>
      <c r="B10" s="669"/>
      <c r="C10" s="669"/>
      <c r="D10" s="669"/>
      <c r="E10" s="669"/>
      <c r="F10" s="669"/>
      <c r="G10" s="669"/>
      <c r="H10" s="669"/>
    </row>
    <row r="11" spans="1:10">
      <c r="A11" s="670"/>
      <c r="B11" s="670"/>
      <c r="C11" s="670"/>
      <c r="D11" s="670"/>
      <c r="E11" s="670"/>
      <c r="F11" s="670"/>
      <c r="G11" s="670"/>
      <c r="H11" s="670"/>
    </row>
    <row r="12" spans="1:10" ht="13.5" thickBot="1"/>
    <row r="13" spans="1:10">
      <c r="A13" s="671"/>
      <c r="B13" s="672"/>
      <c r="C13" s="675" t="s">
        <v>171</v>
      </c>
      <c r="D13" s="676"/>
      <c r="E13" s="676"/>
      <c r="F13" s="676"/>
      <c r="G13" s="677"/>
      <c r="H13" s="678" t="s">
        <v>172</v>
      </c>
    </row>
    <row r="14" spans="1:10">
      <c r="A14" s="673"/>
      <c r="B14" s="674"/>
      <c r="C14" s="337">
        <v>2011</v>
      </c>
      <c r="D14" s="337">
        <v>2012</v>
      </c>
      <c r="E14" s="337">
        <v>2013</v>
      </c>
      <c r="F14" s="337">
        <v>2014</v>
      </c>
      <c r="G14" s="337">
        <v>2015</v>
      </c>
      <c r="H14" s="679"/>
    </row>
    <row r="15" spans="1:10">
      <c r="A15" s="338"/>
      <c r="B15" s="680" t="s">
        <v>173</v>
      </c>
      <c r="C15" s="681"/>
      <c r="D15" s="681"/>
      <c r="E15" s="681"/>
      <c r="F15" s="681"/>
      <c r="G15" s="681"/>
      <c r="H15" s="682"/>
    </row>
    <row r="16" spans="1:10" ht="25.5">
      <c r="A16" s="339" t="s">
        <v>174</v>
      </c>
      <c r="B16" s="340" t="s">
        <v>175</v>
      </c>
      <c r="C16" s="341">
        <f>SUM('Purchased Power Model'!C78:C89)</f>
        <v>117969322</v>
      </c>
      <c r="D16" s="341">
        <f>SUM('Purchased Power Model'!C90:C101)</f>
        <v>115215976</v>
      </c>
      <c r="E16" s="341">
        <f>SUM('Purchased Power Model'!C102:C113)</f>
        <v>116534650</v>
      </c>
      <c r="F16" s="341">
        <f>SUM('Purchased Power Model'!C114:C125)</f>
        <v>115878630</v>
      </c>
      <c r="G16" s="341">
        <f>SUM('Purchased Power Model'!C126:C137)</f>
        <v>112605313.95</v>
      </c>
      <c r="H16" s="359">
        <f>IF(SUM(C16:G16)=0,0,AVERAGE(C16:G16))</f>
        <v>115640778.39000002</v>
      </c>
      <c r="J16" s="343" t="s">
        <v>176</v>
      </c>
    </row>
    <row r="17" spans="1:10" ht="25.5">
      <c r="A17" s="339" t="s">
        <v>177</v>
      </c>
      <c r="B17" s="340" t="s">
        <v>178</v>
      </c>
      <c r="C17" s="484">
        <f>C16/C25+SUM('Purchased Power Model'!E78:E89)</f>
        <v>114123373.38491295</v>
      </c>
      <c r="D17" s="484">
        <f>D16/D25+SUM('Purchased Power Model'!E90:E101)</f>
        <v>111492513.94003868</v>
      </c>
      <c r="E17" s="360">
        <f>E16/E25+SUM('Purchased Power Model'!E102:E113)</f>
        <v>112763572.28626692</v>
      </c>
      <c r="F17" s="360">
        <f>F16/F25+SUM('Purchased Power Model'!E114:E125)</f>
        <v>112138225.5435203</v>
      </c>
      <c r="G17" s="360">
        <f>G16/G25+SUM('Purchased Power Model'!E126:E137)</f>
        <v>108982088.7098646</v>
      </c>
      <c r="H17" s="485">
        <f>IF(SUM(C17:G17)=0,0,AVERAGE(C17:G17))</f>
        <v>111899954.7729207</v>
      </c>
      <c r="J17" s="343" t="s">
        <v>179</v>
      </c>
    </row>
    <row r="18" spans="1:10" ht="38.25">
      <c r="A18" s="339" t="s">
        <v>157</v>
      </c>
      <c r="B18" s="340" t="s">
        <v>180</v>
      </c>
      <c r="C18" s="344"/>
      <c r="D18" s="344"/>
      <c r="E18" s="344"/>
      <c r="F18" s="344"/>
      <c r="G18" s="344"/>
      <c r="H18" s="345">
        <f>IF(SUM(C18:G18)=0,0,AVERAGE(C18:G18))</f>
        <v>0</v>
      </c>
    </row>
    <row r="19" spans="1:10" ht="25.5">
      <c r="A19" s="339" t="s">
        <v>181</v>
      </c>
      <c r="B19" s="340" t="s">
        <v>182</v>
      </c>
      <c r="C19" s="342">
        <f t="shared" ref="C19:H19" si="0">C17-C18</f>
        <v>114123373.38491295</v>
      </c>
      <c r="D19" s="342">
        <f t="shared" si="0"/>
        <v>111492513.94003868</v>
      </c>
      <c r="E19" s="342">
        <f t="shared" si="0"/>
        <v>112763572.28626692</v>
      </c>
      <c r="F19" s="342">
        <f t="shared" si="0"/>
        <v>112138225.5435203</v>
      </c>
      <c r="G19" s="342">
        <f t="shared" si="0"/>
        <v>108982088.7098646</v>
      </c>
      <c r="H19" s="346">
        <f t="shared" si="0"/>
        <v>111899954.7729207</v>
      </c>
    </row>
    <row r="20" spans="1:10" ht="14.25" customHeight="1">
      <c r="A20" s="339" t="s">
        <v>183</v>
      </c>
      <c r="B20" s="340" t="s">
        <v>184</v>
      </c>
      <c r="C20" s="341">
        <f t="array" ref="C20:G20">TRANSPOSE('Rate Class Energy Model '!D9:D13)</f>
        <v>108810680</v>
      </c>
      <c r="D20" s="341">
        <v>106397501</v>
      </c>
      <c r="E20" s="341">
        <v>107193012</v>
      </c>
      <c r="F20" s="341">
        <v>107593001</v>
      </c>
      <c r="G20" s="341">
        <v>104215271.962</v>
      </c>
      <c r="H20" s="346">
        <f>IF(SUM(C20:G20)=0,0,AVERAGE(C20:G20))</f>
        <v>106841893.19240001</v>
      </c>
    </row>
    <row r="21" spans="1:10" ht="38.25">
      <c r="A21" s="339" t="s">
        <v>158</v>
      </c>
      <c r="B21" s="340" t="s">
        <v>185</v>
      </c>
      <c r="C21" s="347"/>
      <c r="D21" s="344"/>
      <c r="E21" s="344"/>
      <c r="F21" s="344"/>
      <c r="G21" s="344"/>
      <c r="H21" s="345">
        <f>IF(SUM(C21:G21)=0,0,AVERAGE(C21:G21))</f>
        <v>0</v>
      </c>
    </row>
    <row r="22" spans="1:10" ht="25.5">
      <c r="A22" s="339" t="s">
        <v>28</v>
      </c>
      <c r="B22" s="340" t="s">
        <v>186</v>
      </c>
      <c r="C22" s="342">
        <f t="shared" ref="C22:H22" si="1">C20-C21</f>
        <v>108810680</v>
      </c>
      <c r="D22" s="342">
        <f t="shared" si="1"/>
        <v>106397501</v>
      </c>
      <c r="E22" s="342">
        <f t="shared" si="1"/>
        <v>107193012</v>
      </c>
      <c r="F22" s="342">
        <f t="shared" si="1"/>
        <v>107593001</v>
      </c>
      <c r="G22" s="342">
        <f t="shared" si="1"/>
        <v>104215271.962</v>
      </c>
      <c r="H22" s="346">
        <f t="shared" si="1"/>
        <v>106841893.19240001</v>
      </c>
    </row>
    <row r="23" spans="1:10" ht="25.5">
      <c r="A23" s="339" t="s">
        <v>187</v>
      </c>
      <c r="B23" s="340" t="s">
        <v>188</v>
      </c>
      <c r="C23" s="348">
        <f t="shared" ref="C23:H23" si="2">IF(C22=0,"",C19/C22)</f>
        <v>1.048825109675934</v>
      </c>
      <c r="D23" s="348">
        <f t="shared" si="2"/>
        <v>1.0478865846674226</v>
      </c>
      <c r="E23" s="348">
        <f t="shared" si="2"/>
        <v>1.0519675693623287</v>
      </c>
      <c r="F23" s="348">
        <f t="shared" si="2"/>
        <v>1.0422446116501602</v>
      </c>
      <c r="G23" s="348">
        <f t="shared" si="2"/>
        <v>1.0457400979541918</v>
      </c>
      <c r="H23" s="349">
        <f t="shared" si="2"/>
        <v>1.0473415570371087</v>
      </c>
    </row>
    <row r="24" spans="1:10" ht="13.5" customHeight="1">
      <c r="A24" s="350"/>
      <c r="B24" s="683" t="s">
        <v>189</v>
      </c>
      <c r="C24" s="684"/>
      <c r="D24" s="684"/>
      <c r="E24" s="684"/>
      <c r="F24" s="684"/>
      <c r="G24" s="684"/>
      <c r="H24" s="685"/>
    </row>
    <row r="25" spans="1:10">
      <c r="A25" s="339" t="s">
        <v>190</v>
      </c>
      <c r="B25" s="340" t="s">
        <v>191</v>
      </c>
      <c r="C25" s="344">
        <v>1.034</v>
      </c>
      <c r="D25" s="344">
        <f>C25</f>
        <v>1.034</v>
      </c>
      <c r="E25" s="344">
        <f>D25</f>
        <v>1.034</v>
      </c>
      <c r="F25" s="344">
        <f>E25</f>
        <v>1.034</v>
      </c>
      <c r="G25" s="344">
        <f>F25</f>
        <v>1.034</v>
      </c>
      <c r="H25" s="345">
        <f>IF(SUM(C25:G25)=0,0,AVERAGE(C25:G25))</f>
        <v>1.034</v>
      </c>
    </row>
    <row r="26" spans="1:10">
      <c r="A26" s="350"/>
      <c r="B26" s="683" t="s">
        <v>192</v>
      </c>
      <c r="C26" s="684"/>
      <c r="D26" s="684"/>
      <c r="E26" s="684"/>
      <c r="F26" s="684"/>
      <c r="G26" s="684"/>
      <c r="H26" s="685"/>
    </row>
    <row r="27" spans="1:10" ht="13.5" thickBot="1">
      <c r="A27" s="351" t="s">
        <v>193</v>
      </c>
      <c r="B27" s="352" t="s">
        <v>194</v>
      </c>
      <c r="C27" s="353">
        <f t="shared" ref="C27:H27" si="3">IF(C23="","",C23*C25)</f>
        <v>1.0844851634049157</v>
      </c>
      <c r="D27" s="353">
        <f t="shared" si="3"/>
        <v>1.0835147285461151</v>
      </c>
      <c r="E27" s="353">
        <f t="shared" si="3"/>
        <v>1.0877344667206479</v>
      </c>
      <c r="F27" s="353">
        <f t="shared" si="3"/>
        <v>1.0776809284462656</v>
      </c>
      <c r="G27" s="353">
        <f t="shared" si="3"/>
        <v>1.0812952612846343</v>
      </c>
      <c r="H27" s="354">
        <f t="shared" si="3"/>
        <v>1.0829511699763705</v>
      </c>
    </row>
    <row r="29" spans="1:10">
      <c r="A29" s="355" t="s">
        <v>195</v>
      </c>
      <c r="E29" s="359"/>
      <c r="F29" s="359"/>
      <c r="G29" s="359"/>
    </row>
    <row r="30" spans="1:10" ht="7.5" customHeight="1"/>
    <row r="32" spans="1:10">
      <c r="A32" s="356" t="s">
        <v>174</v>
      </c>
      <c r="B32" s="666" t="s">
        <v>196</v>
      </c>
      <c r="C32" s="666"/>
      <c r="D32" s="666"/>
      <c r="E32" s="666"/>
      <c r="F32" s="666"/>
      <c r="G32" s="666"/>
      <c r="H32" s="666"/>
    </row>
    <row r="33" spans="1:8">
      <c r="A33" s="357"/>
      <c r="B33" s="666"/>
      <c r="C33" s="666"/>
      <c r="D33" s="666"/>
      <c r="E33" s="666"/>
      <c r="F33" s="666"/>
      <c r="G33" s="666"/>
      <c r="H33" s="666"/>
    </row>
    <row r="34" spans="1:8">
      <c r="A34" s="357"/>
      <c r="B34" s="666"/>
      <c r="C34" s="666"/>
      <c r="D34" s="666"/>
      <c r="E34" s="666"/>
      <c r="F34" s="666"/>
      <c r="G34" s="666"/>
      <c r="H34" s="666"/>
    </row>
    <row r="35" spans="1:8" ht="7.5" customHeight="1">
      <c r="A35" s="357"/>
      <c r="B35" s="358"/>
      <c r="C35" s="358"/>
      <c r="D35" s="358"/>
      <c r="E35" s="358"/>
      <c r="F35" s="358"/>
      <c r="G35" s="358"/>
      <c r="H35" s="358"/>
    </row>
    <row r="36" spans="1:8">
      <c r="A36" s="357"/>
      <c r="B36" s="666" t="s">
        <v>197</v>
      </c>
      <c r="C36" s="666"/>
      <c r="D36" s="666"/>
      <c r="E36" s="666"/>
      <c r="F36" s="666"/>
      <c r="G36" s="666"/>
      <c r="H36" s="666"/>
    </row>
    <row r="37" spans="1:8">
      <c r="A37" s="357"/>
      <c r="B37" s="666"/>
      <c r="C37" s="666"/>
      <c r="D37" s="666"/>
      <c r="E37" s="666"/>
      <c r="F37" s="666"/>
      <c r="G37" s="666"/>
      <c r="H37" s="666"/>
    </row>
    <row r="38" spans="1:8">
      <c r="A38" s="357"/>
      <c r="B38" s="666"/>
      <c r="C38" s="666"/>
      <c r="D38" s="666"/>
      <c r="E38" s="666"/>
      <c r="F38" s="666"/>
      <c r="G38" s="666"/>
      <c r="H38" s="666"/>
    </row>
    <row r="39" spans="1:8">
      <c r="A39" s="357"/>
      <c r="B39" s="666"/>
      <c r="C39" s="666"/>
      <c r="D39" s="666"/>
      <c r="E39" s="666"/>
      <c r="F39" s="666"/>
      <c r="G39" s="666"/>
      <c r="H39" s="666"/>
    </row>
    <row r="40" spans="1:8" ht="7.5" customHeight="1">
      <c r="A40" s="357"/>
      <c r="B40" s="358"/>
      <c r="C40" s="358"/>
      <c r="D40" s="358"/>
      <c r="E40" s="358"/>
      <c r="F40" s="358"/>
      <c r="G40" s="358"/>
      <c r="H40" s="358"/>
    </row>
    <row r="41" spans="1:8">
      <c r="A41" s="357"/>
      <c r="B41" s="358" t="s">
        <v>198</v>
      </c>
      <c r="C41" s="358"/>
      <c r="D41" s="358"/>
      <c r="E41" s="358"/>
      <c r="F41" s="358"/>
      <c r="G41" s="358"/>
      <c r="H41" s="358"/>
    </row>
    <row r="42" spans="1:8" ht="7.5" customHeight="1">
      <c r="A42" s="357"/>
      <c r="B42" s="358"/>
      <c r="C42" s="358"/>
      <c r="D42" s="358"/>
      <c r="E42" s="358"/>
      <c r="F42" s="358"/>
      <c r="G42" s="358"/>
      <c r="H42" s="358"/>
    </row>
    <row r="43" spans="1:8">
      <c r="A43" s="356" t="s">
        <v>177</v>
      </c>
      <c r="B43" s="666" t="s">
        <v>199</v>
      </c>
      <c r="C43" s="666"/>
      <c r="D43" s="666"/>
      <c r="E43" s="666"/>
      <c r="F43" s="666"/>
      <c r="G43" s="666"/>
      <c r="H43" s="666"/>
    </row>
    <row r="44" spans="1:8">
      <c r="A44" s="357"/>
      <c r="B44" s="666"/>
      <c r="C44" s="666"/>
      <c r="D44" s="666"/>
      <c r="E44" s="666"/>
      <c r="F44" s="666"/>
      <c r="G44" s="666"/>
      <c r="H44" s="666"/>
    </row>
    <row r="45" spans="1:8">
      <c r="A45" s="357"/>
      <c r="B45" s="666"/>
      <c r="C45" s="666"/>
      <c r="D45" s="666"/>
      <c r="E45" s="666"/>
      <c r="F45" s="666"/>
      <c r="G45" s="666"/>
      <c r="H45" s="666"/>
    </row>
    <row r="46" spans="1:8" ht="7.5" customHeight="1">
      <c r="A46" s="357"/>
      <c r="B46" s="358"/>
      <c r="C46" s="358"/>
      <c r="D46" s="358"/>
      <c r="E46" s="358"/>
      <c r="F46" s="358"/>
      <c r="G46" s="358"/>
      <c r="H46" s="358"/>
    </row>
    <row r="47" spans="1:8" ht="12.75" customHeight="1">
      <c r="A47" s="357"/>
      <c r="B47" s="666" t="s">
        <v>200</v>
      </c>
      <c r="C47" s="666"/>
      <c r="D47" s="666"/>
      <c r="E47" s="666"/>
      <c r="F47" s="666"/>
      <c r="G47" s="666"/>
      <c r="H47" s="666"/>
    </row>
    <row r="48" spans="1:8">
      <c r="A48" s="357"/>
      <c r="B48" s="666"/>
      <c r="C48" s="666"/>
      <c r="D48" s="666"/>
      <c r="E48" s="666"/>
      <c r="F48" s="666"/>
      <c r="G48" s="666"/>
      <c r="H48" s="666"/>
    </row>
    <row r="49" spans="1:8">
      <c r="A49" s="357"/>
      <c r="B49" s="666"/>
      <c r="C49" s="666"/>
      <c r="D49" s="666"/>
      <c r="E49" s="666"/>
      <c r="F49" s="666"/>
      <c r="G49" s="666"/>
      <c r="H49" s="666"/>
    </row>
    <row r="50" spans="1:8">
      <c r="A50" s="357"/>
      <c r="B50" s="666"/>
      <c r="C50" s="666"/>
      <c r="D50" s="666"/>
      <c r="E50" s="666"/>
      <c r="F50" s="666"/>
      <c r="G50" s="666"/>
      <c r="H50" s="666"/>
    </row>
    <row r="51" spans="1:8" ht="7.5" customHeight="1">
      <c r="A51" s="357"/>
      <c r="B51" s="358"/>
      <c r="C51" s="358"/>
      <c r="D51" s="358"/>
      <c r="E51" s="358"/>
      <c r="F51" s="358"/>
      <c r="G51" s="358"/>
      <c r="H51" s="358"/>
    </row>
    <row r="52" spans="1:8">
      <c r="A52" s="357"/>
      <c r="B52" s="665" t="s">
        <v>198</v>
      </c>
      <c r="C52" s="665"/>
      <c r="D52" s="665"/>
      <c r="E52" s="665"/>
      <c r="F52" s="665"/>
      <c r="G52" s="665"/>
      <c r="H52" s="665"/>
    </row>
    <row r="53" spans="1:8" ht="7.5" customHeight="1">
      <c r="A53" s="357"/>
      <c r="B53" s="358"/>
      <c r="C53" s="358"/>
      <c r="D53" s="358"/>
      <c r="E53" s="358"/>
      <c r="F53" s="358"/>
      <c r="G53" s="358"/>
      <c r="H53" s="358"/>
    </row>
    <row r="54" spans="1:8">
      <c r="A54" s="357"/>
      <c r="B54" s="668" t="s">
        <v>201</v>
      </c>
      <c r="C54" s="668"/>
      <c r="D54" s="668"/>
      <c r="E54" s="668"/>
      <c r="F54" s="668"/>
      <c r="G54" s="668"/>
      <c r="H54" s="668"/>
    </row>
    <row r="55" spans="1:8">
      <c r="A55" s="357"/>
      <c r="B55" s="668"/>
      <c r="C55" s="668"/>
      <c r="D55" s="668"/>
      <c r="E55" s="668"/>
      <c r="F55" s="668"/>
      <c r="G55" s="668"/>
      <c r="H55" s="668"/>
    </row>
    <row r="56" spans="1:8" ht="7.5" customHeight="1">
      <c r="A56" s="357"/>
      <c r="B56" s="358"/>
      <c r="C56" s="358"/>
      <c r="D56" s="358"/>
      <c r="E56" s="358"/>
      <c r="F56" s="358"/>
      <c r="G56" s="358"/>
      <c r="H56" s="358"/>
    </row>
    <row r="57" spans="1:8">
      <c r="A57" s="356" t="s">
        <v>157</v>
      </c>
      <c r="B57" s="666" t="s">
        <v>202</v>
      </c>
      <c r="C57" s="666"/>
      <c r="D57" s="666"/>
      <c r="E57" s="666"/>
      <c r="F57" s="666"/>
      <c r="G57" s="666"/>
      <c r="H57" s="666"/>
    </row>
    <row r="58" spans="1:8">
      <c r="A58" s="357"/>
      <c r="B58" s="666"/>
      <c r="C58" s="666"/>
      <c r="D58" s="666"/>
      <c r="E58" s="666"/>
      <c r="F58" s="666"/>
      <c r="G58" s="666"/>
      <c r="H58" s="666"/>
    </row>
    <row r="59" spans="1:8" ht="7.5" customHeight="1">
      <c r="A59" s="357"/>
      <c r="B59" s="358"/>
      <c r="C59" s="358"/>
      <c r="D59" s="358"/>
      <c r="E59" s="358"/>
      <c r="F59" s="358"/>
      <c r="G59" s="358"/>
      <c r="H59" s="358"/>
    </row>
    <row r="60" spans="1:8">
      <c r="A60" s="356" t="s">
        <v>183</v>
      </c>
      <c r="B60" s="666" t="s">
        <v>203</v>
      </c>
      <c r="C60" s="666"/>
      <c r="D60" s="666"/>
      <c r="E60" s="666"/>
      <c r="F60" s="666"/>
      <c r="G60" s="666"/>
      <c r="H60" s="666"/>
    </row>
    <row r="61" spans="1:8">
      <c r="A61" s="357"/>
      <c r="B61" s="666"/>
      <c r="C61" s="666"/>
      <c r="D61" s="666"/>
      <c r="E61" s="666"/>
      <c r="F61" s="666"/>
      <c r="G61" s="666"/>
      <c r="H61" s="666"/>
    </row>
    <row r="62" spans="1:8">
      <c r="A62" s="357"/>
      <c r="B62" s="358"/>
      <c r="C62" s="358"/>
      <c r="D62" s="358"/>
      <c r="E62" s="358"/>
      <c r="F62" s="358"/>
      <c r="G62" s="358"/>
      <c r="H62" s="358"/>
    </row>
    <row r="63" spans="1:8">
      <c r="A63" s="356" t="s">
        <v>204</v>
      </c>
      <c r="B63" s="665" t="s">
        <v>205</v>
      </c>
      <c r="C63" s="665"/>
      <c r="D63" s="665"/>
      <c r="E63" s="665"/>
      <c r="F63" s="665"/>
      <c r="G63" s="665"/>
      <c r="H63" s="665"/>
    </row>
    <row r="64" spans="1:8">
      <c r="A64" s="357"/>
      <c r="B64" s="358"/>
      <c r="C64" s="358"/>
      <c r="D64" s="358"/>
      <c r="E64" s="358"/>
      <c r="F64" s="358"/>
      <c r="G64" s="358"/>
      <c r="H64" s="358"/>
    </row>
    <row r="65" spans="1:8">
      <c r="A65" s="356" t="s">
        <v>190</v>
      </c>
      <c r="B65" s="665" t="s">
        <v>206</v>
      </c>
      <c r="C65" s="665"/>
      <c r="D65" s="665"/>
      <c r="E65" s="665"/>
      <c r="F65" s="665"/>
      <c r="G65" s="665"/>
      <c r="H65" s="665"/>
    </row>
    <row r="66" spans="1:8">
      <c r="A66" s="358"/>
      <c r="B66" s="358"/>
      <c r="C66" s="358"/>
      <c r="D66" s="358"/>
      <c r="E66" s="358"/>
      <c r="F66" s="358"/>
      <c r="G66" s="358"/>
      <c r="H66" s="358"/>
    </row>
    <row r="67" spans="1:8">
      <c r="A67" s="358"/>
      <c r="B67" s="666" t="s">
        <v>207</v>
      </c>
      <c r="C67" s="666"/>
      <c r="D67" s="666"/>
      <c r="E67" s="666"/>
      <c r="F67" s="666"/>
      <c r="G67" s="666"/>
      <c r="H67" s="358"/>
    </row>
    <row r="68" spans="1:8">
      <c r="A68" s="358"/>
      <c r="B68" s="666"/>
      <c r="C68" s="666"/>
      <c r="D68" s="666"/>
      <c r="E68" s="666"/>
      <c r="F68" s="666"/>
      <c r="G68" s="666"/>
      <c r="H68" s="358"/>
    </row>
    <row r="69" spans="1:8">
      <c r="A69" s="358"/>
      <c r="B69" s="666"/>
      <c r="C69" s="666"/>
      <c r="D69" s="666"/>
      <c r="E69" s="666"/>
      <c r="F69" s="666"/>
      <c r="G69" s="666"/>
      <c r="H69" s="358"/>
    </row>
    <row r="70" spans="1:8">
      <c r="A70" s="358"/>
      <c r="B70" s="358"/>
      <c r="C70" s="358"/>
      <c r="D70" s="358"/>
      <c r="E70" s="358"/>
      <c r="F70" s="358"/>
      <c r="G70" s="358"/>
      <c r="H70" s="358"/>
    </row>
    <row r="71" spans="1:8">
      <c r="B71" s="665" t="s">
        <v>208</v>
      </c>
      <c r="C71" s="667"/>
      <c r="D71" s="667"/>
      <c r="E71" s="667"/>
      <c r="F71" s="667"/>
      <c r="G71" s="667"/>
      <c r="H71" s="667"/>
    </row>
    <row r="72" spans="1:8">
      <c r="B72" s="332" t="s">
        <v>209</v>
      </c>
    </row>
  </sheetData>
  <mergeCells count="21">
    <mergeCell ref="B43:H45"/>
    <mergeCell ref="A9:H9"/>
    <mergeCell ref="A10:H10"/>
    <mergeCell ref="A11:H11"/>
    <mergeCell ref="A13:B14"/>
    <mergeCell ref="C13:G13"/>
    <mergeCell ref="H13:H14"/>
    <mergeCell ref="B15:H15"/>
    <mergeCell ref="B24:H24"/>
    <mergeCell ref="B26:H26"/>
    <mergeCell ref="B32:H34"/>
    <mergeCell ref="B36:H39"/>
    <mergeCell ref="B65:H65"/>
    <mergeCell ref="B67:G69"/>
    <mergeCell ref="B71:H71"/>
    <mergeCell ref="B47:H50"/>
    <mergeCell ref="B52:H52"/>
    <mergeCell ref="B54:H55"/>
    <mergeCell ref="B57:H58"/>
    <mergeCell ref="B60:H61"/>
    <mergeCell ref="B63:H63"/>
  </mergeCells>
  <dataValidations count="1">
    <dataValidation allowBlank="1" showInputMessage="1" showErrorMessage="1" promptTitle="Date Format" prompt="E.g:  &quot;August 1, 2011&quot;" sqref="H7"/>
  </dataValidations>
  <pageMargins left="0.75" right="0.75" top="1" bottom="1" header="0.5" footer="0.5"/>
  <pageSetup scale="6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7" sqref="J27"/>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Summary</vt:lpstr>
      <vt:lpstr>Purchased Power Model</vt:lpstr>
      <vt:lpstr>Rate Class Energy Model </vt:lpstr>
      <vt:lpstr>Rate Class Customer Model</vt:lpstr>
      <vt:lpstr>Rate Class Load Model</vt:lpstr>
      <vt:lpstr>CDM Activity</vt:lpstr>
      <vt:lpstr>HDD &amp; CDD</vt:lpstr>
      <vt:lpstr>Regression Senarios</vt:lpstr>
      <vt:lpstr>App.2-R_Loss Factors</vt:lpstr>
      <vt:lpstr>Sheet2</vt:lpstr>
      <vt:lpstr>'App.2-R_Loss Factors'!Print_Area</vt:lpstr>
      <vt:lpstr>'Rate Class Customer Model'!Print_Area</vt:lpstr>
      <vt:lpstr>'Rate Class Energy Model '!Print_Area</vt:lpstr>
      <vt:lpstr>'Rate Class Load Model'!Print_Area</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Bacon</dc:creator>
  <cp:lastModifiedBy>Peter Soules</cp:lastModifiedBy>
  <cp:lastPrinted>2016-07-19T13:48:45Z</cp:lastPrinted>
  <dcterms:created xsi:type="dcterms:W3CDTF">2008-02-06T18:24:44Z</dcterms:created>
  <dcterms:modified xsi:type="dcterms:W3CDTF">2016-10-21T19:48:14Z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