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600" windowHeight="11310"/>
  </bookViews>
  <sheets>
    <sheet name="IFRS Rev Req Adj (2013 BD)" sheetId="5" r:id="rId1"/>
    <sheet name="IFRS Rev Req Adj (2015 BD)" sheetId="6" r:id="rId2"/>
    <sheet name="Board Staff #5" sheetId="7" r:id="rId3"/>
  </sheets>
  <calcPr calcId="145621" concurrentCalc="0"/>
</workbook>
</file>

<file path=xl/calcChain.xml><?xml version="1.0" encoding="utf-8"?>
<calcChain xmlns="http://schemas.openxmlformats.org/spreadsheetml/2006/main">
  <c r="C11" i="7" l="1"/>
  <c r="F13" i="6"/>
  <c r="F12" i="6"/>
  <c r="G12" i="6"/>
  <c r="H12" i="6"/>
  <c r="G13" i="6"/>
  <c r="H13" i="6"/>
  <c r="F14" i="6"/>
  <c r="G14" i="6"/>
  <c r="H14" i="6"/>
  <c r="F15" i="6"/>
  <c r="G15" i="6"/>
  <c r="H15" i="6"/>
  <c r="F16" i="6"/>
  <c r="G16" i="6"/>
  <c r="H16" i="6"/>
  <c r="F17" i="6"/>
  <c r="G17" i="6"/>
  <c r="H17" i="6"/>
  <c r="F18" i="6"/>
  <c r="G18" i="6"/>
  <c r="H18" i="6"/>
  <c r="H19" i="6"/>
  <c r="I13" i="6"/>
  <c r="B26" i="6"/>
  <c r="D26" i="6"/>
  <c r="G26" i="6"/>
  <c r="I26" i="6"/>
  <c r="B11" i="7"/>
  <c r="D11" i="7"/>
  <c r="J11" i="7"/>
  <c r="L11" i="7"/>
  <c r="G11" i="7"/>
  <c r="J13" i="6"/>
  <c r="C26" i="6"/>
  <c r="E26" i="6"/>
  <c r="H26" i="6"/>
  <c r="J26" i="6"/>
  <c r="F11" i="7"/>
  <c r="H11" i="7"/>
  <c r="K11" i="7"/>
  <c r="M11" i="7"/>
  <c r="G10" i="7"/>
  <c r="F10" i="7"/>
  <c r="H10" i="7"/>
  <c r="K10" i="7"/>
  <c r="M10" i="7"/>
  <c r="G12" i="7"/>
  <c r="J14" i="6"/>
  <c r="C27" i="6"/>
  <c r="E27" i="6"/>
  <c r="H27" i="6"/>
  <c r="J27" i="6"/>
  <c r="F12" i="7"/>
  <c r="H12" i="7"/>
  <c r="K12" i="7"/>
  <c r="M12" i="7"/>
  <c r="G13" i="7"/>
  <c r="J15" i="6"/>
  <c r="C28" i="6"/>
  <c r="E28" i="6"/>
  <c r="H28" i="6"/>
  <c r="J28" i="6"/>
  <c r="F13" i="7"/>
  <c r="H13" i="7"/>
  <c r="K13" i="7"/>
  <c r="M13" i="7"/>
  <c r="G14" i="7"/>
  <c r="J16" i="6"/>
  <c r="C29" i="6"/>
  <c r="E29" i="6"/>
  <c r="H29" i="6"/>
  <c r="J29" i="6"/>
  <c r="F14" i="7"/>
  <c r="H14" i="7"/>
  <c r="K14" i="7"/>
  <c r="M14" i="7"/>
  <c r="G15" i="7"/>
  <c r="J17" i="6"/>
  <c r="C30" i="6"/>
  <c r="E30" i="6"/>
  <c r="H30" i="6"/>
  <c r="J30" i="6"/>
  <c r="F15" i="7"/>
  <c r="H15" i="7"/>
  <c r="K15" i="7"/>
  <c r="M15" i="7"/>
  <c r="G16" i="7"/>
  <c r="J18" i="6"/>
  <c r="C31" i="6"/>
  <c r="E31" i="6"/>
  <c r="H31" i="6"/>
  <c r="J31" i="6"/>
  <c r="F16" i="7"/>
  <c r="H16" i="7"/>
  <c r="K16" i="7"/>
  <c r="M16" i="7"/>
  <c r="M17" i="7"/>
  <c r="C12" i="7"/>
  <c r="I14" i="6"/>
  <c r="B27" i="6"/>
  <c r="D27" i="6"/>
  <c r="G27" i="6"/>
  <c r="I27" i="6"/>
  <c r="B12" i="7"/>
  <c r="D12" i="7"/>
  <c r="J12" i="7"/>
  <c r="L12" i="7"/>
  <c r="C13" i="7"/>
  <c r="I15" i="6"/>
  <c r="B28" i="6"/>
  <c r="D28" i="6"/>
  <c r="G28" i="6"/>
  <c r="I28" i="6"/>
  <c r="B13" i="7"/>
  <c r="D13" i="7"/>
  <c r="J13" i="7"/>
  <c r="L13" i="7"/>
  <c r="C14" i="7"/>
  <c r="I16" i="6"/>
  <c r="B29" i="6"/>
  <c r="D29" i="6"/>
  <c r="G29" i="6"/>
  <c r="I29" i="6"/>
  <c r="B14" i="7"/>
  <c r="D14" i="7"/>
  <c r="J14" i="7"/>
  <c r="L14" i="7"/>
  <c r="C15" i="7"/>
  <c r="I17" i="6"/>
  <c r="B30" i="6"/>
  <c r="D30" i="6"/>
  <c r="G30" i="6"/>
  <c r="I30" i="6"/>
  <c r="B15" i="7"/>
  <c r="D15" i="7"/>
  <c r="J15" i="7"/>
  <c r="L15" i="7"/>
  <c r="C16" i="7"/>
  <c r="I18" i="6"/>
  <c r="B31" i="6"/>
  <c r="D31" i="6"/>
  <c r="G31" i="6"/>
  <c r="I31" i="6"/>
  <c r="B16" i="7"/>
  <c r="D16" i="7"/>
  <c r="J16" i="7"/>
  <c r="L16" i="7"/>
  <c r="C10" i="7"/>
  <c r="I12" i="6"/>
  <c r="B25" i="6"/>
  <c r="D25" i="6"/>
  <c r="J12" i="6"/>
  <c r="C25" i="6"/>
  <c r="E25" i="6"/>
  <c r="F25" i="6"/>
  <c r="G25" i="6"/>
  <c r="I25" i="6"/>
  <c r="B10" i="7"/>
  <c r="D10" i="7"/>
  <c r="J10" i="7"/>
  <c r="L10" i="7"/>
  <c r="N10" i="7"/>
  <c r="N16" i="7"/>
  <c r="N12" i="7"/>
  <c r="N15" i="7"/>
  <c r="N11" i="7"/>
  <c r="N13" i="7"/>
  <c r="N14" i="7"/>
  <c r="N17" i="7"/>
  <c r="L17" i="7"/>
  <c r="I11" i="7"/>
  <c r="I12" i="7"/>
  <c r="I13" i="7"/>
  <c r="I14" i="7"/>
  <c r="I15" i="7"/>
  <c r="I16" i="7"/>
  <c r="E11" i="7"/>
  <c r="E12" i="7"/>
  <c r="E13" i="7"/>
  <c r="E14" i="7"/>
  <c r="E15" i="7"/>
  <c r="E16" i="7"/>
  <c r="E10" i="7"/>
  <c r="E41" i="6"/>
  <c r="G41" i="6"/>
  <c r="I41" i="6"/>
  <c r="B50" i="6"/>
  <c r="D50" i="6"/>
  <c r="B51" i="6"/>
  <c r="D51" i="6"/>
  <c r="D52" i="6"/>
  <c r="E50" i="6"/>
  <c r="F50" i="6"/>
  <c r="H50" i="6"/>
  <c r="I50" i="6"/>
  <c r="D39" i="6"/>
  <c r="F39" i="6"/>
  <c r="J50" i="6"/>
  <c r="H51" i="6"/>
  <c r="I51" i="6"/>
  <c r="J51" i="6"/>
  <c r="J52" i="6"/>
  <c r="K51" i="6"/>
  <c r="E51" i="6"/>
  <c r="K50" i="6"/>
  <c r="G50" i="6"/>
  <c r="H39" i="6"/>
  <c r="G39" i="6"/>
  <c r="I39" i="6"/>
  <c r="J39" i="6"/>
  <c r="D40" i="6"/>
  <c r="F40" i="6"/>
  <c r="H40" i="6"/>
  <c r="E40" i="6"/>
  <c r="G40" i="6"/>
  <c r="I40" i="6"/>
  <c r="J40" i="6"/>
  <c r="D41" i="6"/>
  <c r="F41" i="6"/>
  <c r="H41" i="6"/>
  <c r="J41" i="6"/>
  <c r="D42" i="6"/>
  <c r="F42" i="6"/>
  <c r="H42" i="6"/>
  <c r="E42" i="6"/>
  <c r="G42" i="6"/>
  <c r="I42" i="6"/>
  <c r="J42" i="6"/>
  <c r="D43" i="6"/>
  <c r="F43" i="6"/>
  <c r="H43" i="6"/>
  <c r="E43" i="6"/>
  <c r="G43" i="6"/>
  <c r="I43" i="6"/>
  <c r="J43" i="6"/>
  <c r="D44" i="6"/>
  <c r="F44" i="6"/>
  <c r="H44" i="6"/>
  <c r="E44" i="6"/>
  <c r="G44" i="6"/>
  <c r="I44" i="6"/>
  <c r="J44" i="6"/>
  <c r="D45" i="6"/>
  <c r="F45" i="6"/>
  <c r="H45" i="6"/>
  <c r="E45" i="6"/>
  <c r="G45" i="6"/>
  <c r="I45" i="6"/>
  <c r="J45" i="6"/>
  <c r="J46" i="6"/>
  <c r="I46" i="6"/>
  <c r="H46" i="6"/>
  <c r="E39" i="6"/>
  <c r="C37" i="6"/>
  <c r="G37" i="6"/>
  <c r="B37" i="6"/>
  <c r="F37" i="6"/>
  <c r="H25" i="6"/>
  <c r="H32" i="6"/>
  <c r="G32" i="6"/>
  <c r="F26" i="6"/>
  <c r="F27" i="6"/>
  <c r="F28" i="6"/>
  <c r="F29" i="6"/>
  <c r="F30" i="6"/>
  <c r="F31" i="6"/>
  <c r="F32" i="6"/>
  <c r="E32" i="6"/>
  <c r="D32" i="6"/>
  <c r="C32" i="6"/>
  <c r="B32" i="6"/>
  <c r="H23" i="6"/>
  <c r="G23" i="6"/>
  <c r="C23" i="6"/>
  <c r="B23" i="6"/>
  <c r="K12" i="6"/>
  <c r="K13" i="6"/>
  <c r="K14" i="6"/>
  <c r="K15" i="6"/>
  <c r="K16" i="6"/>
  <c r="K17" i="6"/>
  <c r="K18" i="6"/>
  <c r="K19" i="6"/>
  <c r="J19" i="6"/>
  <c r="I19" i="6"/>
  <c r="G19" i="6"/>
  <c r="F19" i="6"/>
  <c r="E19" i="6"/>
  <c r="D19" i="6"/>
  <c r="B50" i="5"/>
  <c r="D50" i="5"/>
  <c r="B51" i="5"/>
  <c r="D51" i="5"/>
  <c r="D52" i="5"/>
  <c r="E50" i="5"/>
  <c r="F50" i="5"/>
  <c r="H50" i="5"/>
  <c r="I50" i="5"/>
  <c r="F12" i="5"/>
  <c r="G12" i="5"/>
  <c r="H12" i="5"/>
  <c r="F13" i="5"/>
  <c r="G13" i="5"/>
  <c r="H13" i="5"/>
  <c r="F14" i="5"/>
  <c r="G14" i="5"/>
  <c r="H14" i="5"/>
  <c r="F15" i="5"/>
  <c r="G15" i="5"/>
  <c r="H15" i="5"/>
  <c r="F16" i="5"/>
  <c r="G16" i="5"/>
  <c r="H16" i="5"/>
  <c r="F17" i="5"/>
  <c r="G17" i="5"/>
  <c r="H17" i="5"/>
  <c r="F18" i="5"/>
  <c r="G18" i="5"/>
  <c r="H18" i="5"/>
  <c r="H19" i="5"/>
  <c r="I12" i="5"/>
  <c r="B25" i="5"/>
  <c r="D25" i="5"/>
  <c r="J12" i="5"/>
  <c r="C25" i="5"/>
  <c r="E25" i="5"/>
  <c r="F25" i="5"/>
  <c r="G25" i="5"/>
  <c r="I25" i="5"/>
  <c r="D39" i="5"/>
  <c r="F39" i="5"/>
  <c r="H39" i="5"/>
  <c r="H51" i="5"/>
  <c r="I51" i="5"/>
  <c r="G39" i="5"/>
  <c r="I39" i="5"/>
  <c r="J39" i="5"/>
  <c r="I13" i="5"/>
  <c r="B26" i="5"/>
  <c r="D26" i="5"/>
  <c r="G26" i="5"/>
  <c r="I26" i="5"/>
  <c r="D40" i="5"/>
  <c r="F40" i="5"/>
  <c r="H40" i="5"/>
  <c r="J13" i="5"/>
  <c r="C26" i="5"/>
  <c r="E26" i="5"/>
  <c r="H26" i="5"/>
  <c r="J26" i="5"/>
  <c r="E40" i="5"/>
  <c r="G40" i="5"/>
  <c r="I40" i="5"/>
  <c r="J40" i="5"/>
  <c r="I14" i="5"/>
  <c r="B27" i="5"/>
  <c r="D27" i="5"/>
  <c r="G27" i="5"/>
  <c r="I27" i="5"/>
  <c r="D41" i="5"/>
  <c r="F41" i="5"/>
  <c r="H41" i="5"/>
  <c r="J14" i="5"/>
  <c r="C27" i="5"/>
  <c r="E27" i="5"/>
  <c r="H27" i="5"/>
  <c r="J27" i="5"/>
  <c r="E41" i="5"/>
  <c r="G41" i="5"/>
  <c r="I41" i="5"/>
  <c r="J41" i="5"/>
  <c r="I15" i="5"/>
  <c r="B28" i="5"/>
  <c r="D28" i="5"/>
  <c r="G28" i="5"/>
  <c r="I28" i="5"/>
  <c r="D42" i="5"/>
  <c r="F42" i="5"/>
  <c r="H42" i="5"/>
  <c r="J15" i="5"/>
  <c r="C28" i="5"/>
  <c r="E28" i="5"/>
  <c r="H28" i="5"/>
  <c r="J28" i="5"/>
  <c r="E42" i="5"/>
  <c r="G42" i="5"/>
  <c r="I42" i="5"/>
  <c r="J42" i="5"/>
  <c r="I16" i="5"/>
  <c r="B29" i="5"/>
  <c r="D29" i="5"/>
  <c r="G29" i="5"/>
  <c r="I29" i="5"/>
  <c r="D43" i="5"/>
  <c r="F43" i="5"/>
  <c r="H43" i="5"/>
  <c r="J16" i="5"/>
  <c r="C29" i="5"/>
  <c r="E29" i="5"/>
  <c r="H29" i="5"/>
  <c r="J29" i="5"/>
  <c r="E43" i="5"/>
  <c r="G43" i="5"/>
  <c r="I43" i="5"/>
  <c r="J43" i="5"/>
  <c r="I17" i="5"/>
  <c r="B30" i="5"/>
  <c r="D30" i="5"/>
  <c r="G30" i="5"/>
  <c r="I30" i="5"/>
  <c r="D44" i="5"/>
  <c r="F44" i="5"/>
  <c r="H44" i="5"/>
  <c r="J17" i="5"/>
  <c r="C30" i="5"/>
  <c r="E30" i="5"/>
  <c r="H30" i="5"/>
  <c r="J30" i="5"/>
  <c r="E44" i="5"/>
  <c r="G44" i="5"/>
  <c r="I44" i="5"/>
  <c r="J44" i="5"/>
  <c r="I18" i="5"/>
  <c r="B31" i="5"/>
  <c r="D31" i="5"/>
  <c r="G31" i="5"/>
  <c r="I31" i="5"/>
  <c r="D45" i="5"/>
  <c r="F45" i="5"/>
  <c r="H45" i="5"/>
  <c r="J18" i="5"/>
  <c r="C31" i="5"/>
  <c r="E31" i="5"/>
  <c r="H31" i="5"/>
  <c r="J31" i="5"/>
  <c r="E45" i="5"/>
  <c r="G45" i="5"/>
  <c r="I45" i="5"/>
  <c r="J45" i="5"/>
  <c r="J46" i="5"/>
  <c r="I46" i="5"/>
  <c r="H46" i="5"/>
  <c r="E39" i="5"/>
  <c r="C37" i="5"/>
  <c r="G37" i="5"/>
  <c r="B37" i="5"/>
  <c r="F37" i="5"/>
  <c r="G23" i="5"/>
  <c r="H23" i="5"/>
  <c r="C23" i="5"/>
  <c r="B23" i="5"/>
  <c r="K50" i="5"/>
  <c r="K51" i="5"/>
  <c r="K12" i="5"/>
  <c r="K13" i="5"/>
  <c r="K14" i="5"/>
  <c r="K15" i="5"/>
  <c r="K16" i="5"/>
  <c r="K17" i="5"/>
  <c r="K18" i="5"/>
  <c r="D19" i="5"/>
  <c r="E19" i="5"/>
  <c r="F19" i="5"/>
  <c r="G19" i="5"/>
  <c r="I19" i="5"/>
  <c r="J19" i="5"/>
  <c r="K19" i="5"/>
  <c r="F31" i="5"/>
  <c r="F30" i="5"/>
  <c r="F29" i="5"/>
  <c r="F28" i="5"/>
  <c r="F27" i="5"/>
  <c r="F26" i="5"/>
  <c r="J50" i="5"/>
  <c r="J51" i="5"/>
  <c r="J52" i="5"/>
  <c r="E51" i="5"/>
  <c r="G50" i="5"/>
  <c r="H25" i="5"/>
  <c r="H32" i="5"/>
  <c r="G32" i="5"/>
  <c r="F32" i="5"/>
  <c r="E32" i="5"/>
  <c r="D32" i="5"/>
  <c r="C32" i="5"/>
  <c r="B32" i="5"/>
</calcChain>
</file>

<file path=xl/sharedStrings.xml><?xml version="1.0" encoding="utf-8"?>
<sst xmlns="http://schemas.openxmlformats.org/spreadsheetml/2006/main" count="219" uniqueCount="88">
  <si>
    <t>Rate Class</t>
  </si>
  <si>
    <t>RESIDENTIAL</t>
  </si>
  <si>
    <t>GENERAL SERVICE LESS THAN 50 KW</t>
  </si>
  <si>
    <t>GENERAL SERVICE 50 TO 499 KW</t>
  </si>
  <si>
    <t>GENERAL SERVICE 500 TO 4,999 KW</t>
  </si>
  <si>
    <t>LARGE USE</t>
  </si>
  <si>
    <t>UNMETERED SCATTERED LOAD</t>
  </si>
  <si>
    <t>STREET LIGHTING</t>
  </si>
  <si>
    <t>Total</t>
  </si>
  <si>
    <t>Total % Revenue</t>
  </si>
  <si>
    <t>A</t>
  </si>
  <si>
    <t>B</t>
  </si>
  <si>
    <t>D</t>
  </si>
  <si>
    <t>E</t>
  </si>
  <si>
    <t>FORMULAS</t>
  </si>
  <si>
    <t>FROM TABLE 2</t>
  </si>
  <si>
    <t>2016 Board Approved Tariff</t>
  </si>
  <si>
    <t>Fixed</t>
  </si>
  <si>
    <t>Variable</t>
  </si>
  <si>
    <t>Current Rates</t>
  </si>
  <si>
    <t>2013 COS BD</t>
  </si>
  <si>
    <t>Revenue From Rates</t>
  </si>
  <si>
    <t>Current F/V Split</t>
  </si>
  <si>
    <t>Decoupling Split</t>
  </si>
  <si>
    <t>Incremental Fixed Charge ($/month/year)</t>
  </si>
  <si>
    <t>New F/V Split</t>
  </si>
  <si>
    <t>Adjusted Rates</t>
  </si>
  <si>
    <t xml:space="preserve">Revenue at New F/V Split </t>
  </si>
  <si>
    <t>2013 COS Billing Determinants</t>
  </si>
  <si>
    <t>2013 Board Approved Tariff</t>
  </si>
  <si>
    <t>Volumetric</t>
  </si>
  <si>
    <t>E / J / 12</t>
  </si>
  <si>
    <t>F / K</t>
  </si>
  <si>
    <t>Annual Rate Increase (1.95%)</t>
  </si>
  <si>
    <t>TABLE 1: CALCULATION OF REVENUE PROPORTIONS:</t>
  </si>
  <si>
    <t>FROM TABLE 1</t>
  </si>
  <si>
    <t>Revenue Requirement Adjustment</t>
  </si>
  <si>
    <t>Customers or Connections</t>
  </si>
  <si>
    <t>Fixed Revenue</t>
  </si>
  <si>
    <t>Volumetric Revenue</t>
  </si>
  <si>
    <t>Total Revenue</t>
  </si>
  <si>
    <t>Total IFRS Adjustment</t>
  </si>
  <si>
    <t>Monthly Fixed Charge</t>
  </si>
  <si>
    <t>Volumetric Charge</t>
  </si>
  <si>
    <t xml:space="preserve">Volumetric Charge % Total Revenue </t>
  </si>
  <si>
    <t>Fixed Charge 
% Total Revenue</t>
  </si>
  <si>
    <t>kWh/kW</t>
  </si>
  <si>
    <t>F = A * D *12</t>
  </si>
  <si>
    <t>G = B * E</t>
  </si>
  <si>
    <t>H = F + G</t>
  </si>
  <si>
    <r>
      <t>I = F / H</t>
    </r>
    <r>
      <rPr>
        <b/>
        <vertAlign val="subscript"/>
        <sz val="12"/>
        <rFont val="Calibri"/>
        <family val="2"/>
        <scheme val="minor"/>
      </rPr>
      <t>total</t>
    </r>
  </si>
  <si>
    <r>
      <t>J = G / H</t>
    </r>
    <r>
      <rPr>
        <b/>
        <vertAlign val="subscript"/>
        <sz val="12"/>
        <rFont val="Calibri"/>
        <family val="2"/>
        <scheme val="minor"/>
      </rPr>
      <t>total</t>
    </r>
  </si>
  <si>
    <r>
      <t>K = H / H</t>
    </r>
    <r>
      <rPr>
        <b/>
        <vertAlign val="subscript"/>
        <sz val="12"/>
        <rFont val="Calibri"/>
        <family val="2"/>
        <scheme val="minor"/>
      </rPr>
      <t>total</t>
    </r>
  </si>
  <si>
    <t>TABLE 2: ALLOCATION OF PROPOSED IFRS REVENUE REQUIREMENT ADJUSTMENT BY CLASS:</t>
  </si>
  <si>
    <t>IFRS Adjustment  Fixed</t>
  </si>
  <si>
    <t>IFRS Adjustment  Volumetric</t>
  </si>
  <si>
    <t>Fixed Charge Adjustment</t>
  </si>
  <si>
    <t>Volumetric Charge Adjustment</t>
  </si>
  <si>
    <t>TABLE 3: PROPOSED 2017 BASE DISTRIBUTION RATES BY CLASS</t>
  </si>
  <si>
    <t>IFRS Adjustment Charge</t>
  </si>
  <si>
    <t>Revenue Test</t>
  </si>
  <si>
    <t>Proposed 2017 Rates @1.95%</t>
  </si>
  <si>
    <t>TABLE 4: RATE DESIGN TRANSITION:</t>
  </si>
  <si>
    <t>2015 Board Approved Tariff</t>
  </si>
  <si>
    <t>2015 COS Billing Determinants</t>
  </si>
  <si>
    <t>EB-2016-0002</t>
  </si>
  <si>
    <t>2017 Price Cap IR</t>
  </si>
  <si>
    <t>Interrogatory Responses</t>
  </si>
  <si>
    <t>1-Staff-5</t>
  </si>
  <si>
    <t>Difference</t>
  </si>
  <si>
    <t>Fixed Charge Adjustment 
(2013 Billing Determinants)</t>
  </si>
  <si>
    <t>Fixed Charge Adjustment 
(2015 Billing Determinants)</t>
  </si>
  <si>
    <t>Volumetric Charge Adjustment 
(2013 Billing Determinants)</t>
  </si>
  <si>
    <t>Volumetric Charge Adjustment 
(2015 Billing Determinants)</t>
  </si>
  <si>
    <t>%</t>
  </si>
  <si>
    <t>2015 Fixed Billing Determinants</t>
  </si>
  <si>
    <t>2015 Variable Billing Determinants</t>
  </si>
  <si>
    <t>Change in Fixed Revenue</t>
  </si>
  <si>
    <t>Change in Variable Revenue</t>
  </si>
  <si>
    <t>Change in Total Base Distribution Revenue</t>
  </si>
  <si>
    <t>TOTAL</t>
  </si>
  <si>
    <t>Enersource Hydro Mississauga Inc.</t>
  </si>
  <si>
    <t>Filed: October 24, 2016</t>
  </si>
  <si>
    <t>Page 1 of 3</t>
  </si>
  <si>
    <t>Enersource Hydro Mississauga Inc.
EB-2016-0002</t>
  </si>
  <si>
    <t>2017 Price Cap IR
Interrogatory Responses</t>
  </si>
  <si>
    <t>1-Staff-5
Filed: October 24, 2016
Page 2 of 3</t>
  </si>
  <si>
    <t>Page 3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</si>
</sst>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000_-;\-* #,##0.0000_-;_-* &quot;-&quot;??_-;_-@_-"/>
    <numFmt numFmtId="165" formatCode="_-* #,##0_-;\-* #,##0_-;_-* &quot;-&quot;??_-;_-@_-"/>
    <numFmt numFmtId="166" formatCode="0.0%"/>
    <numFmt numFmtId="167" formatCode="_-* #,##0.0000_-;* \(#,##0.0000\)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vertAlign val="subscript"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165" fontId="0" fillId="0" borderId="0" xfId="1" applyNumberFormat="1" applyFont="1"/>
    <xf numFmtId="165" fontId="0" fillId="0" borderId="0" xfId="0" applyNumberFormat="1"/>
    <xf numFmtId="0" fontId="0" fillId="0" borderId="0" xfId="0" applyFont="1"/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center" wrapText="1"/>
    </xf>
    <xf numFmtId="43" fontId="0" fillId="0" borderId="4" xfId="1" applyFont="1" applyBorder="1"/>
    <xf numFmtId="165" fontId="0" fillId="0" borderId="4" xfId="1" applyNumberFormat="1" applyFont="1" applyBorder="1"/>
    <xf numFmtId="165" fontId="0" fillId="0" borderId="0" xfId="1" applyNumberFormat="1" applyFont="1" applyBorder="1"/>
    <xf numFmtId="43" fontId="0" fillId="0" borderId="2" xfId="1" applyFont="1" applyBorder="1"/>
    <xf numFmtId="164" fontId="0" fillId="0" borderId="2" xfId="1" applyNumberFormat="1" applyFont="1" applyBorder="1"/>
    <xf numFmtId="165" fontId="0" fillId="0" borderId="2" xfId="1" applyNumberFormat="1" applyFont="1" applyBorder="1"/>
    <xf numFmtId="165" fontId="0" fillId="0" borderId="2" xfId="0" applyNumberFormat="1" applyBorder="1"/>
    <xf numFmtId="10" fontId="0" fillId="0" borderId="2" xfId="2" applyNumberFormat="1" applyFont="1" applyBorder="1"/>
    <xf numFmtId="43" fontId="2" fillId="0" borderId="2" xfId="1" applyFont="1" applyBorder="1"/>
    <xf numFmtId="164" fontId="2" fillId="0" borderId="2" xfId="1" applyNumberFormat="1" applyFont="1" applyBorder="1"/>
    <xf numFmtId="165" fontId="2" fillId="0" borderId="2" xfId="0" applyNumberFormat="1" applyFont="1" applyBorder="1"/>
    <xf numFmtId="165" fontId="2" fillId="0" borderId="2" xfId="1" applyNumberFormat="1" applyFont="1" applyBorder="1"/>
    <xf numFmtId="10" fontId="2" fillId="0" borderId="2" xfId="2" applyNumberFormat="1" applyFont="1" applyBorder="1"/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6" fillId="0" borderId="0" xfId="0" applyFont="1"/>
    <xf numFmtId="10" fontId="0" fillId="0" borderId="2" xfId="1" applyNumberFormat="1" applyFont="1" applyBorder="1"/>
    <xf numFmtId="0" fontId="0" fillId="0" borderId="7" xfId="0" applyBorder="1"/>
    <xf numFmtId="43" fontId="0" fillId="0" borderId="1" xfId="1" applyFont="1" applyBorder="1"/>
    <xf numFmtId="167" fontId="0" fillId="0" borderId="2" xfId="1" applyNumberFormat="1" applyFont="1" applyBorder="1"/>
    <xf numFmtId="43" fontId="0" fillId="0" borderId="4" xfId="0" applyNumberFormat="1" applyBorder="1"/>
    <xf numFmtId="166" fontId="0" fillId="0" borderId="4" xfId="2" applyNumberFormat="1" applyFont="1" applyBorder="1"/>
    <xf numFmtId="166" fontId="0" fillId="0" borderId="4" xfId="0" applyNumberFormat="1" applyBorder="1"/>
    <xf numFmtId="43" fontId="0" fillId="0" borderId="8" xfId="0" applyNumberFormat="1" applyBorder="1"/>
    <xf numFmtId="0" fontId="0" fillId="0" borderId="9" xfId="0" applyBorder="1"/>
    <xf numFmtId="164" fontId="0" fillId="0" borderId="0" xfId="0" applyNumberFormat="1" applyBorder="1"/>
    <xf numFmtId="166" fontId="0" fillId="0" borderId="0" xfId="2" applyNumberFormat="1" applyFont="1" applyBorder="1"/>
    <xf numFmtId="166" fontId="0" fillId="0" borderId="0" xfId="0" applyNumberFormat="1" applyBorder="1"/>
    <xf numFmtId="164" fontId="0" fillId="0" borderId="10" xfId="0" applyNumberFormat="1" applyBorder="1"/>
    <xf numFmtId="0" fontId="0" fillId="0" borderId="11" xfId="0" applyBorder="1"/>
    <xf numFmtId="0" fontId="0" fillId="0" borderId="12" xfId="0" applyBorder="1"/>
    <xf numFmtId="43" fontId="2" fillId="0" borderId="1" xfId="0" applyNumberFormat="1" applyFont="1" applyBorder="1"/>
    <xf numFmtId="165" fontId="0" fillId="0" borderId="0" xfId="0" applyNumberFormat="1" applyBorder="1"/>
    <xf numFmtId="43" fontId="0" fillId="0" borderId="0" xfId="0" applyNumberFormat="1"/>
    <xf numFmtId="166" fontId="0" fillId="0" borderId="0" xfId="2" applyNumberFormat="1" applyFont="1"/>
    <xf numFmtId="0" fontId="2" fillId="0" borderId="5" xfId="0" applyFont="1" applyBorder="1"/>
    <xf numFmtId="165" fontId="2" fillId="0" borderId="6" xfId="1" applyNumberFormat="1" applyFont="1" applyBorder="1"/>
    <xf numFmtId="164" fontId="0" fillId="0" borderId="0" xfId="0" applyNumberFormat="1"/>
    <xf numFmtId="0" fontId="8" fillId="0" borderId="0" xfId="0" applyFont="1"/>
    <xf numFmtId="0" fontId="5" fillId="0" borderId="13" xfId="0" applyFont="1" applyBorder="1" applyAlignment="1" applyProtection="1">
      <alignment horizontal="center" vertical="center" wrapText="1"/>
    </xf>
    <xf numFmtId="0" fontId="0" fillId="0" borderId="5" xfId="0" applyBorder="1"/>
    <xf numFmtId="0" fontId="5" fillId="3" borderId="13" xfId="0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left" vertical="center" wrapText="1"/>
    </xf>
    <xf numFmtId="167" fontId="0" fillId="0" borderId="3" xfId="1" applyNumberFormat="1" applyFont="1" applyBorder="1"/>
    <xf numFmtId="167" fontId="0" fillId="3" borderId="3" xfId="1" applyNumberFormat="1" applyFont="1" applyFill="1" applyBorder="1"/>
    <xf numFmtId="167" fontId="0" fillId="0" borderId="6" xfId="1" applyNumberFormat="1" applyFont="1" applyBorder="1"/>
    <xf numFmtId="10" fontId="0" fillId="3" borderId="3" xfId="2" applyNumberFormat="1" applyFont="1" applyFill="1" applyBorder="1"/>
    <xf numFmtId="165" fontId="0" fillId="0" borderId="3" xfId="1" applyNumberFormat="1" applyFont="1" applyBorder="1"/>
    <xf numFmtId="165" fontId="2" fillId="0" borderId="3" xfId="1" applyNumberFormat="1" applyFont="1" applyBorder="1"/>
    <xf numFmtId="0" fontId="5" fillId="3" borderId="7" xfId="0" applyFont="1" applyFill="1" applyBorder="1" applyAlignment="1" applyProtection="1">
      <alignment horizontal="center" vertical="center" wrapText="1"/>
    </xf>
    <xf numFmtId="165" fontId="0" fillId="0" borderId="14" xfId="1" applyNumberFormat="1" applyFont="1" applyBorder="1"/>
    <xf numFmtId="0" fontId="5" fillId="3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/>
    <xf numFmtId="0" fontId="5" fillId="0" borderId="3" xfId="0" applyFont="1" applyFill="1" applyBorder="1" applyAlignment="1" applyProtection="1">
      <alignment horizontal="center" vertical="center" wrapText="1"/>
    </xf>
    <xf numFmtId="165" fontId="0" fillId="3" borderId="14" xfId="1" applyNumberFormat="1" applyFont="1" applyFill="1" applyBorder="1"/>
    <xf numFmtId="165" fontId="0" fillId="3" borderId="3" xfId="1" applyNumberFormat="1" applyFont="1" applyFill="1" applyBorder="1"/>
    <xf numFmtId="165" fontId="2" fillId="3" borderId="3" xfId="1" applyNumberFormat="1" applyFont="1" applyFill="1" applyBorder="1"/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Font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showGridLines="0" tabSelected="1" zoomScale="90" zoomScaleNormal="90" workbookViewId="0">
      <selection activeCell="A4" sqref="A4"/>
    </sheetView>
  </sheetViews>
  <sheetFormatPr defaultRowHeight="15" x14ac:dyDescent="0.25"/>
  <cols>
    <col min="1" max="1" width="36" customWidth="1"/>
    <col min="2" max="2" width="20.28515625" customWidth="1"/>
    <col min="3" max="3" width="18.7109375" customWidth="1"/>
    <col min="4" max="4" width="20.140625" customWidth="1"/>
    <col min="5" max="5" width="19.85546875" customWidth="1"/>
    <col min="6" max="15" width="18.7109375" customWidth="1"/>
    <col min="16" max="16" width="16.42578125" customWidth="1"/>
  </cols>
  <sheetData>
    <row r="1" spans="1:11" ht="15.75" x14ac:dyDescent="0.25">
      <c r="A1" s="27"/>
      <c r="K1" s="72" t="s">
        <v>81</v>
      </c>
    </row>
    <row r="2" spans="1:11" ht="15.75" x14ac:dyDescent="0.25">
      <c r="A2" s="27"/>
      <c r="K2" s="72" t="s">
        <v>65</v>
      </c>
    </row>
    <row r="3" spans="1:11" ht="15.75" x14ac:dyDescent="0.25">
      <c r="A3" s="27"/>
      <c r="K3" s="72" t="s">
        <v>66</v>
      </c>
    </row>
    <row r="4" spans="1:11" x14ac:dyDescent="0.25">
      <c r="K4" s="72" t="s">
        <v>67</v>
      </c>
    </row>
    <row r="5" spans="1:11" x14ac:dyDescent="0.25">
      <c r="A5" s="47" t="s">
        <v>36</v>
      </c>
      <c r="B5" s="48">
        <v>4108820</v>
      </c>
      <c r="K5" s="72" t="s">
        <v>68</v>
      </c>
    </row>
    <row r="6" spans="1:11" x14ac:dyDescent="0.25">
      <c r="K6" s="72" t="s">
        <v>82</v>
      </c>
    </row>
    <row r="7" spans="1:11" x14ac:dyDescent="0.25">
      <c r="A7" s="4" t="s">
        <v>34</v>
      </c>
      <c r="K7" s="72" t="s">
        <v>83</v>
      </c>
    </row>
    <row r="8" spans="1:11" x14ac:dyDescent="0.25">
      <c r="A8" s="4"/>
    </row>
    <row r="9" spans="1:11" ht="18.75" x14ac:dyDescent="0.25">
      <c r="B9" s="69" t="s">
        <v>29</v>
      </c>
      <c r="C9" s="70"/>
      <c r="D9" s="69" t="s">
        <v>28</v>
      </c>
      <c r="E9" s="71"/>
    </row>
    <row r="10" spans="1:11" s="9" customFormat="1" ht="30" x14ac:dyDescent="0.25">
      <c r="A10" s="25" t="s">
        <v>0</v>
      </c>
      <c r="B10" s="26" t="s">
        <v>42</v>
      </c>
      <c r="C10" s="26" t="s">
        <v>43</v>
      </c>
      <c r="D10" s="26" t="s">
        <v>37</v>
      </c>
      <c r="E10" s="26" t="s">
        <v>46</v>
      </c>
      <c r="F10" s="26" t="s">
        <v>38</v>
      </c>
      <c r="G10" s="26" t="s">
        <v>39</v>
      </c>
      <c r="H10" s="26" t="s">
        <v>40</v>
      </c>
      <c r="I10" s="26" t="s">
        <v>45</v>
      </c>
      <c r="J10" s="26" t="s">
        <v>44</v>
      </c>
      <c r="K10" s="26" t="s">
        <v>9</v>
      </c>
    </row>
    <row r="11" spans="1:11" ht="18.75" x14ac:dyDescent="0.35">
      <c r="A11" s="10" t="s">
        <v>14</v>
      </c>
      <c r="B11" s="11" t="s">
        <v>10</v>
      </c>
      <c r="C11" s="11" t="s">
        <v>11</v>
      </c>
      <c r="D11" s="11" t="s">
        <v>12</v>
      </c>
      <c r="E11" s="11" t="s">
        <v>13</v>
      </c>
      <c r="F11" s="11" t="s">
        <v>47</v>
      </c>
      <c r="G11" s="11" t="s">
        <v>48</v>
      </c>
      <c r="H11" s="11" t="s">
        <v>49</v>
      </c>
      <c r="I11" s="11" t="s">
        <v>50</v>
      </c>
      <c r="J11" s="11" t="s">
        <v>51</v>
      </c>
      <c r="K11" s="11" t="s">
        <v>52</v>
      </c>
    </row>
    <row r="12" spans="1:11" s="5" customFormat="1" x14ac:dyDescent="0.25">
      <c r="A12" s="2" t="s">
        <v>1</v>
      </c>
      <c r="B12" s="15">
        <v>12.83</v>
      </c>
      <c r="C12" s="16">
        <v>1.29E-2</v>
      </c>
      <c r="D12" s="17">
        <v>176865</v>
      </c>
      <c r="E12" s="17">
        <v>1423857474.8200231</v>
      </c>
      <c r="F12" s="17">
        <f t="shared" ref="F12:F18" si="0">B12*D12*12</f>
        <v>27230135.400000002</v>
      </c>
      <c r="G12" s="17">
        <f t="shared" ref="G12:G18" si="1">C12*E12</f>
        <v>18367761.425178297</v>
      </c>
      <c r="H12" s="18">
        <f>F12+G12</f>
        <v>45597896.825178295</v>
      </c>
      <c r="I12" s="19">
        <f t="shared" ref="I12:K18" si="2">F12/$H$19</f>
        <v>0.23064440962697413</v>
      </c>
      <c r="J12" s="19">
        <f t="shared" si="2"/>
        <v>0.15557842176867609</v>
      </c>
      <c r="K12" s="19">
        <f t="shared" si="2"/>
        <v>0.38622283139565017</v>
      </c>
    </row>
    <row r="13" spans="1:11" s="5" customFormat="1" x14ac:dyDescent="0.25">
      <c r="A13" s="2" t="s">
        <v>2</v>
      </c>
      <c r="B13" s="15">
        <v>39.49</v>
      </c>
      <c r="C13" s="16">
        <v>1.15E-2</v>
      </c>
      <c r="D13" s="17">
        <v>17703</v>
      </c>
      <c r="E13" s="17">
        <v>612188100.8969444</v>
      </c>
      <c r="F13" s="17">
        <f t="shared" si="0"/>
        <v>8389097.6400000006</v>
      </c>
      <c r="G13" s="17">
        <f t="shared" si="1"/>
        <v>7040163.1603148608</v>
      </c>
      <c r="H13" s="18">
        <f t="shared" ref="H13:H18" si="3">F13+G13</f>
        <v>15429260.800314862</v>
      </c>
      <c r="I13" s="19">
        <f t="shared" si="2"/>
        <v>7.1057247569942014E-2</v>
      </c>
      <c r="J13" s="19">
        <f t="shared" si="2"/>
        <v>5.9631516771245778E-2</v>
      </c>
      <c r="K13" s="19">
        <f t="shared" si="2"/>
        <v>0.13068876434118781</v>
      </c>
    </row>
    <row r="14" spans="1:11" s="5" customFormat="1" x14ac:dyDescent="0.25">
      <c r="A14" s="2" t="s">
        <v>3</v>
      </c>
      <c r="B14" s="15">
        <v>69.540000000000006</v>
      </c>
      <c r="C14" s="16">
        <v>4.1852999999999998</v>
      </c>
      <c r="D14" s="17">
        <v>3950</v>
      </c>
      <c r="E14" s="17">
        <v>6222022.0911850501</v>
      </c>
      <c r="F14" s="17">
        <f t="shared" si="0"/>
        <v>3296196</v>
      </c>
      <c r="G14" s="17">
        <f t="shared" si="1"/>
        <v>26041029.058236789</v>
      </c>
      <c r="H14" s="18">
        <f t="shared" si="3"/>
        <v>29337225.058236789</v>
      </c>
      <c r="I14" s="19">
        <f t="shared" si="2"/>
        <v>2.7919405073350962E-2</v>
      </c>
      <c r="J14" s="19">
        <f t="shared" si="2"/>
        <v>0.22057245345962923</v>
      </c>
      <c r="K14" s="19">
        <f t="shared" si="2"/>
        <v>0.24849185853298017</v>
      </c>
    </row>
    <row r="15" spans="1:11" s="5" customFormat="1" x14ac:dyDescent="0.25">
      <c r="A15" s="2" t="s">
        <v>4</v>
      </c>
      <c r="B15" s="15">
        <v>1583.69</v>
      </c>
      <c r="C15" s="16">
        <v>2.1536</v>
      </c>
      <c r="D15" s="17">
        <v>464</v>
      </c>
      <c r="E15" s="17">
        <v>5154337.9551095674</v>
      </c>
      <c r="F15" s="17">
        <f t="shared" si="0"/>
        <v>8817985.9199999999</v>
      </c>
      <c r="G15" s="17">
        <f t="shared" si="1"/>
        <v>11100382.220123963</v>
      </c>
      <c r="H15" s="18">
        <f t="shared" si="3"/>
        <v>19918368.140123963</v>
      </c>
      <c r="I15" s="19">
        <f t="shared" si="2"/>
        <v>7.4690012618055884E-2</v>
      </c>
      <c r="J15" s="19">
        <f t="shared" si="2"/>
        <v>9.4022342018697858E-2</v>
      </c>
      <c r="K15" s="19">
        <f t="shared" si="2"/>
        <v>0.16871235463675374</v>
      </c>
    </row>
    <row r="16" spans="1:11" s="5" customFormat="1" x14ac:dyDescent="0.25">
      <c r="A16" s="2" t="s">
        <v>5</v>
      </c>
      <c r="B16" s="15">
        <v>12486.8</v>
      </c>
      <c r="C16" s="16">
        <v>2.6730999999999998</v>
      </c>
      <c r="D16" s="17">
        <v>9</v>
      </c>
      <c r="E16" s="17">
        <v>1737266.5231141795</v>
      </c>
      <c r="F16" s="17">
        <f t="shared" si="0"/>
        <v>1348574.4</v>
      </c>
      <c r="G16" s="17">
        <f t="shared" si="1"/>
        <v>4643887.1429365128</v>
      </c>
      <c r="H16" s="18">
        <f t="shared" si="3"/>
        <v>5992461.5429365132</v>
      </c>
      <c r="I16" s="19">
        <f t="shared" si="2"/>
        <v>1.1422680855492581E-2</v>
      </c>
      <c r="J16" s="19">
        <f t="shared" si="2"/>
        <v>3.9334604574051718E-2</v>
      </c>
      <c r="K16" s="19">
        <f t="shared" si="2"/>
        <v>5.0757285429544302E-2</v>
      </c>
    </row>
    <row r="17" spans="1:11" s="5" customFormat="1" x14ac:dyDescent="0.25">
      <c r="A17" s="2" t="s">
        <v>6</v>
      </c>
      <c r="B17" s="15">
        <v>8.15</v>
      </c>
      <c r="C17" s="16">
        <v>1.49E-2</v>
      </c>
      <c r="D17" s="17">
        <v>2942</v>
      </c>
      <c r="E17" s="17">
        <v>10383026.667178314</v>
      </c>
      <c r="F17" s="17">
        <f t="shared" si="0"/>
        <v>287727.59999999998</v>
      </c>
      <c r="G17" s="17">
        <f t="shared" si="1"/>
        <v>154707.09734095688</v>
      </c>
      <c r="H17" s="18">
        <f t="shared" si="3"/>
        <v>442434.69734095689</v>
      </c>
      <c r="I17" s="19">
        <f t="shared" si="2"/>
        <v>2.4371073246806608E-3</v>
      </c>
      <c r="J17" s="19">
        <f t="shared" si="2"/>
        <v>1.3103984466896121E-3</v>
      </c>
      <c r="K17" s="19">
        <f t="shared" si="2"/>
        <v>3.7475057713702731E-3</v>
      </c>
    </row>
    <row r="18" spans="1:11" s="5" customFormat="1" x14ac:dyDescent="0.25">
      <c r="A18" s="2" t="s">
        <v>7</v>
      </c>
      <c r="B18" s="15">
        <v>1.37</v>
      </c>
      <c r="C18" s="16">
        <v>10.457100000000001</v>
      </c>
      <c r="D18" s="17">
        <v>49986</v>
      </c>
      <c r="E18" s="17">
        <v>49889.047766277981</v>
      </c>
      <c r="F18" s="17">
        <f t="shared" si="0"/>
        <v>821769.84000000008</v>
      </c>
      <c r="G18" s="17">
        <f t="shared" si="1"/>
        <v>521694.76139674551</v>
      </c>
      <c r="H18" s="18">
        <f t="shared" si="3"/>
        <v>1343464.6013967455</v>
      </c>
      <c r="I18" s="19">
        <f t="shared" si="2"/>
        <v>6.9605463510127464E-3</v>
      </c>
      <c r="J18" s="19">
        <f t="shared" si="2"/>
        <v>4.4188535415008437E-3</v>
      </c>
      <c r="K18" s="19">
        <f t="shared" si="2"/>
        <v>1.1379399892513589E-2</v>
      </c>
    </row>
    <row r="19" spans="1:11" s="6" customFormat="1" x14ac:dyDescent="0.25">
      <c r="A19" s="3" t="s">
        <v>8</v>
      </c>
      <c r="B19" s="20"/>
      <c r="C19" s="21"/>
      <c r="D19" s="23">
        <f>SUM(D12:D18)</f>
        <v>251919</v>
      </c>
      <c r="E19" s="23">
        <f>SUM(E12:E18)</f>
        <v>2059592118.0013211</v>
      </c>
      <c r="F19" s="23">
        <f t="shared" ref="F19:K19" si="4">SUM(F12:F18)</f>
        <v>50191486.800000012</v>
      </c>
      <c r="G19" s="23">
        <f t="shared" si="4"/>
        <v>67869624.865528136</v>
      </c>
      <c r="H19" s="22">
        <f t="shared" si="4"/>
        <v>118061111.66552812</v>
      </c>
      <c r="I19" s="24">
        <f t="shared" si="4"/>
        <v>0.42513140941950894</v>
      </c>
      <c r="J19" s="24">
        <f t="shared" si="4"/>
        <v>0.57486859058049111</v>
      </c>
      <c r="K19" s="24">
        <f t="shared" si="4"/>
        <v>1</v>
      </c>
    </row>
    <row r="20" spans="1:11" s="5" customFormat="1" x14ac:dyDescent="0.25">
      <c r="K20" s="44"/>
    </row>
    <row r="21" spans="1:11" s="5" customFormat="1" x14ac:dyDescent="0.25">
      <c r="A21" s="4" t="s">
        <v>53</v>
      </c>
      <c r="K21" s="44"/>
    </row>
    <row r="22" spans="1:11" s="5" customFormat="1" x14ac:dyDescent="0.25">
      <c r="K22" s="44"/>
    </row>
    <row r="23" spans="1:11" ht="30" customHeight="1" x14ac:dyDescent="0.25">
      <c r="A23" s="25" t="s">
        <v>0</v>
      </c>
      <c r="B23" s="26" t="str">
        <f>+I10</f>
        <v>Fixed Charge 
% Total Revenue</v>
      </c>
      <c r="C23" s="26" t="str">
        <f>+J10</f>
        <v xml:space="preserve">Volumetric Charge % Total Revenue </v>
      </c>
      <c r="D23" s="26" t="s">
        <v>54</v>
      </c>
      <c r="E23" s="26" t="s">
        <v>55</v>
      </c>
      <c r="F23" s="26" t="s">
        <v>41</v>
      </c>
      <c r="G23" s="26" t="str">
        <f>+D10</f>
        <v>Customers or Connections</v>
      </c>
      <c r="H23" s="26" t="str">
        <f>+E10</f>
        <v>kWh/kW</v>
      </c>
      <c r="I23" s="26" t="s">
        <v>56</v>
      </c>
      <c r="J23" s="26" t="s">
        <v>57</v>
      </c>
    </row>
    <row r="24" spans="1:11" ht="15.75" x14ac:dyDescent="0.25">
      <c r="A24" s="10" t="s">
        <v>14</v>
      </c>
      <c r="B24" s="11" t="s">
        <v>35</v>
      </c>
      <c r="C24" s="11" t="s">
        <v>35</v>
      </c>
      <c r="D24" s="11"/>
      <c r="E24" s="11"/>
      <c r="F24" s="11"/>
      <c r="G24" s="11" t="s">
        <v>35</v>
      </c>
      <c r="H24" s="11" t="s">
        <v>35</v>
      </c>
      <c r="I24" s="11" t="s">
        <v>31</v>
      </c>
      <c r="J24" s="11" t="s">
        <v>32</v>
      </c>
    </row>
    <row r="25" spans="1:11" x14ac:dyDescent="0.25">
      <c r="A25" s="2" t="s">
        <v>1</v>
      </c>
      <c r="B25" s="28">
        <f t="shared" ref="B25:C31" si="5">I12</f>
        <v>0.23064440962697413</v>
      </c>
      <c r="C25" s="28">
        <f t="shared" si="5"/>
        <v>0.15557842176867609</v>
      </c>
      <c r="D25" s="17">
        <f t="shared" ref="D25:E31" si="6">$B$5*B25</f>
        <v>947676.36316350382</v>
      </c>
      <c r="E25" s="17">
        <f t="shared" si="6"/>
        <v>639243.73093157168</v>
      </c>
      <c r="F25" s="17">
        <f t="shared" ref="F25:F31" si="7">D25+E25</f>
        <v>1586920.0940950755</v>
      </c>
      <c r="G25" s="17">
        <f t="shared" ref="G25:H31" si="8">D12</f>
        <v>176865</v>
      </c>
      <c r="H25" s="18">
        <f t="shared" si="8"/>
        <v>1423857474.8200231</v>
      </c>
      <c r="I25" s="20">
        <f>F25/G25/12</f>
        <v>0.74770780637542555</v>
      </c>
      <c r="J25" s="21">
        <v>0</v>
      </c>
      <c r="K25" s="45"/>
    </row>
    <row r="26" spans="1:11" x14ac:dyDescent="0.25">
      <c r="A26" s="2" t="s">
        <v>2</v>
      </c>
      <c r="B26" s="28">
        <f t="shared" si="5"/>
        <v>7.1057247569942014E-2</v>
      </c>
      <c r="C26" s="28">
        <f t="shared" si="5"/>
        <v>5.9631516771245778E-2</v>
      </c>
      <c r="D26" s="17">
        <f t="shared" si="6"/>
        <v>291961.43996032915</v>
      </c>
      <c r="E26" s="17">
        <f t="shared" si="6"/>
        <v>245015.16874003009</v>
      </c>
      <c r="F26" s="17">
        <f t="shared" si="7"/>
        <v>536976.60870035924</v>
      </c>
      <c r="G26" s="17">
        <f t="shared" si="8"/>
        <v>17703</v>
      </c>
      <c r="H26" s="18">
        <f t="shared" si="8"/>
        <v>612188100.8969444</v>
      </c>
      <c r="I26" s="20">
        <f t="shared" ref="I26:I31" si="9">D26/G26/12</f>
        <v>1.3743501099640794</v>
      </c>
      <c r="J26" s="21">
        <f t="shared" ref="J26:J31" si="10">E26/H26</f>
        <v>4.0022857089356574E-4</v>
      </c>
      <c r="K26" s="45"/>
    </row>
    <row r="27" spans="1:11" x14ac:dyDescent="0.25">
      <c r="A27" s="2" t="s">
        <v>3</v>
      </c>
      <c r="B27" s="28">
        <f t="shared" si="5"/>
        <v>2.7919405073350962E-2</v>
      </c>
      <c r="C27" s="28">
        <f t="shared" si="5"/>
        <v>0.22057245345962923</v>
      </c>
      <c r="D27" s="17">
        <f t="shared" si="6"/>
        <v>114715.80995348591</v>
      </c>
      <c r="E27" s="17">
        <f t="shared" si="6"/>
        <v>906292.5082239937</v>
      </c>
      <c r="F27" s="17">
        <f t="shared" si="7"/>
        <v>1021008.3181774796</v>
      </c>
      <c r="G27" s="17">
        <f t="shared" si="8"/>
        <v>3950</v>
      </c>
      <c r="H27" s="18">
        <f t="shared" si="8"/>
        <v>6222022.0911850501</v>
      </c>
      <c r="I27" s="20">
        <f t="shared" si="9"/>
        <v>2.4201647669511792</v>
      </c>
      <c r="J27" s="21">
        <f t="shared" si="10"/>
        <v>0.14565883806616003</v>
      </c>
      <c r="K27" s="45"/>
    </row>
    <row r="28" spans="1:11" x14ac:dyDescent="0.25">
      <c r="A28" s="2" t="s">
        <v>4</v>
      </c>
      <c r="B28" s="28">
        <f t="shared" si="5"/>
        <v>7.4690012618055884E-2</v>
      </c>
      <c r="C28" s="28">
        <f t="shared" si="5"/>
        <v>9.4022342018697858E-2</v>
      </c>
      <c r="D28" s="17">
        <f t="shared" si="6"/>
        <v>306887.81764532038</v>
      </c>
      <c r="E28" s="17">
        <f t="shared" si="6"/>
        <v>386320.87933326612</v>
      </c>
      <c r="F28" s="17">
        <f t="shared" si="7"/>
        <v>693208.69697858649</v>
      </c>
      <c r="G28" s="17">
        <f t="shared" si="8"/>
        <v>464</v>
      </c>
      <c r="H28" s="18">
        <f t="shared" si="8"/>
        <v>5154337.9551095674</v>
      </c>
      <c r="I28" s="20">
        <f t="shared" si="9"/>
        <v>55.11634655986358</v>
      </c>
      <c r="J28" s="21">
        <f t="shared" si="10"/>
        <v>7.495063045881592E-2</v>
      </c>
      <c r="K28" s="45"/>
    </row>
    <row r="29" spans="1:11" x14ac:dyDescent="0.25">
      <c r="A29" s="2" t="s">
        <v>5</v>
      </c>
      <c r="B29" s="28">
        <f t="shared" si="5"/>
        <v>1.1422680855492581E-2</v>
      </c>
      <c r="C29" s="28">
        <f t="shared" si="5"/>
        <v>3.9334604574051718E-2</v>
      </c>
      <c r="D29" s="17">
        <f t="shared" si="6"/>
        <v>46933.739552665022</v>
      </c>
      <c r="E29" s="17">
        <f t="shared" si="6"/>
        <v>161618.80996595518</v>
      </c>
      <c r="F29" s="17">
        <f t="shared" si="7"/>
        <v>208552.54951862019</v>
      </c>
      <c r="G29" s="17">
        <f t="shared" si="8"/>
        <v>9</v>
      </c>
      <c r="H29" s="18">
        <f t="shared" si="8"/>
        <v>1737266.5231141795</v>
      </c>
      <c r="I29" s="20">
        <f t="shared" si="9"/>
        <v>434.57166252467613</v>
      </c>
      <c r="J29" s="21">
        <f t="shared" si="10"/>
        <v>9.3030521117877435E-2</v>
      </c>
      <c r="K29" s="45"/>
    </row>
    <row r="30" spans="1:11" x14ac:dyDescent="0.25">
      <c r="A30" s="2" t="s">
        <v>6</v>
      </c>
      <c r="B30" s="28">
        <f t="shared" si="5"/>
        <v>2.4371073246806608E-3</v>
      </c>
      <c r="C30" s="28">
        <f t="shared" si="5"/>
        <v>1.3103984466896121E-3</v>
      </c>
      <c r="D30" s="17">
        <f t="shared" si="6"/>
        <v>10013.635317794393</v>
      </c>
      <c r="E30" s="17">
        <f t="shared" si="6"/>
        <v>5384.1913457272121</v>
      </c>
      <c r="F30" s="17">
        <f t="shared" si="7"/>
        <v>15397.826663521606</v>
      </c>
      <c r="G30" s="17">
        <f t="shared" si="8"/>
        <v>2942</v>
      </c>
      <c r="H30" s="18">
        <f t="shared" si="8"/>
        <v>10383026.667178314</v>
      </c>
      <c r="I30" s="20">
        <f t="shared" si="9"/>
        <v>0.28364024806804872</v>
      </c>
      <c r="J30" s="21">
        <f t="shared" si="10"/>
        <v>5.1855701794035916E-4</v>
      </c>
      <c r="K30" s="45"/>
    </row>
    <row r="31" spans="1:11" x14ac:dyDescent="0.25">
      <c r="A31" s="2" t="s">
        <v>7</v>
      </c>
      <c r="B31" s="28">
        <f t="shared" si="5"/>
        <v>6.9605463510127464E-3</v>
      </c>
      <c r="C31" s="28">
        <f t="shared" si="5"/>
        <v>4.4188535415008437E-3</v>
      </c>
      <c r="D31" s="17">
        <f t="shared" si="6"/>
        <v>28599.632057968192</v>
      </c>
      <c r="E31" s="17">
        <f t="shared" si="6"/>
        <v>18156.273808389495</v>
      </c>
      <c r="F31" s="17">
        <f t="shared" si="7"/>
        <v>46755.905866357687</v>
      </c>
      <c r="G31" s="17">
        <f t="shared" si="8"/>
        <v>49986</v>
      </c>
      <c r="H31" s="18">
        <f t="shared" si="8"/>
        <v>49889.047766277981</v>
      </c>
      <c r="I31" s="20">
        <f t="shared" si="9"/>
        <v>4.7679403662972623E-2</v>
      </c>
      <c r="J31" s="21">
        <f t="shared" si="10"/>
        <v>0.36393305988618313</v>
      </c>
      <c r="K31" s="45"/>
    </row>
    <row r="32" spans="1:11" x14ac:dyDescent="0.25">
      <c r="A32" s="3" t="s">
        <v>8</v>
      </c>
      <c r="B32" s="24">
        <f t="shared" ref="B32:F32" si="11">SUM(B25:B31)</f>
        <v>0.42513140941950894</v>
      </c>
      <c r="C32" s="24">
        <f t="shared" si="11"/>
        <v>0.57486859058049111</v>
      </c>
      <c r="D32" s="23">
        <f t="shared" si="11"/>
        <v>1746788.4376510668</v>
      </c>
      <c r="E32" s="23">
        <f t="shared" si="11"/>
        <v>2362031.5623489334</v>
      </c>
      <c r="F32" s="23">
        <f t="shared" si="11"/>
        <v>4108820</v>
      </c>
      <c r="G32" s="23">
        <f>SUM(G25:G31)</f>
        <v>251919</v>
      </c>
      <c r="H32" s="23">
        <f>SUM(H25:H31)</f>
        <v>2059592118.0013211</v>
      </c>
      <c r="I32" s="24"/>
      <c r="J32" s="24"/>
    </row>
    <row r="34" spans="1:16" x14ac:dyDescent="0.25">
      <c r="A34" s="4" t="s">
        <v>58</v>
      </c>
    </row>
    <row r="35" spans="1:16" x14ac:dyDescent="0.25">
      <c r="A35" s="4"/>
    </row>
    <row r="36" spans="1:16" ht="18.75" x14ac:dyDescent="0.25">
      <c r="B36" s="69" t="s">
        <v>16</v>
      </c>
      <c r="C36" s="70"/>
      <c r="D36" s="70" t="s">
        <v>59</v>
      </c>
      <c r="E36" s="70"/>
      <c r="F36" s="69" t="s">
        <v>61</v>
      </c>
      <c r="G36" s="71"/>
      <c r="H36" s="69" t="s">
        <v>60</v>
      </c>
      <c r="I36" s="70"/>
      <c r="J36" s="71"/>
    </row>
    <row r="37" spans="1:16" ht="30" x14ac:dyDescent="0.25">
      <c r="A37" s="25" t="s">
        <v>0</v>
      </c>
      <c r="B37" s="26" t="str">
        <f>+B10</f>
        <v>Monthly Fixed Charge</v>
      </c>
      <c r="C37" s="26" t="str">
        <f>+C10</f>
        <v>Volumetric Charge</v>
      </c>
      <c r="D37" s="26" t="s">
        <v>56</v>
      </c>
      <c r="E37" s="26" t="s">
        <v>57</v>
      </c>
      <c r="F37" s="26" t="str">
        <f>+B37</f>
        <v>Monthly Fixed Charge</v>
      </c>
      <c r="G37" s="26" t="str">
        <f>+C37</f>
        <v>Volumetric Charge</v>
      </c>
      <c r="H37" s="26" t="s">
        <v>17</v>
      </c>
      <c r="I37" s="26" t="s">
        <v>30</v>
      </c>
      <c r="J37" s="26" t="s">
        <v>8</v>
      </c>
    </row>
    <row r="38" spans="1:16" ht="15.75" x14ac:dyDescent="0.25">
      <c r="A38" s="10" t="s">
        <v>14</v>
      </c>
      <c r="B38" s="11"/>
      <c r="C38" s="11"/>
      <c r="D38" s="11" t="s">
        <v>15</v>
      </c>
      <c r="E38" s="11" t="s">
        <v>15</v>
      </c>
      <c r="F38" s="11"/>
      <c r="G38" s="11"/>
      <c r="H38" s="11"/>
      <c r="I38" s="11"/>
      <c r="J38" s="11"/>
    </row>
    <row r="39" spans="1:16" x14ac:dyDescent="0.25">
      <c r="A39" s="2" t="s">
        <v>1</v>
      </c>
      <c r="B39" s="15">
        <v>15.75</v>
      </c>
      <c r="C39" s="16">
        <v>1.0200000000000001E-2</v>
      </c>
      <c r="D39" s="16">
        <f>I25</f>
        <v>0.74770780637542555</v>
      </c>
      <c r="E39" s="16">
        <f t="shared" ref="E39:E45" si="12">J25</f>
        <v>0</v>
      </c>
      <c r="F39" s="15">
        <f>(I50+D39)*1.0195</f>
        <v>19.144876581489854</v>
      </c>
      <c r="G39" s="31">
        <f>I51*1.0195</f>
        <v>6.9326000000000023E-3</v>
      </c>
      <c r="H39" s="17">
        <f>F39*D12*12</f>
        <v>40632703.159022436</v>
      </c>
      <c r="I39" s="17">
        <f>G39*E12</f>
        <v>9871034.329937296</v>
      </c>
      <c r="J39" s="17">
        <f>H39+I39</f>
        <v>50503737.48895973</v>
      </c>
    </row>
    <row r="40" spans="1:16" x14ac:dyDescent="0.25">
      <c r="A40" s="2" t="s">
        <v>2</v>
      </c>
      <c r="B40" s="15">
        <v>41.47</v>
      </c>
      <c r="C40" s="16">
        <v>1.21E-2</v>
      </c>
      <c r="D40" s="16">
        <f t="shared" ref="D40:D45" si="13">I26</f>
        <v>1.3743501099640794</v>
      </c>
      <c r="E40" s="16">
        <f t="shared" si="12"/>
        <v>4.0022857089356574E-4</v>
      </c>
      <c r="F40" s="15">
        <f t="shared" ref="F40:G45" si="14">(B40+D40)*1.0195</f>
        <v>43.679814937108375</v>
      </c>
      <c r="G40" s="16">
        <f t="shared" si="14"/>
        <v>1.2743983028025992E-2</v>
      </c>
      <c r="H40" s="17">
        <f t="shared" ref="H40:H45" si="15">F40*D13*12</f>
        <v>9279165.1659795549</v>
      </c>
      <c r="I40" s="17">
        <f t="shared" ref="I40:I45" si="16">G40*E13</f>
        <v>7801714.7677901229</v>
      </c>
      <c r="J40" s="17">
        <f t="shared" ref="J40:J45" si="17">H40+I40</f>
        <v>17080879.933769677</v>
      </c>
    </row>
    <row r="41" spans="1:16" x14ac:dyDescent="0.25">
      <c r="A41" s="2" t="s">
        <v>3</v>
      </c>
      <c r="B41" s="15">
        <v>73.040000000000006</v>
      </c>
      <c r="C41" s="16">
        <v>4.3959000000000001</v>
      </c>
      <c r="D41" s="16">
        <f t="shared" si="13"/>
        <v>2.4201647669511792</v>
      </c>
      <c r="E41" s="16">
        <f t="shared" si="12"/>
        <v>0.14565883806616003</v>
      </c>
      <c r="F41" s="15">
        <f t="shared" si="14"/>
        <v>76.931637979906739</v>
      </c>
      <c r="G41" s="16">
        <f t="shared" si="14"/>
        <v>4.6301192354084506</v>
      </c>
      <c r="H41" s="17">
        <f t="shared" si="15"/>
        <v>3646559.6402475797</v>
      </c>
      <c r="I41" s="17">
        <f t="shared" si="16"/>
        <v>28808704.167532213</v>
      </c>
      <c r="J41" s="17">
        <f t="shared" si="17"/>
        <v>32455263.807779793</v>
      </c>
    </row>
    <row r="42" spans="1:16" x14ac:dyDescent="0.25">
      <c r="A42" s="2" t="s">
        <v>4</v>
      </c>
      <c r="B42" s="15">
        <v>1663.38</v>
      </c>
      <c r="C42" s="16">
        <v>2.262</v>
      </c>
      <c r="D42" s="16">
        <f t="shared" si="13"/>
        <v>55.11634655986358</v>
      </c>
      <c r="E42" s="16">
        <f t="shared" si="12"/>
        <v>7.495063045881592E-2</v>
      </c>
      <c r="F42" s="15">
        <f t="shared" si="14"/>
        <v>1752.0070253177812</v>
      </c>
      <c r="G42" s="16">
        <f t="shared" si="14"/>
        <v>2.3825211677527633</v>
      </c>
      <c r="H42" s="17">
        <f t="shared" si="15"/>
        <v>9755175.1169694066</v>
      </c>
      <c r="I42" s="17">
        <f t="shared" si="16"/>
        <v>12280319.283800038</v>
      </c>
      <c r="J42" s="17">
        <f t="shared" si="17"/>
        <v>22035494.400769442</v>
      </c>
    </row>
    <row r="43" spans="1:16" x14ac:dyDescent="0.25">
      <c r="A43" s="2" t="s">
        <v>5</v>
      </c>
      <c r="B43" s="15">
        <v>13115.07</v>
      </c>
      <c r="C43" s="16">
        <v>2.8075999999999999</v>
      </c>
      <c r="D43" s="16">
        <f t="shared" si="13"/>
        <v>434.57166252467613</v>
      </c>
      <c r="E43" s="16">
        <f t="shared" si="12"/>
        <v>9.3030521117877435E-2</v>
      </c>
      <c r="F43" s="15">
        <f t="shared" si="14"/>
        <v>13813.859674943909</v>
      </c>
      <c r="G43" s="16">
        <f t="shared" si="14"/>
        <v>2.9571928162796763</v>
      </c>
      <c r="H43" s="17">
        <f t="shared" si="15"/>
        <v>1491896.8448939421</v>
      </c>
      <c r="I43" s="17">
        <f t="shared" si="16"/>
        <v>5137432.0821164222</v>
      </c>
      <c r="J43" s="17">
        <f t="shared" si="17"/>
        <v>6629328.9270103648</v>
      </c>
    </row>
    <row r="44" spans="1:16" x14ac:dyDescent="0.25">
      <c r="A44" s="2" t="s">
        <v>6</v>
      </c>
      <c r="B44" s="15">
        <v>8.56</v>
      </c>
      <c r="C44" s="16">
        <v>1.5599999999999999E-2</v>
      </c>
      <c r="D44" s="16">
        <f t="shared" si="13"/>
        <v>0.28364024806804872</v>
      </c>
      <c r="E44" s="16">
        <f t="shared" si="12"/>
        <v>5.1855701794035916E-4</v>
      </c>
      <c r="F44" s="15">
        <f t="shared" si="14"/>
        <v>9.0160912329053762</v>
      </c>
      <c r="G44" s="16">
        <f t="shared" si="14"/>
        <v>1.6432868879790199E-2</v>
      </c>
      <c r="H44" s="17">
        <f t="shared" si="15"/>
        <v>318304.08488649142</v>
      </c>
      <c r="I44" s="17">
        <f t="shared" si="16"/>
        <v>170622.91579710625</v>
      </c>
      <c r="J44" s="17">
        <f t="shared" si="17"/>
        <v>488927.00068359764</v>
      </c>
    </row>
    <row r="45" spans="1:16" x14ac:dyDescent="0.25">
      <c r="A45" s="2" t="s">
        <v>7</v>
      </c>
      <c r="B45" s="15">
        <v>1.44</v>
      </c>
      <c r="C45" s="16">
        <v>10.9833</v>
      </c>
      <c r="D45" s="16">
        <f t="shared" si="13"/>
        <v>4.7679403662972623E-2</v>
      </c>
      <c r="E45" s="16">
        <f t="shared" si="12"/>
        <v>0.36393305988618313</v>
      </c>
      <c r="F45" s="15">
        <f t="shared" si="14"/>
        <v>1.5166891520344006</v>
      </c>
      <c r="G45" s="16">
        <f t="shared" si="14"/>
        <v>11.568504104553964</v>
      </c>
      <c r="H45" s="17">
        <f t="shared" si="15"/>
        <v>909758.68744309852</v>
      </c>
      <c r="I45" s="17">
        <f t="shared" si="16"/>
        <v>577141.6538564756</v>
      </c>
      <c r="J45" s="17">
        <f t="shared" si="17"/>
        <v>1486900.3412995741</v>
      </c>
    </row>
    <row r="46" spans="1:16" x14ac:dyDescent="0.25">
      <c r="H46" s="23">
        <f>SUM(H39:H45)</f>
        <v>66033562.699442506</v>
      </c>
      <c r="I46" s="23">
        <f>SUM(I39:I45)</f>
        <v>64646969.200829677</v>
      </c>
      <c r="J46" s="23">
        <f>SUM(J39:J45)</f>
        <v>130680531.90027216</v>
      </c>
    </row>
    <row r="47" spans="1:16" x14ac:dyDescent="0.25">
      <c r="P47" s="7"/>
    </row>
    <row r="48" spans="1:16" x14ac:dyDescent="0.25">
      <c r="A48" s="4" t="s">
        <v>62</v>
      </c>
    </row>
    <row r="49" spans="1:11" ht="45" x14ac:dyDescent="0.25">
      <c r="A49" s="25"/>
      <c r="B49" s="26" t="s">
        <v>19</v>
      </c>
      <c r="C49" s="26" t="s">
        <v>20</v>
      </c>
      <c r="D49" s="26" t="s">
        <v>21</v>
      </c>
      <c r="E49" s="26" t="s">
        <v>22</v>
      </c>
      <c r="F49" s="26" t="s">
        <v>23</v>
      </c>
      <c r="G49" s="26" t="s">
        <v>24</v>
      </c>
      <c r="H49" s="26" t="s">
        <v>25</v>
      </c>
      <c r="I49" s="26" t="s">
        <v>26</v>
      </c>
      <c r="J49" s="26" t="s">
        <v>27</v>
      </c>
      <c r="K49" s="26" t="s">
        <v>33</v>
      </c>
    </row>
    <row r="50" spans="1:11" x14ac:dyDescent="0.25">
      <c r="A50" s="29" t="s">
        <v>17</v>
      </c>
      <c r="B50" s="32">
        <f>B39</f>
        <v>15.75</v>
      </c>
      <c r="C50" s="13">
        <v>176865</v>
      </c>
      <c r="D50" s="12">
        <f>B50*C50*12</f>
        <v>33427485</v>
      </c>
      <c r="E50" s="33">
        <f>D50/D52</f>
        <v>0.69712003175097403</v>
      </c>
      <c r="F50" s="34">
        <f>(1-E50)/3</f>
        <v>0.10095998941634199</v>
      </c>
      <c r="G50" s="32">
        <f>(F50*D52)/C50/12</f>
        <v>2.2809842794410051</v>
      </c>
      <c r="H50" s="34">
        <f>E50+F50</f>
        <v>0.79808002116731602</v>
      </c>
      <c r="I50" s="32">
        <f>(H50*D52/C50/12)</f>
        <v>18.030984279441004</v>
      </c>
      <c r="J50" s="12">
        <f>I50*C50*12</f>
        <v>38268600.414999992</v>
      </c>
      <c r="K50" s="35">
        <f>I50*1.95%</f>
        <v>0.3516041934490996</v>
      </c>
    </row>
    <row r="51" spans="1:11" x14ac:dyDescent="0.25">
      <c r="A51" s="36" t="s">
        <v>18</v>
      </c>
      <c r="B51" s="37">
        <f>C39</f>
        <v>1.0200000000000001E-2</v>
      </c>
      <c r="C51" s="14">
        <v>1423857475</v>
      </c>
      <c r="D51" s="30">
        <f>B51*C51</f>
        <v>14523346.245000001</v>
      </c>
      <c r="E51" s="38">
        <f>D51/D52</f>
        <v>0.30287996824902591</v>
      </c>
      <c r="F51" s="5"/>
      <c r="G51" s="5"/>
      <c r="H51" s="39">
        <f>1-H50</f>
        <v>0.20191997883268398</v>
      </c>
      <c r="I51" s="5">
        <f>H51*D52/C51</f>
        <v>6.8000000000000014E-3</v>
      </c>
      <c r="J51" s="30">
        <f>I51*C51</f>
        <v>9682230.8300000019</v>
      </c>
      <c r="K51" s="40">
        <f>I51*1.95%</f>
        <v>1.3260000000000002E-4</v>
      </c>
    </row>
    <row r="52" spans="1:11" x14ac:dyDescent="0.25">
      <c r="A52" s="41"/>
      <c r="B52" s="1"/>
      <c r="C52" s="1"/>
      <c r="D52" s="43">
        <f>SUM(D50:D51)</f>
        <v>47950831.245000005</v>
      </c>
      <c r="E52" s="1"/>
      <c r="F52" s="1"/>
      <c r="G52" s="1"/>
      <c r="H52" s="1"/>
      <c r="I52" s="1"/>
      <c r="J52" s="43">
        <f>SUM(J50:J51)</f>
        <v>47950831.24499999</v>
      </c>
      <c r="K52" s="42"/>
    </row>
    <row r="56" spans="1:11" x14ac:dyDescent="0.25">
      <c r="E56" s="8"/>
      <c r="F56" s="8"/>
      <c r="G56" s="8"/>
      <c r="H56" s="46"/>
      <c r="I56" s="46"/>
    </row>
    <row r="57" spans="1:11" x14ac:dyDescent="0.25">
      <c r="E57" s="8"/>
      <c r="F57" s="8"/>
      <c r="G57" s="8"/>
      <c r="H57" s="46"/>
      <c r="I57" s="46"/>
    </row>
    <row r="58" spans="1:11" x14ac:dyDescent="0.25">
      <c r="E58" s="8"/>
      <c r="F58" s="8"/>
      <c r="G58" s="8"/>
      <c r="H58" s="46"/>
      <c r="I58" s="46"/>
    </row>
    <row r="59" spans="1:11" x14ac:dyDescent="0.25">
      <c r="E59" s="8"/>
      <c r="F59" s="8"/>
      <c r="G59" s="8"/>
      <c r="H59" s="46"/>
      <c r="I59" s="46"/>
    </row>
    <row r="60" spans="1:11" x14ac:dyDescent="0.25">
      <c r="E60" s="8"/>
      <c r="F60" s="8"/>
      <c r="G60" s="8"/>
      <c r="H60" s="46"/>
      <c r="I60" s="46"/>
    </row>
    <row r="61" spans="1:11" x14ac:dyDescent="0.25">
      <c r="E61" s="8"/>
      <c r="F61" s="8"/>
      <c r="G61" s="8"/>
      <c r="H61" s="46"/>
      <c r="I61" s="46"/>
    </row>
    <row r="62" spans="1:11" x14ac:dyDescent="0.25">
      <c r="E62" s="8"/>
      <c r="F62" s="8"/>
      <c r="G62" s="8"/>
      <c r="H62" s="46"/>
      <c r="I62" s="46"/>
    </row>
    <row r="63" spans="1:11" x14ac:dyDescent="0.25">
      <c r="E63" s="8"/>
      <c r="F63" s="8"/>
    </row>
  </sheetData>
  <mergeCells count="6">
    <mergeCell ref="H36:J36"/>
    <mergeCell ref="B9:C9"/>
    <mergeCell ref="D9:E9"/>
    <mergeCell ref="B36:C36"/>
    <mergeCell ref="D36:E36"/>
    <mergeCell ref="F36:G36"/>
  </mergeCells>
  <pageMargins left="0.23622047244094491" right="0.23622047244094491" top="0.35433070866141736" bottom="0.74803149606299213" header="0.31496062992125984" footer="0.31496062992125984"/>
  <pageSetup scale="59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showGridLines="0" zoomScale="90" zoomScaleNormal="90" workbookViewId="0">
      <selection activeCell="C3" sqref="C3"/>
    </sheetView>
  </sheetViews>
  <sheetFormatPr defaultRowHeight="15" x14ac:dyDescent="0.25"/>
  <cols>
    <col min="1" max="1" width="36" customWidth="1"/>
    <col min="2" max="2" width="20.28515625" customWidth="1"/>
    <col min="3" max="3" width="18.7109375" customWidth="1"/>
    <col min="4" max="4" width="20.140625" customWidth="1"/>
    <col min="5" max="5" width="19.85546875" customWidth="1"/>
    <col min="6" max="15" width="18.7109375" customWidth="1"/>
    <col min="16" max="16" width="16.42578125" customWidth="1"/>
  </cols>
  <sheetData>
    <row r="1" spans="1:11" ht="28.5" customHeight="1" x14ac:dyDescent="0.25">
      <c r="A1" s="73" t="s">
        <v>84</v>
      </c>
    </row>
    <row r="2" spans="1:11" ht="30" x14ac:dyDescent="0.25">
      <c r="A2" s="73" t="s">
        <v>85</v>
      </c>
    </row>
    <row r="3" spans="1:11" ht="45" x14ac:dyDescent="0.25">
      <c r="A3" s="73" t="s">
        <v>86</v>
      </c>
    </row>
    <row r="5" spans="1:11" x14ac:dyDescent="0.25">
      <c r="A5" s="47" t="s">
        <v>36</v>
      </c>
      <c r="B5" s="48">
        <v>4108820</v>
      </c>
    </row>
    <row r="7" spans="1:11" x14ac:dyDescent="0.25">
      <c r="A7" s="4" t="s">
        <v>34</v>
      </c>
    </row>
    <row r="8" spans="1:11" x14ac:dyDescent="0.25">
      <c r="A8" s="4"/>
    </row>
    <row r="9" spans="1:11" ht="18.75" x14ac:dyDescent="0.25">
      <c r="B9" s="69" t="s">
        <v>63</v>
      </c>
      <c r="C9" s="70"/>
      <c r="D9" s="69" t="s">
        <v>64</v>
      </c>
      <c r="E9" s="71"/>
    </row>
    <row r="10" spans="1:11" s="9" customFormat="1" ht="30" x14ac:dyDescent="0.25">
      <c r="A10" s="25" t="s">
        <v>0</v>
      </c>
      <c r="B10" s="26" t="s">
        <v>42</v>
      </c>
      <c r="C10" s="26" t="s">
        <v>43</v>
      </c>
      <c r="D10" s="26" t="s">
        <v>37</v>
      </c>
      <c r="E10" s="26" t="s">
        <v>46</v>
      </c>
      <c r="F10" s="26" t="s">
        <v>38</v>
      </c>
      <c r="G10" s="26" t="s">
        <v>39</v>
      </c>
      <c r="H10" s="26" t="s">
        <v>40</v>
      </c>
      <c r="I10" s="26" t="s">
        <v>45</v>
      </c>
      <c r="J10" s="26" t="s">
        <v>44</v>
      </c>
      <c r="K10" s="26" t="s">
        <v>9</v>
      </c>
    </row>
    <row r="11" spans="1:11" ht="18.75" x14ac:dyDescent="0.35">
      <c r="A11" s="10" t="s">
        <v>14</v>
      </c>
      <c r="B11" s="11" t="s">
        <v>10</v>
      </c>
      <c r="C11" s="11" t="s">
        <v>11</v>
      </c>
      <c r="D11" s="11" t="s">
        <v>12</v>
      </c>
      <c r="E11" s="11" t="s">
        <v>13</v>
      </c>
      <c r="F11" s="11" t="s">
        <v>47</v>
      </c>
      <c r="G11" s="11" t="s">
        <v>48</v>
      </c>
      <c r="H11" s="11" t="s">
        <v>49</v>
      </c>
      <c r="I11" s="11" t="s">
        <v>50</v>
      </c>
      <c r="J11" s="11" t="s">
        <v>51</v>
      </c>
      <c r="K11" s="11" t="s">
        <v>52</v>
      </c>
    </row>
    <row r="12" spans="1:11" s="5" customFormat="1" x14ac:dyDescent="0.25">
      <c r="A12" s="2" t="s">
        <v>1</v>
      </c>
      <c r="B12" s="15">
        <v>13.22</v>
      </c>
      <c r="C12" s="16">
        <v>1.3299999999999999E-2</v>
      </c>
      <c r="D12" s="17">
        <v>181140</v>
      </c>
      <c r="E12" s="17">
        <v>1475669384.5699999</v>
      </c>
      <c r="F12" s="17">
        <f t="shared" ref="F12:F18" si="0">B12*D12*12</f>
        <v>28736049.600000001</v>
      </c>
      <c r="G12" s="17">
        <f t="shared" ref="G12:G18" si="1">C12*E12</f>
        <v>19626402.814780999</v>
      </c>
      <c r="H12" s="18">
        <f>F12+G12</f>
        <v>48362452.414781004</v>
      </c>
      <c r="I12" s="19">
        <f t="shared" ref="I12:K18" si="2">F12/$H$19</f>
        <v>0.23672799181795939</v>
      </c>
      <c r="J12" s="19">
        <f t="shared" si="2"/>
        <v>0.16168258997414353</v>
      </c>
      <c r="K12" s="19">
        <f t="shared" si="2"/>
        <v>0.39841058179210298</v>
      </c>
    </row>
    <row r="13" spans="1:11" s="5" customFormat="1" x14ac:dyDescent="0.25">
      <c r="A13" s="2" t="s">
        <v>2</v>
      </c>
      <c r="B13" s="15">
        <v>40.68</v>
      </c>
      <c r="C13" s="16">
        <v>1.1900000000000001E-2</v>
      </c>
      <c r="D13" s="17">
        <v>17894</v>
      </c>
      <c r="E13" s="17">
        <v>650941021.55999994</v>
      </c>
      <c r="F13" s="17">
        <f t="shared" si="0"/>
        <v>8735135.040000001</v>
      </c>
      <c r="G13" s="17">
        <f t="shared" si="1"/>
        <v>7746198.1565640001</v>
      </c>
      <c r="H13" s="18">
        <f t="shared" ref="H13:H18" si="3">F13+G13</f>
        <v>16481333.196564</v>
      </c>
      <c r="I13" s="19">
        <f t="shared" si="2"/>
        <v>7.1960168675303596E-2</v>
      </c>
      <c r="J13" s="19">
        <f t="shared" si="2"/>
        <v>6.381329234020304E-2</v>
      </c>
      <c r="K13" s="19">
        <f t="shared" si="2"/>
        <v>0.13577346101550664</v>
      </c>
    </row>
    <row r="14" spans="1:11" s="5" customFormat="1" x14ac:dyDescent="0.25">
      <c r="A14" s="2" t="s">
        <v>3</v>
      </c>
      <c r="B14" s="15">
        <v>71.64</v>
      </c>
      <c r="C14" s="16">
        <v>4.3117999999999999</v>
      </c>
      <c r="D14" s="17">
        <v>3971</v>
      </c>
      <c r="E14" s="17">
        <v>6019040.5099999998</v>
      </c>
      <c r="F14" s="17">
        <f t="shared" si="0"/>
        <v>3413789.2800000003</v>
      </c>
      <c r="G14" s="17">
        <f t="shared" si="1"/>
        <v>25952898.871018</v>
      </c>
      <c r="H14" s="18">
        <f t="shared" si="3"/>
        <v>29366688.151018001</v>
      </c>
      <c r="I14" s="19">
        <f t="shared" si="2"/>
        <v>2.8122845415191569E-2</v>
      </c>
      <c r="J14" s="19">
        <f t="shared" si="2"/>
        <v>0.21380035589828172</v>
      </c>
      <c r="K14" s="19">
        <f t="shared" si="2"/>
        <v>0.24192320131347331</v>
      </c>
    </row>
    <row r="15" spans="1:11" s="5" customFormat="1" x14ac:dyDescent="0.25">
      <c r="A15" s="2" t="s">
        <v>4</v>
      </c>
      <c r="B15" s="15">
        <v>1631.56</v>
      </c>
      <c r="C15" s="16">
        <v>2.2187000000000001</v>
      </c>
      <c r="D15" s="17">
        <v>452</v>
      </c>
      <c r="E15" s="17">
        <v>4543514.92</v>
      </c>
      <c r="F15" s="17">
        <f t="shared" si="0"/>
        <v>8849581.4399999995</v>
      </c>
      <c r="G15" s="17">
        <f t="shared" si="1"/>
        <v>10080696.553004</v>
      </c>
      <c r="H15" s="18">
        <f t="shared" si="3"/>
        <v>18930277.993004002</v>
      </c>
      <c r="I15" s="19">
        <f t="shared" si="2"/>
        <v>7.2902979772163437E-2</v>
      </c>
      <c r="J15" s="19">
        <f t="shared" si="2"/>
        <v>8.3044923861728806E-2</v>
      </c>
      <c r="K15" s="19">
        <f t="shared" si="2"/>
        <v>0.15594790363389224</v>
      </c>
    </row>
    <row r="16" spans="1:11" s="5" customFormat="1" x14ac:dyDescent="0.25">
      <c r="A16" s="2" t="s">
        <v>5</v>
      </c>
      <c r="B16" s="15">
        <v>12864.22</v>
      </c>
      <c r="C16" s="16">
        <v>2.7538999999999998</v>
      </c>
      <c r="D16" s="17">
        <v>9</v>
      </c>
      <c r="E16" s="17">
        <v>1732630.9200000002</v>
      </c>
      <c r="F16" s="17">
        <f t="shared" si="0"/>
        <v>1389335.76</v>
      </c>
      <c r="G16" s="17">
        <f t="shared" si="1"/>
        <v>4771492.2905879999</v>
      </c>
      <c r="H16" s="18">
        <f t="shared" si="3"/>
        <v>6160828.0505879996</v>
      </c>
      <c r="I16" s="19">
        <f t="shared" si="2"/>
        <v>1.1445368065681456E-2</v>
      </c>
      <c r="J16" s="19">
        <f t="shared" si="2"/>
        <v>3.9307622434148787E-2</v>
      </c>
      <c r="K16" s="19">
        <f t="shared" si="2"/>
        <v>5.0752990499830244E-2</v>
      </c>
    </row>
    <row r="17" spans="1:14" s="5" customFormat="1" x14ac:dyDescent="0.25">
      <c r="A17" s="2" t="s">
        <v>6</v>
      </c>
      <c r="B17" s="15">
        <v>8.4</v>
      </c>
      <c r="C17" s="16">
        <v>1.5299999999999999E-2</v>
      </c>
      <c r="D17" s="17">
        <v>2968</v>
      </c>
      <c r="E17" s="17">
        <v>10752936.52</v>
      </c>
      <c r="F17" s="17">
        <f t="shared" si="0"/>
        <v>299174.40000000002</v>
      </c>
      <c r="G17" s="17">
        <f t="shared" si="1"/>
        <v>164519.92875599998</v>
      </c>
      <c r="H17" s="18">
        <f t="shared" si="3"/>
        <v>463694.32875600003</v>
      </c>
      <c r="I17" s="19">
        <f t="shared" si="2"/>
        <v>2.464603030033151E-3</v>
      </c>
      <c r="J17" s="19">
        <f t="shared" si="2"/>
        <v>1.3553175502746078E-3</v>
      </c>
      <c r="K17" s="19">
        <f t="shared" si="2"/>
        <v>3.819920580307759E-3</v>
      </c>
    </row>
    <row r="18" spans="1:14" s="5" customFormat="1" x14ac:dyDescent="0.25">
      <c r="A18" s="2" t="s">
        <v>7</v>
      </c>
      <c r="B18" s="15">
        <v>1.41</v>
      </c>
      <c r="C18" s="16">
        <v>10.773199999999999</v>
      </c>
      <c r="D18" s="17">
        <v>50174</v>
      </c>
      <c r="E18" s="17">
        <v>71868.66</v>
      </c>
      <c r="F18" s="17">
        <f t="shared" si="0"/>
        <v>848944.08</v>
      </c>
      <c r="G18" s="17">
        <f t="shared" si="1"/>
        <v>774255.447912</v>
      </c>
      <c r="H18" s="18">
        <f t="shared" si="3"/>
        <v>1623199.527912</v>
      </c>
      <c r="I18" s="19">
        <f t="shared" si="2"/>
        <v>6.9936135976096398E-3</v>
      </c>
      <c r="J18" s="19">
        <f t="shared" si="2"/>
        <v>6.3783275672771112E-3</v>
      </c>
      <c r="K18" s="19">
        <f t="shared" si="2"/>
        <v>1.3371941164886752E-2</v>
      </c>
    </row>
    <row r="19" spans="1:14" s="6" customFormat="1" x14ac:dyDescent="0.25">
      <c r="A19" s="3" t="s">
        <v>8</v>
      </c>
      <c r="B19" s="20"/>
      <c r="C19" s="21"/>
      <c r="D19" s="23">
        <f>SUM(D12:D18)</f>
        <v>256608</v>
      </c>
      <c r="E19" s="23">
        <f>SUM(E12:E18)</f>
        <v>2149730397.6599998</v>
      </c>
      <c r="F19" s="23">
        <f t="shared" ref="F19:K19" si="4">SUM(F12:F18)</f>
        <v>52272009.599999994</v>
      </c>
      <c r="G19" s="23">
        <f t="shared" si="4"/>
        <v>69116464.062622994</v>
      </c>
      <c r="H19" s="22">
        <f t="shared" si="4"/>
        <v>121388473.66262302</v>
      </c>
      <c r="I19" s="24">
        <f t="shared" si="4"/>
        <v>0.43061757037394222</v>
      </c>
      <c r="J19" s="24">
        <f t="shared" si="4"/>
        <v>0.56938242962605756</v>
      </c>
      <c r="K19" s="24">
        <f t="shared" si="4"/>
        <v>1</v>
      </c>
    </row>
    <row r="20" spans="1:14" s="5" customFormat="1" x14ac:dyDescent="0.25">
      <c r="K20" s="44"/>
    </row>
    <row r="21" spans="1:14" s="5" customFormat="1" x14ac:dyDescent="0.25">
      <c r="A21" s="4" t="s">
        <v>53</v>
      </c>
      <c r="K21" s="44"/>
    </row>
    <row r="22" spans="1:14" s="5" customFormat="1" x14ac:dyDescent="0.25">
      <c r="K22" s="44"/>
    </row>
    <row r="23" spans="1:14" ht="30" customHeight="1" x14ac:dyDescent="0.25">
      <c r="A23" s="25" t="s">
        <v>0</v>
      </c>
      <c r="B23" s="26" t="str">
        <f>+I10</f>
        <v>Fixed Charge 
% Total Revenue</v>
      </c>
      <c r="C23" s="26" t="str">
        <f>+J10</f>
        <v xml:space="preserve">Volumetric Charge % Total Revenue </v>
      </c>
      <c r="D23" s="26" t="s">
        <v>54</v>
      </c>
      <c r="E23" s="26" t="s">
        <v>55</v>
      </c>
      <c r="F23" s="26" t="s">
        <v>41</v>
      </c>
      <c r="G23" s="26" t="str">
        <f>+D10</f>
        <v>Customers or Connections</v>
      </c>
      <c r="H23" s="26" t="str">
        <f>+E10</f>
        <v>kWh/kW</v>
      </c>
      <c r="I23" s="26" t="s">
        <v>56</v>
      </c>
      <c r="J23" s="26" t="s">
        <v>57</v>
      </c>
    </row>
    <row r="24" spans="1:14" ht="15.75" x14ac:dyDescent="0.25">
      <c r="A24" s="10" t="s">
        <v>14</v>
      </c>
      <c r="B24" s="11" t="s">
        <v>35</v>
      </c>
      <c r="C24" s="11" t="s">
        <v>35</v>
      </c>
      <c r="D24" s="11"/>
      <c r="E24" s="11"/>
      <c r="F24" s="11"/>
      <c r="G24" s="11" t="s">
        <v>35</v>
      </c>
      <c r="H24" s="11" t="s">
        <v>35</v>
      </c>
      <c r="I24" s="11" t="s">
        <v>31</v>
      </c>
      <c r="J24" s="11" t="s">
        <v>32</v>
      </c>
    </row>
    <row r="25" spans="1:14" x14ac:dyDescent="0.25">
      <c r="A25" s="2" t="s">
        <v>1</v>
      </c>
      <c r="B25" s="28">
        <f t="shared" ref="B25:C31" si="5">I12</f>
        <v>0.23672799181795939</v>
      </c>
      <c r="C25" s="28">
        <f t="shared" si="5"/>
        <v>0.16168258997414353</v>
      </c>
      <c r="D25" s="17">
        <f t="shared" ref="D25:E31" si="6">$B$5*B25</f>
        <v>972672.70734146796</v>
      </c>
      <c r="E25" s="17">
        <f t="shared" si="6"/>
        <v>664324.65933756041</v>
      </c>
      <c r="F25" s="17">
        <f t="shared" ref="F25:F31" si="7">D25+E25</f>
        <v>1636997.3666790284</v>
      </c>
      <c r="G25" s="17">
        <f t="shared" ref="G25:H31" si="8">D12</f>
        <v>181140</v>
      </c>
      <c r="H25" s="18">
        <f t="shared" si="8"/>
        <v>1475669384.5699999</v>
      </c>
      <c r="I25" s="21">
        <f>F25/G25/12</f>
        <v>0.75309952094099797</v>
      </c>
      <c r="J25" s="21">
        <v>0</v>
      </c>
      <c r="K25" s="49"/>
      <c r="L25" s="49"/>
      <c r="M25" s="49"/>
      <c r="N25" s="49"/>
    </row>
    <row r="26" spans="1:14" x14ac:dyDescent="0.25">
      <c r="A26" s="2" t="s">
        <v>2</v>
      </c>
      <c r="B26" s="28">
        <f t="shared" si="5"/>
        <v>7.1960168675303596E-2</v>
      </c>
      <c r="C26" s="28">
        <f t="shared" si="5"/>
        <v>6.381329234020304E-2</v>
      </c>
      <c r="D26" s="17">
        <f t="shared" si="6"/>
        <v>295671.38025646092</v>
      </c>
      <c r="E26" s="17">
        <f t="shared" si="6"/>
        <v>262197.33183327306</v>
      </c>
      <c r="F26" s="17">
        <f t="shared" si="7"/>
        <v>557868.71208973392</v>
      </c>
      <c r="G26" s="17">
        <f t="shared" si="8"/>
        <v>17894</v>
      </c>
      <c r="H26" s="18">
        <f t="shared" si="8"/>
        <v>650941021.55999994</v>
      </c>
      <c r="I26" s="21">
        <f t="shared" ref="I26:I31" si="9">D26/G26/12</f>
        <v>1.3769577337676546</v>
      </c>
      <c r="J26" s="21">
        <f>E26/H26</f>
        <v>4.0279737049742109E-4</v>
      </c>
      <c r="K26" s="49"/>
      <c r="L26" s="49"/>
      <c r="M26" s="49"/>
      <c r="N26" s="49"/>
    </row>
    <row r="27" spans="1:14" x14ac:dyDescent="0.25">
      <c r="A27" s="2" t="s">
        <v>3</v>
      </c>
      <c r="B27" s="28">
        <f t="shared" si="5"/>
        <v>2.8122845415191569E-2</v>
      </c>
      <c r="C27" s="28">
        <f t="shared" si="5"/>
        <v>0.21380035589828172</v>
      </c>
      <c r="D27" s="17">
        <f t="shared" si="6"/>
        <v>115551.70969884742</v>
      </c>
      <c r="E27" s="17">
        <f t="shared" si="6"/>
        <v>878467.17832197796</v>
      </c>
      <c r="F27" s="17">
        <f t="shared" si="7"/>
        <v>994018.88802082534</v>
      </c>
      <c r="G27" s="17">
        <f t="shared" si="8"/>
        <v>3971</v>
      </c>
      <c r="H27" s="18">
        <f t="shared" si="8"/>
        <v>6019040.5099999998</v>
      </c>
      <c r="I27" s="21">
        <f t="shared" si="9"/>
        <v>2.4249078674315334</v>
      </c>
      <c r="J27" s="21">
        <f t="shared" ref="J27:J31" si="10">E27/H27</f>
        <v>0.1459480421941832</v>
      </c>
      <c r="K27" s="49"/>
      <c r="L27" s="49"/>
      <c r="M27" s="49"/>
      <c r="N27" s="49"/>
    </row>
    <row r="28" spans="1:14" x14ac:dyDescent="0.25">
      <c r="A28" s="2" t="s">
        <v>4</v>
      </c>
      <c r="B28" s="28">
        <f t="shared" si="5"/>
        <v>7.2902979772163437E-2</v>
      </c>
      <c r="C28" s="28">
        <f t="shared" si="5"/>
        <v>8.3044923861728806E-2</v>
      </c>
      <c r="D28" s="17">
        <f t="shared" si="6"/>
        <v>299545.22134746058</v>
      </c>
      <c r="E28" s="17">
        <f t="shared" si="6"/>
        <v>341216.64406154858</v>
      </c>
      <c r="F28" s="17">
        <f t="shared" si="7"/>
        <v>640761.86540900916</v>
      </c>
      <c r="G28" s="17">
        <f t="shared" si="8"/>
        <v>452</v>
      </c>
      <c r="H28" s="18">
        <f t="shared" si="8"/>
        <v>4543514.92</v>
      </c>
      <c r="I28" s="21">
        <f t="shared" si="9"/>
        <v>55.225888891493469</v>
      </c>
      <c r="J28" s="21">
        <f t="shared" si="10"/>
        <v>7.5099708060725065E-2</v>
      </c>
      <c r="K28" s="49"/>
      <c r="L28" s="49"/>
      <c r="M28" s="49"/>
      <c r="N28" s="49"/>
    </row>
    <row r="29" spans="1:14" x14ac:dyDescent="0.25">
      <c r="A29" s="2" t="s">
        <v>5</v>
      </c>
      <c r="B29" s="28">
        <f t="shared" si="5"/>
        <v>1.1445368065681456E-2</v>
      </c>
      <c r="C29" s="28">
        <f t="shared" si="5"/>
        <v>3.9307622434148787E-2</v>
      </c>
      <c r="D29" s="17">
        <f t="shared" si="6"/>
        <v>47026.95721563328</v>
      </c>
      <c r="E29" s="17">
        <f t="shared" si="6"/>
        <v>161507.94520987922</v>
      </c>
      <c r="F29" s="17">
        <f t="shared" si="7"/>
        <v>208534.9024255125</v>
      </c>
      <c r="G29" s="17">
        <f t="shared" si="8"/>
        <v>9</v>
      </c>
      <c r="H29" s="18">
        <f t="shared" si="8"/>
        <v>1732630.9200000002</v>
      </c>
      <c r="I29" s="21">
        <f t="shared" si="9"/>
        <v>435.43478903364149</v>
      </c>
      <c r="J29" s="21">
        <f t="shared" si="10"/>
        <v>9.3215435177550224E-2</v>
      </c>
      <c r="K29" s="49"/>
      <c r="L29" s="49"/>
      <c r="M29" s="49"/>
      <c r="N29" s="49"/>
    </row>
    <row r="30" spans="1:14" x14ac:dyDescent="0.25">
      <c r="A30" s="2" t="s">
        <v>6</v>
      </c>
      <c r="B30" s="28">
        <f t="shared" si="5"/>
        <v>2.464603030033151E-3</v>
      </c>
      <c r="C30" s="28">
        <f t="shared" si="5"/>
        <v>1.3553175502746078E-3</v>
      </c>
      <c r="D30" s="17">
        <f t="shared" si="6"/>
        <v>10126.610221860812</v>
      </c>
      <c r="E30" s="17">
        <f t="shared" si="6"/>
        <v>5568.7558569193143</v>
      </c>
      <c r="F30" s="17">
        <f t="shared" si="7"/>
        <v>15695.366078780127</v>
      </c>
      <c r="G30" s="17">
        <f t="shared" si="8"/>
        <v>2968</v>
      </c>
      <c r="H30" s="18">
        <f t="shared" si="8"/>
        <v>10752936.52</v>
      </c>
      <c r="I30" s="21">
        <f t="shared" si="9"/>
        <v>0.28432755564523843</v>
      </c>
      <c r="J30" s="21">
        <f t="shared" si="10"/>
        <v>5.1788233349668415E-4</v>
      </c>
      <c r="K30" s="49"/>
      <c r="L30" s="49"/>
      <c r="M30" s="49"/>
      <c r="N30" s="49"/>
    </row>
    <row r="31" spans="1:14" x14ac:dyDescent="0.25">
      <c r="A31" s="2" t="s">
        <v>7</v>
      </c>
      <c r="B31" s="28">
        <f t="shared" si="5"/>
        <v>6.9936135976096398E-3</v>
      </c>
      <c r="C31" s="28">
        <f t="shared" si="5"/>
        <v>6.3783275672771112E-3</v>
      </c>
      <c r="D31" s="17">
        <f t="shared" si="6"/>
        <v>28735.499422130441</v>
      </c>
      <c r="E31" s="17">
        <f t="shared" si="6"/>
        <v>26207.399874979539</v>
      </c>
      <c r="F31" s="17">
        <f t="shared" si="7"/>
        <v>54942.89929710998</v>
      </c>
      <c r="G31" s="17">
        <f t="shared" si="8"/>
        <v>50174</v>
      </c>
      <c r="H31" s="18">
        <f t="shared" si="8"/>
        <v>71868.66</v>
      </c>
      <c r="I31" s="21">
        <f t="shared" si="9"/>
        <v>4.7726411126165012E-2</v>
      </c>
      <c r="J31" s="21">
        <f t="shared" si="10"/>
        <v>0.36465685981872403</v>
      </c>
      <c r="K31" s="49"/>
      <c r="L31" s="49"/>
      <c r="M31" s="49"/>
      <c r="N31" s="49"/>
    </row>
    <row r="32" spans="1:14" x14ac:dyDescent="0.25">
      <c r="A32" s="3" t="s">
        <v>8</v>
      </c>
      <c r="B32" s="24">
        <f t="shared" ref="B32:F32" si="11">SUM(B25:B31)</f>
        <v>0.43061757037394222</v>
      </c>
      <c r="C32" s="24">
        <f t="shared" si="11"/>
        <v>0.56938242962605756</v>
      </c>
      <c r="D32" s="23">
        <f t="shared" si="11"/>
        <v>1769330.0855038613</v>
      </c>
      <c r="E32" s="23">
        <f t="shared" si="11"/>
        <v>2339489.9144961382</v>
      </c>
      <c r="F32" s="23">
        <f t="shared" si="11"/>
        <v>4108819.9999999991</v>
      </c>
      <c r="G32" s="23">
        <f>SUM(G25:G31)</f>
        <v>256608</v>
      </c>
      <c r="H32" s="23">
        <f>SUM(H25:H31)</f>
        <v>2149730397.6599998</v>
      </c>
      <c r="I32" s="24"/>
      <c r="J32" s="24"/>
    </row>
    <row r="34" spans="1:16" x14ac:dyDescent="0.25">
      <c r="A34" s="4" t="s">
        <v>58</v>
      </c>
    </row>
    <row r="35" spans="1:16" x14ac:dyDescent="0.25">
      <c r="A35" s="4"/>
    </row>
    <row r="36" spans="1:16" ht="18.75" x14ac:dyDescent="0.25">
      <c r="B36" s="69" t="s">
        <v>16</v>
      </c>
      <c r="C36" s="70"/>
      <c r="D36" s="70" t="s">
        <v>59</v>
      </c>
      <c r="E36" s="70"/>
      <c r="F36" s="69" t="s">
        <v>61</v>
      </c>
      <c r="G36" s="71"/>
      <c r="H36" s="69" t="s">
        <v>60</v>
      </c>
      <c r="I36" s="70"/>
      <c r="J36" s="71"/>
    </row>
    <row r="37" spans="1:16" ht="30" x14ac:dyDescent="0.25">
      <c r="A37" s="25" t="s">
        <v>0</v>
      </c>
      <c r="B37" s="26" t="str">
        <f>+B10</f>
        <v>Monthly Fixed Charge</v>
      </c>
      <c r="C37" s="26" t="str">
        <f>+C10</f>
        <v>Volumetric Charge</v>
      </c>
      <c r="D37" s="26" t="s">
        <v>56</v>
      </c>
      <c r="E37" s="26" t="s">
        <v>57</v>
      </c>
      <c r="F37" s="26" t="str">
        <f>+B37</f>
        <v>Monthly Fixed Charge</v>
      </c>
      <c r="G37" s="26" t="str">
        <f>+C37</f>
        <v>Volumetric Charge</v>
      </c>
      <c r="H37" s="26" t="s">
        <v>17</v>
      </c>
      <c r="I37" s="26" t="s">
        <v>30</v>
      </c>
      <c r="J37" s="26" t="s">
        <v>8</v>
      </c>
    </row>
    <row r="38" spans="1:16" ht="15.75" x14ac:dyDescent="0.25">
      <c r="A38" s="10" t="s">
        <v>14</v>
      </c>
      <c r="B38" s="11"/>
      <c r="C38" s="11"/>
      <c r="D38" s="11" t="s">
        <v>15</v>
      </c>
      <c r="E38" s="11" t="s">
        <v>15</v>
      </c>
      <c r="F38" s="11"/>
      <c r="G38" s="11"/>
      <c r="H38" s="11"/>
      <c r="I38" s="11"/>
      <c r="J38" s="11"/>
    </row>
    <row r="39" spans="1:16" x14ac:dyDescent="0.25">
      <c r="A39" s="2" t="s">
        <v>1</v>
      </c>
      <c r="B39" s="15">
        <v>15.75</v>
      </c>
      <c r="C39" s="16">
        <v>1.0200000000000001E-2</v>
      </c>
      <c r="D39" s="16">
        <f>I25</f>
        <v>0.75309952094099797</v>
      </c>
      <c r="E39" s="16">
        <f t="shared" ref="E39:E45" si="12">J25</f>
        <v>0</v>
      </c>
      <c r="F39" s="15">
        <f>(I50+D39)*1.0195</f>
        <v>19.150373434489453</v>
      </c>
      <c r="G39" s="31">
        <f>I51*1.0195</f>
        <v>6.9326000000000023E-3</v>
      </c>
      <c r="H39" s="17">
        <f>F39*D12*12</f>
        <v>41626783.727081031</v>
      </c>
      <c r="I39" s="17">
        <f>G39*E12</f>
        <v>10230225.575469986</v>
      </c>
      <c r="J39" s="17">
        <f>H39+I39</f>
        <v>51857009.302551016</v>
      </c>
    </row>
    <row r="40" spans="1:16" x14ac:dyDescent="0.25">
      <c r="A40" s="2" t="s">
        <v>2</v>
      </c>
      <c r="B40" s="15">
        <v>41.47</v>
      </c>
      <c r="C40" s="16">
        <v>1.21E-2</v>
      </c>
      <c r="D40" s="16">
        <f t="shared" ref="D40:D45" si="13">I26</f>
        <v>1.3769577337676546</v>
      </c>
      <c r="E40" s="16">
        <f t="shared" si="12"/>
        <v>4.0279737049742109E-4</v>
      </c>
      <c r="F40" s="15">
        <f t="shared" ref="F40:G45" si="14">(B40+D40)*1.0195</f>
        <v>43.682473409576126</v>
      </c>
      <c r="G40" s="16">
        <f t="shared" si="14"/>
        <v>1.2746601919222122E-2</v>
      </c>
      <c r="H40" s="17">
        <f t="shared" ref="H40:H45" si="15">F40*D13*12</f>
        <v>9379850.1502914634</v>
      </c>
      <c r="I40" s="17">
        <f t="shared" ref="I40:I45" si="16">G40*E13</f>
        <v>8297286.0747171035</v>
      </c>
      <c r="J40" s="17">
        <f t="shared" ref="J40:J45" si="17">H40+I40</f>
        <v>17677136.225008566</v>
      </c>
    </row>
    <row r="41" spans="1:16" x14ac:dyDescent="0.25">
      <c r="A41" s="2" t="s">
        <v>3</v>
      </c>
      <c r="B41" s="15">
        <v>73.040000000000006</v>
      </c>
      <c r="C41" s="16">
        <v>4.3959000000000001</v>
      </c>
      <c r="D41" s="16">
        <f t="shared" si="13"/>
        <v>2.4249078674315334</v>
      </c>
      <c r="E41" s="16">
        <f t="shared" si="12"/>
        <v>0.1459480421941832</v>
      </c>
      <c r="F41" s="15">
        <f t="shared" si="14"/>
        <v>76.936473570846459</v>
      </c>
      <c r="G41" s="16">
        <f t="shared" si="14"/>
        <v>4.6304140790169699</v>
      </c>
      <c r="H41" s="17">
        <f t="shared" si="15"/>
        <v>3666176.8385979757</v>
      </c>
      <c r="I41" s="17">
        <f>G41*E14</f>
        <v>27870649.919677481</v>
      </c>
      <c r="J41" s="17">
        <f t="shared" si="17"/>
        <v>31536826.758275457</v>
      </c>
    </row>
    <row r="42" spans="1:16" x14ac:dyDescent="0.25">
      <c r="A42" s="2" t="s">
        <v>4</v>
      </c>
      <c r="B42" s="15">
        <v>1663.38</v>
      </c>
      <c r="C42" s="16">
        <v>2.262</v>
      </c>
      <c r="D42" s="16">
        <f t="shared" si="13"/>
        <v>55.225888891493469</v>
      </c>
      <c r="E42" s="16">
        <f t="shared" si="12"/>
        <v>7.5099708060725065E-2</v>
      </c>
      <c r="F42" s="15">
        <f t="shared" si="14"/>
        <v>1752.1187037248778</v>
      </c>
      <c r="G42" s="16">
        <f t="shared" si="14"/>
        <v>2.3826731523679094</v>
      </c>
      <c r="H42" s="17">
        <f t="shared" si="15"/>
        <v>9503491.8490037359</v>
      </c>
      <c r="I42" s="17">
        <f t="shared" si="16"/>
        <v>10825711.01726703</v>
      </c>
      <c r="J42" s="17">
        <f t="shared" si="17"/>
        <v>20329202.866270766</v>
      </c>
    </row>
    <row r="43" spans="1:16" x14ac:dyDescent="0.25">
      <c r="A43" s="2" t="s">
        <v>5</v>
      </c>
      <c r="B43" s="15">
        <v>13115.07</v>
      </c>
      <c r="C43" s="16">
        <v>2.8075999999999999</v>
      </c>
      <c r="D43" s="16">
        <f t="shared" si="13"/>
        <v>435.43478903364149</v>
      </c>
      <c r="E43" s="16">
        <f t="shared" si="12"/>
        <v>9.3215435177550224E-2</v>
      </c>
      <c r="F43" s="15">
        <f t="shared" si="14"/>
        <v>13814.739632419798</v>
      </c>
      <c r="G43" s="16">
        <f t="shared" si="14"/>
        <v>2.9573813361635124</v>
      </c>
      <c r="H43" s="17">
        <f t="shared" si="15"/>
        <v>1491991.8803013382</v>
      </c>
      <c r="I43" s="17">
        <f t="shared" si="16"/>
        <v>5124050.3452678164</v>
      </c>
      <c r="J43" s="17">
        <f t="shared" si="17"/>
        <v>6616042.2255691551</v>
      </c>
    </row>
    <row r="44" spans="1:16" x14ac:dyDescent="0.25">
      <c r="A44" s="2" t="s">
        <v>6</v>
      </c>
      <c r="B44" s="15">
        <v>8.56</v>
      </c>
      <c r="C44" s="16">
        <v>1.5599999999999999E-2</v>
      </c>
      <c r="D44" s="16">
        <f t="shared" si="13"/>
        <v>0.28432755564523843</v>
      </c>
      <c r="E44" s="16">
        <f t="shared" si="12"/>
        <v>5.1788233349668415E-4</v>
      </c>
      <c r="F44" s="15">
        <f t="shared" si="14"/>
        <v>9.0167919429803209</v>
      </c>
      <c r="G44" s="16">
        <f t="shared" si="14"/>
        <v>1.643218103899987E-2</v>
      </c>
      <c r="H44" s="17">
        <f t="shared" si="15"/>
        <v>321142.06184118707</v>
      </c>
      <c r="I44" s="17">
        <f t="shared" si="16"/>
        <v>176694.19959751324</v>
      </c>
      <c r="J44" s="17">
        <f t="shared" si="17"/>
        <v>497836.26143870031</v>
      </c>
    </row>
    <row r="45" spans="1:16" x14ac:dyDescent="0.25">
      <c r="A45" s="2" t="s">
        <v>7</v>
      </c>
      <c r="B45" s="15">
        <v>1.44</v>
      </c>
      <c r="C45" s="16">
        <v>10.9833</v>
      </c>
      <c r="D45" s="16">
        <f t="shared" si="13"/>
        <v>4.7726411126165012E-2</v>
      </c>
      <c r="E45" s="16">
        <f t="shared" si="12"/>
        <v>0.36465685981872403</v>
      </c>
      <c r="F45" s="15">
        <f t="shared" si="14"/>
        <v>1.5167370761431254</v>
      </c>
      <c r="G45" s="16">
        <f t="shared" si="14"/>
        <v>11.569242018585191</v>
      </c>
      <c r="H45" s="17">
        <f t="shared" si="15"/>
        <v>913209.19270086219</v>
      </c>
      <c r="I45" s="17">
        <f t="shared" si="16"/>
        <v>831465.92109141278</v>
      </c>
      <c r="J45" s="17">
        <f t="shared" si="17"/>
        <v>1744675.1137922751</v>
      </c>
    </row>
    <row r="46" spans="1:16" x14ac:dyDescent="0.25">
      <c r="H46" s="23">
        <f>SUM(H39:H45)</f>
        <v>66902645.699817598</v>
      </c>
      <c r="I46" s="23">
        <f>SUM(I39:I45)</f>
        <v>63356083.053088352</v>
      </c>
      <c r="J46" s="23">
        <f>SUM(J39:J45)</f>
        <v>130258728.75290592</v>
      </c>
    </row>
    <row r="47" spans="1:16" x14ac:dyDescent="0.25">
      <c r="P47" s="7"/>
    </row>
    <row r="48" spans="1:16" x14ac:dyDescent="0.25">
      <c r="A48" s="4" t="s">
        <v>62</v>
      </c>
    </row>
    <row r="49" spans="1:11" ht="45" x14ac:dyDescent="0.25">
      <c r="A49" s="25"/>
      <c r="B49" s="26" t="s">
        <v>19</v>
      </c>
      <c r="C49" s="26" t="s">
        <v>20</v>
      </c>
      <c r="D49" s="26" t="s">
        <v>21</v>
      </c>
      <c r="E49" s="26" t="s">
        <v>22</v>
      </c>
      <c r="F49" s="26" t="s">
        <v>23</v>
      </c>
      <c r="G49" s="26" t="s">
        <v>24</v>
      </c>
      <c r="H49" s="26" t="s">
        <v>25</v>
      </c>
      <c r="I49" s="26" t="s">
        <v>26</v>
      </c>
      <c r="J49" s="26" t="s">
        <v>27</v>
      </c>
      <c r="K49" s="26" t="s">
        <v>33</v>
      </c>
    </row>
    <row r="50" spans="1:11" x14ac:dyDescent="0.25">
      <c r="A50" s="29" t="s">
        <v>17</v>
      </c>
      <c r="B50" s="32">
        <f>B39</f>
        <v>15.75</v>
      </c>
      <c r="C50" s="13">
        <v>176865</v>
      </c>
      <c r="D50" s="12">
        <f>B50*C50*12</f>
        <v>33427485</v>
      </c>
      <c r="E50" s="33">
        <f>D50/D52</f>
        <v>0.69712003175097403</v>
      </c>
      <c r="F50" s="34">
        <f>(1-E50)/3</f>
        <v>0.10095998941634199</v>
      </c>
      <c r="G50" s="32">
        <f>(F50*D52)/C50/12</f>
        <v>2.2809842794410051</v>
      </c>
      <c r="H50" s="34">
        <f>E50+F50</f>
        <v>0.79808002116731602</v>
      </c>
      <c r="I50" s="32">
        <f>(H50*D52/C50/12)</f>
        <v>18.030984279441004</v>
      </c>
      <c r="J50" s="12">
        <f>I50*C50*12</f>
        <v>38268600.414999992</v>
      </c>
      <c r="K50" s="35">
        <f>I50*1.95%</f>
        <v>0.3516041934490996</v>
      </c>
    </row>
    <row r="51" spans="1:11" x14ac:dyDescent="0.25">
      <c r="A51" s="36" t="s">
        <v>18</v>
      </c>
      <c r="B51" s="37">
        <f>C39</f>
        <v>1.0200000000000001E-2</v>
      </c>
      <c r="C51" s="14">
        <v>1423857475</v>
      </c>
      <c r="D51" s="30">
        <f>B51*C51</f>
        <v>14523346.245000001</v>
      </c>
      <c r="E51" s="38">
        <f>D51/D52</f>
        <v>0.30287996824902591</v>
      </c>
      <c r="F51" s="5"/>
      <c r="G51" s="5"/>
      <c r="H51" s="39">
        <f>1-H50</f>
        <v>0.20191997883268398</v>
      </c>
      <c r="I51" s="5">
        <f>H51*D52/C51</f>
        <v>6.8000000000000014E-3</v>
      </c>
      <c r="J51" s="30">
        <f>I51*C51</f>
        <v>9682230.8300000019</v>
      </c>
      <c r="K51" s="40">
        <f>I51*1.95%</f>
        <v>1.3260000000000002E-4</v>
      </c>
    </row>
    <row r="52" spans="1:11" x14ac:dyDescent="0.25">
      <c r="A52" s="41"/>
      <c r="B52" s="1"/>
      <c r="C52" s="1"/>
      <c r="D52" s="43">
        <f>SUM(D50:D51)</f>
        <v>47950831.245000005</v>
      </c>
      <c r="E52" s="1"/>
      <c r="F52" s="1"/>
      <c r="G52" s="1"/>
      <c r="H52" s="1"/>
      <c r="I52" s="1"/>
      <c r="J52" s="43">
        <f>SUM(J50:J51)</f>
        <v>47950831.24499999</v>
      </c>
      <c r="K52" s="42"/>
    </row>
    <row r="56" spans="1:11" x14ac:dyDescent="0.25">
      <c r="E56" s="8"/>
      <c r="F56" s="8"/>
      <c r="G56" s="8"/>
      <c r="H56" s="46"/>
      <c r="I56" s="46"/>
    </row>
    <row r="57" spans="1:11" x14ac:dyDescent="0.25">
      <c r="E57" s="8"/>
      <c r="F57" s="8"/>
      <c r="G57" s="8"/>
      <c r="H57" s="46"/>
      <c r="I57" s="46"/>
    </row>
    <row r="58" spans="1:11" x14ac:dyDescent="0.25">
      <c r="E58" s="8"/>
      <c r="F58" s="8"/>
      <c r="G58" s="8"/>
      <c r="H58" s="46"/>
      <c r="I58" s="46"/>
    </row>
    <row r="59" spans="1:11" x14ac:dyDescent="0.25">
      <c r="E59" s="8"/>
      <c r="F59" s="8"/>
      <c r="G59" s="8"/>
      <c r="H59" s="46"/>
      <c r="I59" s="46"/>
    </row>
    <row r="60" spans="1:11" x14ac:dyDescent="0.25">
      <c r="E60" s="8"/>
      <c r="F60" s="8"/>
      <c r="G60" s="8"/>
      <c r="H60" s="46"/>
      <c r="I60" s="46"/>
    </row>
    <row r="61" spans="1:11" x14ac:dyDescent="0.25">
      <c r="E61" s="8"/>
      <c r="F61" s="8"/>
      <c r="G61" s="8"/>
      <c r="H61" s="46"/>
      <c r="I61" s="46"/>
    </row>
    <row r="62" spans="1:11" x14ac:dyDescent="0.25">
      <c r="E62" s="8"/>
      <c r="F62" s="8"/>
      <c r="G62" s="8"/>
      <c r="H62" s="46"/>
      <c r="I62" s="46"/>
    </row>
    <row r="63" spans="1:11" x14ac:dyDescent="0.25">
      <c r="E63" s="8"/>
      <c r="F63" s="8"/>
    </row>
  </sheetData>
  <mergeCells count="6">
    <mergeCell ref="H36:J36"/>
    <mergeCell ref="B9:C9"/>
    <mergeCell ref="D9:E9"/>
    <mergeCell ref="B36:C36"/>
    <mergeCell ref="D36:E36"/>
    <mergeCell ref="F36:G36"/>
  </mergeCells>
  <pageMargins left="0.25" right="0.25" top="0.75" bottom="0.75" header="0.3" footer="0.3"/>
  <pageSetup scale="58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showGridLines="0" workbookViewId="0">
      <selection activeCell="M1" sqref="M1"/>
    </sheetView>
  </sheetViews>
  <sheetFormatPr defaultRowHeight="15" x14ac:dyDescent="0.25"/>
  <cols>
    <col min="1" max="1" width="32.140625" customWidth="1"/>
    <col min="2" max="3" width="16.28515625" customWidth="1"/>
    <col min="4" max="4" width="11.28515625" customWidth="1"/>
    <col min="5" max="5" width="8" customWidth="1"/>
    <col min="6" max="7" width="18" customWidth="1"/>
    <col min="8" max="8" width="11.28515625" customWidth="1"/>
    <col min="9" max="9" width="9.140625" customWidth="1"/>
    <col min="10" max="10" width="15.42578125" customWidth="1"/>
    <col min="11" max="14" width="16.85546875" customWidth="1"/>
  </cols>
  <sheetData>
    <row r="1" spans="1:14" ht="13.5" customHeight="1" x14ac:dyDescent="0.3">
      <c r="A1" s="50"/>
      <c r="N1" s="72" t="s">
        <v>81</v>
      </c>
    </row>
    <row r="2" spans="1:14" ht="13.5" customHeight="1" x14ac:dyDescent="0.3">
      <c r="A2" s="50"/>
      <c r="N2" s="72" t="s">
        <v>65</v>
      </c>
    </row>
    <row r="3" spans="1:14" ht="13.5" customHeight="1" x14ac:dyDescent="0.3">
      <c r="A3" s="50"/>
      <c r="N3" s="72" t="s">
        <v>66</v>
      </c>
    </row>
    <row r="4" spans="1:14" ht="13.5" customHeight="1" x14ac:dyDescent="0.3">
      <c r="A4" s="50"/>
      <c r="N4" s="72" t="s">
        <v>67</v>
      </c>
    </row>
    <row r="5" spans="1:14" ht="13.5" customHeight="1" x14ac:dyDescent="0.3">
      <c r="A5" s="50"/>
      <c r="N5" s="72" t="s">
        <v>68</v>
      </c>
    </row>
    <row r="6" spans="1:14" ht="13.5" customHeight="1" x14ac:dyDescent="0.25">
      <c r="N6" s="72" t="s">
        <v>82</v>
      </c>
    </row>
    <row r="7" spans="1:14" ht="13.5" customHeight="1" x14ac:dyDescent="0.25">
      <c r="N7" s="72" t="s">
        <v>87</v>
      </c>
    </row>
    <row r="9" spans="1:14" ht="57.75" customHeight="1" x14ac:dyDescent="0.25">
      <c r="A9" s="54" t="s">
        <v>0</v>
      </c>
      <c r="B9" s="51" t="s">
        <v>71</v>
      </c>
      <c r="C9" s="51" t="s">
        <v>70</v>
      </c>
      <c r="D9" s="53" t="s">
        <v>69</v>
      </c>
      <c r="E9" s="53" t="s">
        <v>74</v>
      </c>
      <c r="F9" s="51" t="s">
        <v>73</v>
      </c>
      <c r="G9" s="51" t="s">
        <v>72</v>
      </c>
      <c r="H9" s="53" t="s">
        <v>69</v>
      </c>
      <c r="I9" s="61" t="s">
        <v>74</v>
      </c>
      <c r="J9" s="65" t="s">
        <v>75</v>
      </c>
      <c r="K9" s="65" t="s">
        <v>76</v>
      </c>
      <c r="L9" s="65" t="s">
        <v>77</v>
      </c>
      <c r="M9" s="65" t="s">
        <v>78</v>
      </c>
      <c r="N9" s="63" t="s">
        <v>79</v>
      </c>
    </row>
    <row r="10" spans="1:14" x14ac:dyDescent="0.25">
      <c r="A10" s="52" t="s">
        <v>1</v>
      </c>
      <c r="B10" s="55">
        <f>'IFRS Rev Req Adj (2015 BD)'!I25</f>
        <v>0.75309952094099797</v>
      </c>
      <c r="C10" s="55">
        <f>'IFRS Rev Req Adj (2013 BD)'!I25</f>
        <v>0.74770780637542555</v>
      </c>
      <c r="D10" s="56">
        <f t="shared" ref="D10:D16" si="0">B10-C10</f>
        <v>5.3917145655724141E-3</v>
      </c>
      <c r="E10" s="58">
        <f t="shared" ref="E10:E16" si="1">D10/C10</f>
        <v>7.210991405465177E-3</v>
      </c>
      <c r="F10" s="57">
        <f>'IFRS Rev Req Adj (2015 BD)'!J25</f>
        <v>0</v>
      </c>
      <c r="G10" s="55">
        <f>'IFRS Rev Req Adj (2013 BD)'!J25</f>
        <v>0</v>
      </c>
      <c r="H10" s="56">
        <f t="shared" ref="H10:H16" si="2">F10-G10</f>
        <v>0</v>
      </c>
      <c r="I10" s="58">
        <v>0</v>
      </c>
      <c r="J10" s="62">
        <f>'IFRS Rev Req Adj (2015 BD)'!D12</f>
        <v>181140</v>
      </c>
      <c r="K10" s="62">
        <f>'IFRS Rev Req Adj (2015 BD)'!E12</f>
        <v>1475669384.5699999</v>
      </c>
      <c r="L10" s="62">
        <f>D10*J10*12</f>
        <v>11719.862116893444</v>
      </c>
      <c r="M10" s="62">
        <f>K10*H10</f>
        <v>0</v>
      </c>
      <c r="N10" s="66">
        <f>+L10+M10</f>
        <v>11719.862116893444</v>
      </c>
    </row>
    <row r="11" spans="1:14" x14ac:dyDescent="0.25">
      <c r="A11" s="52" t="s">
        <v>2</v>
      </c>
      <c r="B11" s="55">
        <f>'IFRS Rev Req Adj (2015 BD)'!I26</f>
        <v>1.3769577337676546</v>
      </c>
      <c r="C11" s="55">
        <f>'IFRS Rev Req Adj (2013 BD)'!I26</f>
        <v>1.3743501099640794</v>
      </c>
      <c r="D11" s="56">
        <f t="shared" si="0"/>
        <v>2.6076238035752652E-3</v>
      </c>
      <c r="E11" s="58">
        <f t="shared" si="1"/>
        <v>1.8973504528940004E-3</v>
      </c>
      <c r="F11" s="57">
        <f>'IFRS Rev Req Adj (2015 BD)'!J26</f>
        <v>4.0279737049742109E-4</v>
      </c>
      <c r="G11" s="55">
        <f>'IFRS Rev Req Adj (2013 BD)'!J26</f>
        <v>4.0022857089356574E-4</v>
      </c>
      <c r="H11" s="56">
        <f t="shared" si="2"/>
        <v>2.5687996038553434E-6</v>
      </c>
      <c r="I11" s="58">
        <f t="shared" ref="I11:I16" si="3">H11/G11</f>
        <v>6.4183314002799509E-3</v>
      </c>
      <c r="J11" s="59">
        <f>'IFRS Rev Req Adj (2015 BD)'!D13</f>
        <v>17894</v>
      </c>
      <c r="K11" s="59">
        <f>'IFRS Rev Req Adj (2015 BD)'!E13</f>
        <v>650941021.55999994</v>
      </c>
      <c r="L11" s="59">
        <f t="shared" ref="L11:L16" si="4">D11*J11*12</f>
        <v>559.92984409410951</v>
      </c>
      <c r="M11" s="59">
        <f t="shared" ref="M11:M16" si="5">K11*H11</f>
        <v>1672.1370383165204</v>
      </c>
      <c r="N11" s="67">
        <f t="shared" ref="N11:N16" si="6">+L11+M11</f>
        <v>2232.0668824106297</v>
      </c>
    </row>
    <row r="12" spans="1:14" x14ac:dyDescent="0.25">
      <c r="A12" s="52" t="s">
        <v>3</v>
      </c>
      <c r="B12" s="55">
        <f>'IFRS Rev Req Adj (2015 BD)'!I27</f>
        <v>2.4249078674315334</v>
      </c>
      <c r="C12" s="55">
        <f>'IFRS Rev Req Adj (2013 BD)'!I27</f>
        <v>2.4201647669511792</v>
      </c>
      <c r="D12" s="56">
        <f t="shared" si="0"/>
        <v>4.743100480354201E-3</v>
      </c>
      <c r="E12" s="58">
        <f t="shared" si="1"/>
        <v>1.9598254404510473E-3</v>
      </c>
      <c r="F12" s="57">
        <f>'IFRS Rev Req Adj (2015 BD)'!J27</f>
        <v>0.1459480421941832</v>
      </c>
      <c r="G12" s="55">
        <f>'IFRS Rev Req Adj (2013 BD)'!J27</f>
        <v>0.14565883806616003</v>
      </c>
      <c r="H12" s="56">
        <f t="shared" si="2"/>
        <v>2.8920412802316275E-4</v>
      </c>
      <c r="I12" s="58">
        <f t="shared" si="3"/>
        <v>1.9854897365843512E-3</v>
      </c>
      <c r="J12" s="59">
        <f>'IFRS Rev Req Adj (2015 BD)'!D14</f>
        <v>3971</v>
      </c>
      <c r="K12" s="59">
        <f>'IFRS Rev Req Adj (2015 BD)'!E14</f>
        <v>6019040.5099999998</v>
      </c>
      <c r="L12" s="59">
        <f t="shared" si="4"/>
        <v>226.01822408983838</v>
      </c>
      <c r="M12" s="59">
        <f t="shared" si="5"/>
        <v>1740.7313622306428</v>
      </c>
      <c r="N12" s="67">
        <f t="shared" si="6"/>
        <v>1966.7495863204813</v>
      </c>
    </row>
    <row r="13" spans="1:14" x14ac:dyDescent="0.25">
      <c r="A13" s="52" t="s">
        <v>4</v>
      </c>
      <c r="B13" s="55">
        <f>'IFRS Rev Req Adj (2015 BD)'!I28</f>
        <v>55.225888891493469</v>
      </c>
      <c r="C13" s="55">
        <f>'IFRS Rev Req Adj (2013 BD)'!I28</f>
        <v>55.11634655986358</v>
      </c>
      <c r="D13" s="56">
        <f t="shared" si="0"/>
        <v>0.10954233162988913</v>
      </c>
      <c r="E13" s="58">
        <f t="shared" si="1"/>
        <v>1.9874744693194023E-3</v>
      </c>
      <c r="F13" s="57">
        <f>'IFRS Rev Req Adj (2015 BD)'!J28</f>
        <v>7.5099708060725065E-2</v>
      </c>
      <c r="G13" s="55">
        <f>'IFRS Rev Req Adj (2013 BD)'!J28</f>
        <v>7.495063045881592E-2</v>
      </c>
      <c r="H13" s="56">
        <f t="shared" si="2"/>
        <v>1.4907760190914499E-4</v>
      </c>
      <c r="I13" s="58">
        <f t="shared" si="3"/>
        <v>1.9890106460286622E-3</v>
      </c>
      <c r="J13" s="59">
        <f>'IFRS Rev Req Adj (2015 BD)'!D15</f>
        <v>452</v>
      </c>
      <c r="K13" s="59">
        <f>'IFRS Rev Req Adj (2015 BD)'!E15</f>
        <v>4543514.92</v>
      </c>
      <c r="L13" s="59">
        <f t="shared" si="4"/>
        <v>594.15760676051866</v>
      </c>
      <c r="M13" s="59">
        <f t="shared" si="5"/>
        <v>677.33630851202076</v>
      </c>
      <c r="N13" s="67">
        <f t="shared" si="6"/>
        <v>1271.4939152725394</v>
      </c>
    </row>
    <row r="14" spans="1:14" x14ac:dyDescent="0.25">
      <c r="A14" s="52" t="s">
        <v>5</v>
      </c>
      <c r="B14" s="55">
        <f>'IFRS Rev Req Adj (2015 BD)'!I29</f>
        <v>435.43478903364149</v>
      </c>
      <c r="C14" s="55">
        <f>'IFRS Rev Req Adj (2013 BD)'!I29</f>
        <v>434.57166252467613</v>
      </c>
      <c r="D14" s="56">
        <f t="shared" si="0"/>
        <v>0.86312650896536525</v>
      </c>
      <c r="E14" s="58">
        <f t="shared" si="1"/>
        <v>1.9861546055510572E-3</v>
      </c>
      <c r="F14" s="57">
        <f>'IFRS Rev Req Adj (2015 BD)'!J29</f>
        <v>9.3215435177550224E-2</v>
      </c>
      <c r="G14" s="55">
        <f>'IFRS Rev Req Adj (2013 BD)'!J29</f>
        <v>9.3030521117877435E-2</v>
      </c>
      <c r="H14" s="56">
        <f t="shared" si="2"/>
        <v>1.8491405967278884E-4</v>
      </c>
      <c r="I14" s="58">
        <f t="shared" si="3"/>
        <v>1.9876709003756659E-3</v>
      </c>
      <c r="J14" s="59">
        <f>'IFRS Rev Req Adj (2015 BD)'!D16</f>
        <v>9</v>
      </c>
      <c r="K14" s="59">
        <f>'IFRS Rev Req Adj (2015 BD)'!E16</f>
        <v>1732630.9200000002</v>
      </c>
      <c r="L14" s="59">
        <f t="shared" si="4"/>
        <v>93.217662968259447</v>
      </c>
      <c r="M14" s="59">
        <f t="shared" si="5"/>
        <v>320.38781733179906</v>
      </c>
      <c r="N14" s="67">
        <f t="shared" si="6"/>
        <v>413.6054803000585</v>
      </c>
    </row>
    <row r="15" spans="1:14" x14ac:dyDescent="0.25">
      <c r="A15" s="52" t="s">
        <v>6</v>
      </c>
      <c r="B15" s="55">
        <f>'IFRS Rev Req Adj (2015 BD)'!I30</f>
        <v>0.28432755564523843</v>
      </c>
      <c r="C15" s="55">
        <f>'IFRS Rev Req Adj (2013 BD)'!I30</f>
        <v>0.28364024806804872</v>
      </c>
      <c r="D15" s="56">
        <f t="shared" si="0"/>
        <v>6.8730757718971081E-4</v>
      </c>
      <c r="E15" s="58">
        <f t="shared" si="1"/>
        <v>2.4231666058366209E-3</v>
      </c>
      <c r="F15" s="57">
        <f>'IFRS Rev Req Adj (2015 BD)'!J30</f>
        <v>5.1788233349668415E-4</v>
      </c>
      <c r="G15" s="55">
        <f>'IFRS Rev Req Adj (2013 BD)'!J30</f>
        <v>5.1855701794035916E-4</v>
      </c>
      <c r="H15" s="56">
        <f t="shared" si="2"/>
        <v>-6.7468444367500911E-7</v>
      </c>
      <c r="I15" s="58">
        <f t="shared" si="3"/>
        <v>-1.3010805375940485E-3</v>
      </c>
      <c r="J15" s="59">
        <f>'IFRS Rev Req Adj (2015 BD)'!D17</f>
        <v>2968</v>
      </c>
      <c r="K15" s="59">
        <f>'IFRS Rev Req Adj (2015 BD)'!E17</f>
        <v>10752936.52</v>
      </c>
      <c r="L15" s="59">
        <f t="shared" si="4"/>
        <v>24.47914666918874</v>
      </c>
      <c r="M15" s="59">
        <f t="shared" si="5"/>
        <v>-7.254838993868888</v>
      </c>
      <c r="N15" s="67">
        <f t="shared" si="6"/>
        <v>17.224307675319853</v>
      </c>
    </row>
    <row r="16" spans="1:14" x14ac:dyDescent="0.25">
      <c r="A16" s="52" t="s">
        <v>7</v>
      </c>
      <c r="B16" s="55">
        <f>'IFRS Rev Req Adj (2015 BD)'!I31</f>
        <v>4.7726411126165012E-2</v>
      </c>
      <c r="C16" s="55">
        <f>'IFRS Rev Req Adj (2013 BD)'!I31</f>
        <v>4.7679403662972623E-2</v>
      </c>
      <c r="D16" s="56">
        <f t="shared" si="0"/>
        <v>4.700746319238891E-5</v>
      </c>
      <c r="E16" s="58">
        <f t="shared" si="1"/>
        <v>9.8590711252738395E-4</v>
      </c>
      <c r="F16" s="57">
        <f>'IFRS Rev Req Adj (2015 BD)'!J31</f>
        <v>0.36465685981872403</v>
      </c>
      <c r="G16" s="55">
        <f>'IFRS Rev Req Adj (2013 BD)'!J31</f>
        <v>0.36393305988618313</v>
      </c>
      <c r="H16" s="56">
        <f t="shared" si="2"/>
        <v>7.237999325409028E-4</v>
      </c>
      <c r="I16" s="58">
        <f t="shared" si="3"/>
        <v>1.9888271012456654E-3</v>
      </c>
      <c r="J16" s="59">
        <f>'IFRS Rev Req Adj (2015 BD)'!D18</f>
        <v>50174</v>
      </c>
      <c r="K16" s="59">
        <f>'IFRS Rev Req Adj (2015 BD)'!E18</f>
        <v>71868.66</v>
      </c>
      <c r="L16" s="59">
        <f t="shared" si="4"/>
        <v>28.302629498579051</v>
      </c>
      <c r="M16" s="59">
        <f t="shared" si="5"/>
        <v>52.01853125980508</v>
      </c>
      <c r="N16" s="67">
        <f t="shared" si="6"/>
        <v>80.321160758384138</v>
      </c>
    </row>
    <row r="17" spans="1:14" x14ac:dyDescent="0.25">
      <c r="A17" s="64" t="s">
        <v>80</v>
      </c>
      <c r="J17" s="59"/>
      <c r="K17" s="59"/>
      <c r="L17" s="60">
        <f>SUM(L10:L16)</f>
        <v>13245.967230973938</v>
      </c>
      <c r="M17" s="60">
        <f>SUM(M10:M16)</f>
        <v>4455.3562186569188</v>
      </c>
      <c r="N17" s="68">
        <f>SUM(N10:N16)</f>
        <v>17701.323449630854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IFRS Rev Req Adj (2013 BD)</vt:lpstr>
      <vt:lpstr>IFRS Rev Req Adj (2015 BD)</vt:lpstr>
      <vt:lpstr>Board Staff #5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Belinda Dhaliwal</dc:creator>
  <cp:lastModifiedBy>Sharon du Quesnay</cp:lastModifiedBy>
  <cp:lastPrinted>2016-10-24T20:21:54Z</cp:lastPrinted>
  <dcterms:created xsi:type="dcterms:W3CDTF">2016-06-02T13:27:28Z</dcterms:created>
  <dcterms:modified xsi:type="dcterms:W3CDTF">2016-10-24T20:22:53Z</dcterms:modified>
</cp:coreProperties>
</file>