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20490" windowHeight="7035" tabRatio="903"/>
  </bookViews>
  <sheets>
    <sheet name="Cover sheet" sheetId="28" r:id="rId1"/>
    <sheet name="READ_ME" sheetId="30" r:id="rId2"/>
    <sheet name="graphs" sheetId="22" state="hidden" r:id="rId3"/>
    <sheet name="TFP_Calcs" sheetId="12" r:id="rId4"/>
    <sheet name="TFP_dataset" sheetId="2" r:id="rId5"/>
    <sheet name="OPG hydro peers" sheetId="5" r:id="rId6"/>
    <sheet name="NA comb O&amp;M price indexes" sheetId="26" r:id="rId7"/>
    <sheet name="Can O&amp;M price indexes" sheetId="3" r:id="rId8"/>
    <sheet name="US O&amp;M price indexes" sheetId="24" r:id="rId9"/>
    <sheet name="EUCG L share" sheetId="23" r:id="rId10"/>
    <sheet name="StatsCan CANSIM tables" sheetId="4" r:id="rId11"/>
    <sheet name="US BLS &amp; BEA tables" sheetId="25" r:id="rId12"/>
    <sheet name="Sheet1" sheetId="31" r:id="rId13"/>
  </sheets>
  <definedNames>
    <definedName name="_xlnm._FilterDatabase" localSheetId="3" hidden="1">TFP_Calcs!$B$5:$J$17</definedName>
    <definedName name="_xlnm._FilterDatabase" localSheetId="4" hidden="1">TFP_dataset!$B$4:$BH$238</definedName>
    <definedName name="_xlnm.Print_Area" localSheetId="0">'Cover sheet'!$A$1:$M$23</definedName>
    <definedName name="_xlnm.Print_Area" localSheetId="1">READ_ME!$A$1:$P$40</definedName>
    <definedName name="_xlnm.Print_Area" localSheetId="3">TFP_Calcs!$A$1:$K$133</definedName>
    <definedName name="_xlnm.Print_Area" localSheetId="4">TFP_dataset!$B$2:$T$238</definedName>
    <definedName name="TableName">"Dummy"</definedName>
  </definedNames>
  <calcPr calcId="145621"/>
</workbook>
</file>

<file path=xl/calcChain.xml><?xml version="1.0" encoding="utf-8"?>
<calcChain xmlns="http://schemas.openxmlformats.org/spreadsheetml/2006/main">
  <c r="D226" i="2" l="1"/>
  <c r="B226" i="2"/>
  <c r="D213" i="2"/>
  <c r="B213" i="2"/>
  <c r="D200" i="2"/>
  <c r="B200" i="2"/>
  <c r="D187" i="2"/>
  <c r="B187" i="2"/>
  <c r="D174" i="2"/>
  <c r="B174" i="2"/>
  <c r="D161" i="2"/>
  <c r="B161" i="2"/>
  <c r="D148" i="2"/>
  <c r="B148" i="2"/>
  <c r="D135" i="2"/>
  <c r="B135" i="2"/>
  <c r="D122" i="2"/>
  <c r="B122" i="2"/>
  <c r="D109" i="2"/>
  <c r="B109" i="2"/>
  <c r="D96" i="2"/>
  <c r="B96" i="2"/>
  <c r="D83" i="2"/>
  <c r="B83" i="2"/>
  <c r="D70" i="2"/>
  <c r="B70" i="2"/>
  <c r="D57" i="2"/>
  <c r="B57" i="2"/>
  <c r="D44" i="2"/>
  <c r="B44" i="2"/>
  <c r="B31" i="2"/>
  <c r="D31" i="2"/>
  <c r="D18" i="2"/>
  <c r="B18" i="2"/>
  <c r="B5" i="2"/>
  <c r="O96" i="2" l="1"/>
  <c r="G117" i="12" l="1"/>
  <c r="E117" i="12"/>
  <c r="D17" i="23" l="1"/>
  <c r="E17" i="23"/>
  <c r="F17" i="23"/>
  <c r="G17" i="23"/>
  <c r="C17" i="23"/>
  <c r="F213" i="2" l="1"/>
  <c r="F214" i="2"/>
  <c r="F215" i="2"/>
  <c r="F216" i="2"/>
  <c r="F217" i="2"/>
  <c r="F218" i="2"/>
  <c r="F221" i="2"/>
  <c r="F222" i="2"/>
  <c r="F223" i="2"/>
  <c r="F224" i="2"/>
  <c r="F225" i="2"/>
  <c r="N213" i="2" l="1"/>
  <c r="N226" i="2" s="1"/>
  <c r="N224" i="2"/>
  <c r="N214" i="2"/>
  <c r="N215" i="2"/>
  <c r="N216" i="2"/>
  <c r="N217" i="2"/>
  <c r="N218" i="2"/>
  <c r="N219" i="2"/>
  <c r="N220" i="2"/>
  <c r="N221" i="2"/>
  <c r="N222" i="2"/>
  <c r="N223" i="2"/>
  <c r="M214" i="2"/>
  <c r="M215" i="2"/>
  <c r="M216" i="2"/>
  <c r="M217" i="2"/>
  <c r="M218" i="2"/>
  <c r="M219" i="2"/>
  <c r="M220" i="2"/>
  <c r="M221" i="2"/>
  <c r="M222" i="2"/>
  <c r="M223" i="2"/>
  <c r="F226" i="2"/>
  <c r="F227" i="2"/>
  <c r="F228" i="2"/>
  <c r="F229" i="2"/>
  <c r="F230" i="2"/>
  <c r="F231" i="2"/>
  <c r="F234" i="2"/>
  <c r="F235" i="2"/>
  <c r="F236" i="2"/>
  <c r="F237" i="2"/>
  <c r="F238" i="2"/>
  <c r="C32" i="23" l="1"/>
  <c r="D32" i="23"/>
  <c r="N225" i="2"/>
  <c r="E34" i="23" l="1"/>
  <c r="D33" i="23"/>
  <c r="D34" i="23" s="1"/>
  <c r="C33" i="23"/>
  <c r="C34" i="23" s="1"/>
  <c r="D123" i="4"/>
  <c r="D124"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91" i="4"/>
  <c r="C123" i="4"/>
  <c r="G26" i="3" s="1"/>
  <c r="C124" i="4"/>
  <c r="G27" i="3" s="1"/>
  <c r="C95" i="4"/>
  <c r="C96" i="4"/>
  <c r="C97" i="4"/>
  <c r="C98" i="4"/>
  <c r="C99" i="4"/>
  <c r="C100" i="4"/>
  <c r="C101" i="4"/>
  <c r="C102" i="4"/>
  <c r="C103" i="4"/>
  <c r="C104" i="4"/>
  <c r="C105" i="4"/>
  <c r="C106" i="4"/>
  <c r="C107" i="4"/>
  <c r="C108" i="4"/>
  <c r="C109" i="4"/>
  <c r="C110" i="4"/>
  <c r="C111" i="4"/>
  <c r="C112" i="4"/>
  <c r="C113" i="4"/>
  <c r="G16" i="3" s="1"/>
  <c r="C114" i="4"/>
  <c r="G17" i="3" s="1"/>
  <c r="C115" i="4"/>
  <c r="G18" i="3" s="1"/>
  <c r="C116" i="4"/>
  <c r="G19" i="3" s="1"/>
  <c r="C117" i="4"/>
  <c r="G20" i="3" s="1"/>
  <c r="C118" i="4"/>
  <c r="G21" i="3" s="1"/>
  <c r="C119" i="4"/>
  <c r="G22" i="3" s="1"/>
  <c r="C120" i="4"/>
  <c r="G23" i="3" s="1"/>
  <c r="C121" i="4"/>
  <c r="G24" i="3" s="1"/>
  <c r="C122" i="4"/>
  <c r="G25" i="3" s="1"/>
  <c r="C92" i="4"/>
  <c r="C93" i="4"/>
  <c r="C94" i="4"/>
  <c r="C91" i="4"/>
  <c r="M23" i="4"/>
  <c r="N23" i="4"/>
  <c r="O23" i="4"/>
  <c r="O18" i="4"/>
  <c r="N18" i="4"/>
  <c r="AF86" i="4"/>
  <c r="AG86" i="4"/>
  <c r="AH86" i="4"/>
  <c r="AI86" i="4"/>
  <c r="AE86" i="4"/>
  <c r="AH80" i="4"/>
  <c r="AI80" i="4"/>
  <c r="AG80" i="4"/>
  <c r="AF80" i="4"/>
  <c r="C38" i="4"/>
  <c r="C26" i="3" s="1"/>
  <c r="D38" i="4"/>
  <c r="C39" i="4"/>
  <c r="D39" i="4"/>
  <c r="C27" i="4"/>
  <c r="C15" i="3" s="1"/>
  <c r="D27" i="4"/>
  <c r="C28" i="4"/>
  <c r="D28" i="4"/>
  <c r="C29" i="4"/>
  <c r="C17" i="3" s="1"/>
  <c r="D29" i="4"/>
  <c r="C30" i="4"/>
  <c r="D30" i="4"/>
  <c r="C31" i="4"/>
  <c r="C19" i="3" s="1"/>
  <c r="D31" i="4"/>
  <c r="C32" i="4"/>
  <c r="C20" i="3" s="1"/>
  <c r="D32" i="4"/>
  <c r="C33" i="4"/>
  <c r="C21" i="3" s="1"/>
  <c r="D33" i="4"/>
  <c r="C34" i="4"/>
  <c r="D34" i="4"/>
  <c r="C35" i="4"/>
  <c r="C23" i="3" s="1"/>
  <c r="D35" i="4"/>
  <c r="C36" i="4"/>
  <c r="C24" i="3" s="1"/>
  <c r="D36" i="4"/>
  <c r="C37" i="4"/>
  <c r="C25" i="3" s="1"/>
  <c r="D37" i="4"/>
  <c r="D26" i="4"/>
  <c r="C26" i="4"/>
  <c r="R27" i="3"/>
  <c r="R26" i="3"/>
  <c r="C16" i="3"/>
  <c r="C18" i="3"/>
  <c r="C22" i="3"/>
  <c r="C27" i="3"/>
  <c r="AJ86" i="4" l="1"/>
  <c r="AJ80" i="4"/>
  <c r="G18" i="25"/>
  <c r="G19" i="25"/>
  <c r="G20" i="25"/>
  <c r="G21" i="25"/>
  <c r="G22" i="25"/>
  <c r="G23" i="25"/>
  <c r="G24" i="25"/>
  <c r="G25" i="25"/>
  <c r="G26" i="25"/>
  <c r="G27" i="25"/>
  <c r="G28" i="25"/>
  <c r="G29" i="25"/>
  <c r="G30" i="25"/>
  <c r="G31" i="25"/>
  <c r="G17" i="25"/>
  <c r="H30" i="25" l="1"/>
  <c r="H29" i="25"/>
  <c r="C25" i="24"/>
  <c r="E25" i="24"/>
  <c r="C26" i="24"/>
  <c r="E26" i="24"/>
  <c r="Q26" i="3"/>
  <c r="Q27" i="3"/>
  <c r="E26" i="3"/>
  <c r="D27" i="3"/>
  <c r="E27" i="3"/>
  <c r="H27" i="3"/>
  <c r="T29" i="26" s="1"/>
  <c r="W28" i="26"/>
  <c r="W29" i="26"/>
  <c r="R28" i="26"/>
  <c r="R29" i="26"/>
  <c r="M28" i="26"/>
  <c r="M29" i="26"/>
  <c r="H28" i="26"/>
  <c r="H29" i="26"/>
  <c r="N227" i="2"/>
  <c r="N228" i="2"/>
  <c r="N229" i="2"/>
  <c r="N230" i="2"/>
  <c r="N231" i="2"/>
  <c r="N232" i="2"/>
  <c r="N233" i="2"/>
  <c r="N234" i="2"/>
  <c r="N235" i="2"/>
  <c r="N236" i="2"/>
  <c r="M225" i="2"/>
  <c r="M224" i="2"/>
  <c r="F27" i="3" l="1"/>
  <c r="S29" i="26"/>
  <c r="S27" i="3"/>
  <c r="N237" i="2"/>
  <c r="N238" i="2"/>
  <c r="F26" i="24"/>
  <c r="Y29" i="26" s="1"/>
  <c r="D26" i="24"/>
  <c r="X29" i="26" s="1"/>
  <c r="C5" i="5" l="1"/>
  <c r="C6" i="5" s="1"/>
  <c r="C7" i="5" s="1"/>
  <c r="C8" i="5" s="1"/>
  <c r="C9" i="5" s="1"/>
  <c r="C10" i="5" s="1"/>
  <c r="C11" i="5" s="1"/>
  <c r="C12" i="5" s="1"/>
  <c r="C13" i="5" s="1"/>
  <c r="C14" i="5" s="1"/>
  <c r="C15" i="5" s="1"/>
  <c r="C16" i="5" s="1"/>
  <c r="C17" i="5" s="1"/>
  <c r="C18" i="5" s="1"/>
  <c r="C19" i="5" s="1"/>
  <c r="C20" i="5" s="1"/>
  <c r="C21" i="5" s="1"/>
  <c r="C22" i="5" s="1"/>
  <c r="C23" i="5" s="1"/>
  <c r="G198" i="2" l="1"/>
  <c r="G199" i="2"/>
  <c r="G185" i="2"/>
  <c r="G186" i="2"/>
  <c r="G172" i="2"/>
  <c r="G173" i="2"/>
  <c r="G159" i="2"/>
  <c r="G160" i="2"/>
  <c r="G146" i="2"/>
  <c r="G147" i="2"/>
  <c r="G133" i="2"/>
  <c r="G134" i="2"/>
  <c r="G120" i="2"/>
  <c r="G121" i="2"/>
  <c r="G107" i="2"/>
  <c r="G108" i="2"/>
  <c r="G94" i="2"/>
  <c r="G95" i="2"/>
  <c r="G81" i="2"/>
  <c r="G82" i="2"/>
  <c r="G68" i="2"/>
  <c r="G69" i="2"/>
  <c r="G55" i="2"/>
  <c r="G56" i="2"/>
  <c r="G42" i="2"/>
  <c r="G43" i="2"/>
  <c r="G29" i="2"/>
  <c r="G30" i="2"/>
  <c r="G16" i="2"/>
  <c r="G17" i="2"/>
  <c r="O29" i="2"/>
  <c r="P29" i="2" s="1"/>
  <c r="Q29" i="2" s="1"/>
  <c r="O30" i="2"/>
  <c r="P30" i="2" s="1"/>
  <c r="Q30" i="2" s="1"/>
  <c r="O42" i="2"/>
  <c r="P42" i="2" s="1"/>
  <c r="Q42" i="2" s="1"/>
  <c r="O43" i="2"/>
  <c r="P43" i="2" s="1"/>
  <c r="Q43" i="2" s="1"/>
  <c r="R43" i="2" s="1"/>
  <c r="O55" i="2"/>
  <c r="P55" i="2" s="1"/>
  <c r="Q55" i="2" s="1"/>
  <c r="O56" i="2"/>
  <c r="P56" i="2" s="1"/>
  <c r="Q56" i="2" s="1"/>
  <c r="O68" i="2"/>
  <c r="P68" i="2" s="1"/>
  <c r="Q68" i="2" s="1"/>
  <c r="O69" i="2"/>
  <c r="P69" i="2" s="1"/>
  <c r="Q69" i="2" s="1"/>
  <c r="O81" i="2"/>
  <c r="P81" i="2" s="1"/>
  <c r="Q81" i="2" s="1"/>
  <c r="O82" i="2"/>
  <c r="P82" i="2" s="1"/>
  <c r="Q82" i="2" s="1"/>
  <c r="O94" i="2"/>
  <c r="P94" i="2" s="1"/>
  <c r="Q94" i="2" s="1"/>
  <c r="O95" i="2"/>
  <c r="P95" i="2" s="1"/>
  <c r="Q95" i="2" s="1"/>
  <c r="O107" i="2"/>
  <c r="P107" i="2" s="1"/>
  <c r="Q107" i="2" s="1"/>
  <c r="O108" i="2"/>
  <c r="P108" i="2" s="1"/>
  <c r="Q108" i="2" s="1"/>
  <c r="O120" i="2"/>
  <c r="P120" i="2" s="1"/>
  <c r="Q120" i="2" s="1"/>
  <c r="O121" i="2"/>
  <c r="P121" i="2" s="1"/>
  <c r="Q121" i="2" s="1"/>
  <c r="O133" i="2"/>
  <c r="P133" i="2" s="1"/>
  <c r="Q133" i="2" s="1"/>
  <c r="O134" i="2"/>
  <c r="P134" i="2" s="1"/>
  <c r="Q134" i="2" s="1"/>
  <c r="O146" i="2"/>
  <c r="P146" i="2" s="1"/>
  <c r="Q146" i="2" s="1"/>
  <c r="O147" i="2"/>
  <c r="P147" i="2" s="1"/>
  <c r="Q147" i="2" s="1"/>
  <c r="O159" i="2"/>
  <c r="P159" i="2" s="1"/>
  <c r="Q159" i="2" s="1"/>
  <c r="O160" i="2"/>
  <c r="P160" i="2" s="1"/>
  <c r="Q160" i="2" s="1"/>
  <c r="O172" i="2"/>
  <c r="P172" i="2" s="1"/>
  <c r="Q172" i="2" s="1"/>
  <c r="O173" i="2"/>
  <c r="O185" i="2"/>
  <c r="P185" i="2" s="1"/>
  <c r="Q185" i="2" s="1"/>
  <c r="R185" i="2" s="1"/>
  <c r="O186" i="2"/>
  <c r="P186" i="2" s="1"/>
  <c r="Q186" i="2" s="1"/>
  <c r="O198" i="2"/>
  <c r="P198" i="2" s="1"/>
  <c r="Q198" i="2" s="1"/>
  <c r="O199" i="2"/>
  <c r="P199" i="2" s="1"/>
  <c r="Q199" i="2" s="1"/>
  <c r="O211" i="2"/>
  <c r="P211" i="2" s="1"/>
  <c r="Q211" i="2" s="1"/>
  <c r="O212" i="2"/>
  <c r="P212" i="2" s="1"/>
  <c r="Q212" i="2" s="1"/>
  <c r="G225" i="2"/>
  <c r="G212" i="2"/>
  <c r="G211" i="2"/>
  <c r="G224" i="2" l="1"/>
  <c r="M238" i="2"/>
  <c r="G238" i="2" s="1"/>
  <c r="M237" i="2"/>
  <c r="G237" i="2" s="1"/>
  <c r="R108" i="2"/>
  <c r="S108" i="2" s="1"/>
  <c r="T108" i="2" s="1"/>
  <c r="R29" i="2"/>
  <c r="S29" i="2" s="1"/>
  <c r="R30" i="2"/>
  <c r="S30" i="2" s="1"/>
  <c r="S43" i="2"/>
  <c r="T43" i="2" s="1"/>
  <c r="R42" i="2"/>
  <c r="S42" i="2" s="1"/>
  <c r="R56" i="2"/>
  <c r="R55" i="2"/>
  <c r="R69" i="2"/>
  <c r="S69" i="2" s="1"/>
  <c r="R68" i="2"/>
  <c r="S68" i="2" s="1"/>
  <c r="R82" i="2"/>
  <c r="S82" i="2" s="1"/>
  <c r="R81" i="2"/>
  <c r="S81" i="2" s="1"/>
  <c r="R95" i="2"/>
  <c r="S95" i="2" s="1"/>
  <c r="R94" i="2"/>
  <c r="R107" i="2"/>
  <c r="R121" i="2"/>
  <c r="S121" i="2" s="1"/>
  <c r="R120" i="2"/>
  <c r="R134" i="2"/>
  <c r="R133" i="2"/>
  <c r="R147" i="2"/>
  <c r="S147" i="2" s="1"/>
  <c r="R146" i="2"/>
  <c r="S185" i="2"/>
  <c r="T185" i="2" s="1"/>
  <c r="R172" i="2"/>
  <c r="S172" i="2" s="1"/>
  <c r="R160" i="2"/>
  <c r="R159" i="2"/>
  <c r="S159" i="2" s="1"/>
  <c r="R186" i="2"/>
  <c r="S186" i="2" s="1"/>
  <c r="R199" i="2"/>
  <c r="S199" i="2" s="1"/>
  <c r="R198" i="2"/>
  <c r="R212" i="2"/>
  <c r="R211" i="2"/>
  <c r="S211" i="2" s="1"/>
  <c r="T30" i="2" l="1"/>
  <c r="T29" i="2"/>
  <c r="T42" i="2"/>
  <c r="S55" i="2"/>
  <c r="T55" i="2" s="1"/>
  <c r="S56" i="2"/>
  <c r="T56" i="2" s="1"/>
  <c r="T69" i="2"/>
  <c r="T68" i="2"/>
  <c r="T82" i="2"/>
  <c r="T81" i="2"/>
  <c r="S94" i="2"/>
  <c r="T94" i="2" s="1"/>
  <c r="T95" i="2"/>
  <c r="S107" i="2"/>
  <c r="T107" i="2" s="1"/>
  <c r="S120" i="2"/>
  <c r="T120" i="2" s="1"/>
  <c r="T121" i="2"/>
  <c r="S133" i="2"/>
  <c r="T133" i="2" s="1"/>
  <c r="S134" i="2"/>
  <c r="T134" i="2" s="1"/>
  <c r="S146" i="2"/>
  <c r="T146" i="2" s="1"/>
  <c r="T147" i="2"/>
  <c r="T172" i="2"/>
  <c r="S160" i="2"/>
  <c r="T160" i="2" s="1"/>
  <c r="T159" i="2"/>
  <c r="T186" i="2"/>
  <c r="S198" i="2"/>
  <c r="T198" i="2" s="1"/>
  <c r="T199" i="2"/>
  <c r="T211" i="2"/>
  <c r="S212" i="2"/>
  <c r="T212" i="2" s="1"/>
  <c r="B214" i="2" l="1"/>
  <c r="B215" i="2" s="1"/>
  <c r="B216" i="2" s="1"/>
  <c r="B217" i="2" s="1"/>
  <c r="B218" i="2" s="1"/>
  <c r="B219" i="2" s="1"/>
  <c r="B220" i="2" s="1"/>
  <c r="B221" i="2" s="1"/>
  <c r="B222" i="2" s="1"/>
  <c r="B223" i="2" s="1"/>
  <c r="B224" i="2" s="1"/>
  <c r="B225" i="2" s="1"/>
  <c r="G221" i="2" l="1"/>
  <c r="G214" i="2"/>
  <c r="G216" i="2"/>
  <c r="G215" i="2"/>
  <c r="G223" i="2"/>
  <c r="G218" i="2"/>
  <c r="G217" i="2"/>
  <c r="G222" i="2"/>
  <c r="D214" i="2" l="1"/>
  <c r="D215" i="2" s="1"/>
  <c r="D216" i="2" s="1"/>
  <c r="D217" i="2" s="1"/>
  <c r="D218" i="2" s="1"/>
  <c r="D219" i="2" s="1"/>
  <c r="D220" i="2" s="1"/>
  <c r="D221" i="2" s="1"/>
  <c r="D222" i="2" s="1"/>
  <c r="D223" i="2" s="1"/>
  <c r="D224" i="2" s="1"/>
  <c r="D225" i="2" s="1"/>
  <c r="H18" i="25"/>
  <c r="H19" i="25"/>
  <c r="H20" i="25"/>
  <c r="H21" i="25"/>
  <c r="H22" i="25"/>
  <c r="H23" i="25"/>
  <c r="H24" i="25"/>
  <c r="H25" i="25"/>
  <c r="H26" i="25"/>
  <c r="H27" i="25"/>
  <c r="H28" i="25"/>
  <c r="H32" i="25" l="1"/>
  <c r="I2" i="12"/>
  <c r="B118" i="12"/>
  <c r="B119" i="12" s="1"/>
  <c r="B120" i="12" s="1"/>
  <c r="B121" i="12" s="1"/>
  <c r="B122" i="12" s="1"/>
  <c r="B123" i="12" s="1"/>
  <c r="B124" i="12" s="1"/>
  <c r="B125" i="12" s="1"/>
  <c r="B126" i="12" s="1"/>
  <c r="B127" i="12" s="1"/>
  <c r="B128" i="12" s="1"/>
  <c r="B129" i="12" s="1"/>
  <c r="F11" i="2" l="1"/>
  <c r="F12" i="2"/>
  <c r="F219" i="2" l="1"/>
  <c r="F232" i="2" s="1"/>
  <c r="F220" i="2"/>
  <c r="F233" i="2" s="1"/>
  <c r="C18" i="24"/>
  <c r="F1" i="24"/>
  <c r="G219" i="2" l="1"/>
  <c r="G220" i="2"/>
  <c r="D86" i="4"/>
  <c r="E86" i="4"/>
  <c r="F86" i="4"/>
  <c r="G86" i="4"/>
  <c r="H86" i="4"/>
  <c r="I86" i="4"/>
  <c r="J86" i="4"/>
  <c r="K86" i="4"/>
  <c r="L86" i="4"/>
  <c r="M86" i="4"/>
  <c r="N86" i="4"/>
  <c r="O86" i="4"/>
  <c r="P86" i="4"/>
  <c r="Q86" i="4"/>
  <c r="R86" i="4"/>
  <c r="S86" i="4"/>
  <c r="T86" i="4"/>
  <c r="U86" i="4"/>
  <c r="V86" i="4"/>
  <c r="W86" i="4"/>
  <c r="X86" i="4"/>
  <c r="Y86" i="4"/>
  <c r="Z86" i="4"/>
  <c r="AA86" i="4"/>
  <c r="AB86" i="4"/>
  <c r="AC86" i="4"/>
  <c r="AD86" i="4"/>
  <c r="C86" i="4"/>
  <c r="O80" i="4"/>
  <c r="P80" i="4"/>
  <c r="Q80" i="4"/>
  <c r="R80" i="4"/>
  <c r="S80" i="4"/>
  <c r="T80" i="4"/>
  <c r="U80" i="4"/>
  <c r="V80" i="4"/>
  <c r="V81" i="4" s="1"/>
  <c r="W80" i="4"/>
  <c r="X80" i="4"/>
  <c r="Y80" i="4"/>
  <c r="Z80" i="4"/>
  <c r="AA80" i="4"/>
  <c r="AB80" i="4"/>
  <c r="AC80" i="4"/>
  <c r="AD80" i="4"/>
  <c r="AE80" i="4"/>
  <c r="N80" i="4"/>
  <c r="M80" i="4"/>
  <c r="L80" i="4"/>
  <c r="K80" i="4"/>
  <c r="J80" i="4"/>
  <c r="I80" i="4"/>
  <c r="H80" i="4"/>
  <c r="G80" i="4"/>
  <c r="F80" i="4"/>
  <c r="E80" i="4"/>
  <c r="D80" i="4"/>
  <c r="C80" i="4"/>
  <c r="L23" i="4"/>
  <c r="P23" i="4" s="1"/>
  <c r="K23" i="4"/>
  <c r="J23" i="4"/>
  <c r="I23" i="4"/>
  <c r="H23" i="4"/>
  <c r="G23" i="4"/>
  <c r="F23" i="4"/>
  <c r="E23" i="4"/>
  <c r="D23" i="4"/>
  <c r="C23" i="4"/>
  <c r="D18" i="4"/>
  <c r="E18" i="4"/>
  <c r="F18" i="4"/>
  <c r="G18" i="4"/>
  <c r="H18" i="4"/>
  <c r="I18" i="4"/>
  <c r="J18" i="4"/>
  <c r="K18" i="4"/>
  <c r="L18" i="4"/>
  <c r="M18" i="4"/>
  <c r="C18" i="4"/>
  <c r="P18" i="4" l="1"/>
  <c r="C17" i="26"/>
  <c r="H18" i="26"/>
  <c r="H19" i="26"/>
  <c r="H20" i="26"/>
  <c r="H21" i="26"/>
  <c r="H22" i="26"/>
  <c r="H23" i="26"/>
  <c r="H24" i="26"/>
  <c r="H25" i="26"/>
  <c r="H26" i="26"/>
  <c r="H27" i="26"/>
  <c r="H17" i="26"/>
  <c r="M18" i="26"/>
  <c r="M19" i="26"/>
  <c r="M20" i="26"/>
  <c r="M21" i="26"/>
  <c r="M22" i="26"/>
  <c r="M23" i="26"/>
  <c r="M24" i="26"/>
  <c r="M25" i="26"/>
  <c r="M26" i="26"/>
  <c r="M27" i="26"/>
  <c r="M17" i="26"/>
  <c r="U5" i="26"/>
  <c r="T5" i="26"/>
  <c r="S5" i="26"/>
  <c r="Z5" i="26"/>
  <c r="Y5" i="26"/>
  <c r="R18" i="26"/>
  <c r="R19" i="26"/>
  <c r="R20" i="26"/>
  <c r="R21" i="26"/>
  <c r="R22" i="26"/>
  <c r="R23" i="26"/>
  <c r="R24" i="26"/>
  <c r="R25" i="26"/>
  <c r="R26" i="26"/>
  <c r="R27" i="26"/>
  <c r="R17" i="26"/>
  <c r="W18" i="26"/>
  <c r="W19" i="26"/>
  <c r="W20" i="26"/>
  <c r="W21" i="26"/>
  <c r="W22" i="26"/>
  <c r="W23" i="26"/>
  <c r="W24" i="26"/>
  <c r="W25" i="26"/>
  <c r="W26" i="26"/>
  <c r="W27" i="26"/>
  <c r="W17" i="26"/>
  <c r="X5" i="26"/>
  <c r="B188" i="2" l="1"/>
  <c r="B189" i="2" s="1"/>
  <c r="B190" i="2" s="1"/>
  <c r="B191" i="2" s="1"/>
  <c r="B192" i="2" s="1"/>
  <c r="B193" i="2" s="1"/>
  <c r="B194" i="2" s="1"/>
  <c r="B195" i="2" s="1"/>
  <c r="B196" i="2" s="1"/>
  <c r="B197" i="2" s="1"/>
  <c r="B198" i="2" s="1"/>
  <c r="B199" i="2" s="1"/>
  <c r="D188" i="2"/>
  <c r="D189" i="2" s="1"/>
  <c r="D190" i="2" s="1"/>
  <c r="D191" i="2" s="1"/>
  <c r="D192" i="2" s="1"/>
  <c r="D193" i="2" s="1"/>
  <c r="D194" i="2" s="1"/>
  <c r="D195" i="2" s="1"/>
  <c r="D196" i="2" s="1"/>
  <c r="D197" i="2" s="1"/>
  <c r="D198" i="2" s="1"/>
  <c r="D199" i="2" s="1"/>
  <c r="G187" i="2"/>
  <c r="O187" i="2"/>
  <c r="P187" i="2" s="1"/>
  <c r="Q187" i="2" s="1"/>
  <c r="G188" i="2"/>
  <c r="O188" i="2"/>
  <c r="P188" i="2" s="1"/>
  <c r="Q188" i="2" s="1"/>
  <c r="G189" i="2"/>
  <c r="O189" i="2"/>
  <c r="P189" i="2" s="1"/>
  <c r="Q189" i="2" s="1"/>
  <c r="G190" i="2"/>
  <c r="O190" i="2"/>
  <c r="P190" i="2" s="1"/>
  <c r="Q190" i="2" s="1"/>
  <c r="G191" i="2"/>
  <c r="O191" i="2"/>
  <c r="P191" i="2" s="1"/>
  <c r="Q191" i="2" s="1"/>
  <c r="R191" i="2" s="1"/>
  <c r="G192" i="2"/>
  <c r="O192" i="2"/>
  <c r="P192" i="2" s="1"/>
  <c r="Q192" i="2" s="1"/>
  <c r="R192" i="2" s="1"/>
  <c r="G193" i="2"/>
  <c r="O193" i="2"/>
  <c r="P193" i="2" s="1"/>
  <c r="Q193" i="2" s="1"/>
  <c r="R193" i="2" s="1"/>
  <c r="G194" i="2"/>
  <c r="O194" i="2"/>
  <c r="P194" i="2" s="1"/>
  <c r="Q194" i="2" s="1"/>
  <c r="G195" i="2"/>
  <c r="O195" i="2"/>
  <c r="P195" i="2" s="1"/>
  <c r="Q195" i="2" s="1"/>
  <c r="G196" i="2"/>
  <c r="O196" i="2"/>
  <c r="P196" i="2" s="1"/>
  <c r="Q196" i="2" s="1"/>
  <c r="R196" i="2" s="1"/>
  <c r="G197" i="2"/>
  <c r="O197" i="2"/>
  <c r="P197" i="2" s="1"/>
  <c r="Q197" i="2" s="1"/>
  <c r="B201" i="2"/>
  <c r="B202" i="2" s="1"/>
  <c r="B203" i="2" s="1"/>
  <c r="B204" i="2" s="1"/>
  <c r="B205" i="2" s="1"/>
  <c r="B206" i="2" s="1"/>
  <c r="B207" i="2" s="1"/>
  <c r="B208" i="2" s="1"/>
  <c r="B209" i="2" s="1"/>
  <c r="B210" i="2" s="1"/>
  <c r="B211" i="2" s="1"/>
  <c r="B212" i="2" s="1"/>
  <c r="D201" i="2"/>
  <c r="D202" i="2" s="1"/>
  <c r="D203" i="2" s="1"/>
  <c r="D204" i="2" s="1"/>
  <c r="D205" i="2" s="1"/>
  <c r="D206" i="2" s="1"/>
  <c r="D207" i="2" s="1"/>
  <c r="D208" i="2" s="1"/>
  <c r="D209" i="2" s="1"/>
  <c r="D210" i="2" s="1"/>
  <c r="D211" i="2" s="1"/>
  <c r="D212" i="2" s="1"/>
  <c r="G200" i="2"/>
  <c r="O200" i="2"/>
  <c r="P200" i="2" s="1"/>
  <c r="Q200" i="2" s="1"/>
  <c r="G201" i="2"/>
  <c r="O201" i="2"/>
  <c r="P201" i="2" s="1"/>
  <c r="Q201" i="2" s="1"/>
  <c r="G202" i="2"/>
  <c r="O202" i="2"/>
  <c r="P202" i="2" s="1"/>
  <c r="Q202" i="2" s="1"/>
  <c r="R202" i="2" s="1"/>
  <c r="G203" i="2"/>
  <c r="O203" i="2"/>
  <c r="P203" i="2" s="1"/>
  <c r="Q203" i="2" s="1"/>
  <c r="G204" i="2"/>
  <c r="O204" i="2"/>
  <c r="P204" i="2" s="1"/>
  <c r="Q204" i="2" s="1"/>
  <c r="G205" i="2"/>
  <c r="O205" i="2"/>
  <c r="P205" i="2" s="1"/>
  <c r="Q205" i="2" s="1"/>
  <c r="G206" i="2"/>
  <c r="O206" i="2"/>
  <c r="P206" i="2" s="1"/>
  <c r="Q206" i="2" s="1"/>
  <c r="R206" i="2" s="1"/>
  <c r="G207" i="2"/>
  <c r="O207" i="2"/>
  <c r="P207" i="2" s="1"/>
  <c r="Q207" i="2" s="1"/>
  <c r="G208" i="2"/>
  <c r="O208" i="2"/>
  <c r="P208" i="2" s="1"/>
  <c r="Q208" i="2" s="1"/>
  <c r="G209" i="2"/>
  <c r="O209" i="2"/>
  <c r="P209" i="2" s="1"/>
  <c r="Q209" i="2" s="1"/>
  <c r="G210" i="2"/>
  <c r="O210" i="2"/>
  <c r="P210" i="2" s="1"/>
  <c r="Q210" i="2" s="1"/>
  <c r="R210" i="2" s="1"/>
  <c r="I82" i="12"/>
  <c r="C117" i="12" s="1"/>
  <c r="D17" i="26"/>
  <c r="E17" i="26"/>
  <c r="R188" i="2" l="1"/>
  <c r="S188" i="2" s="1"/>
  <c r="T188" i="2" s="1"/>
  <c r="S196" i="2"/>
  <c r="T196" i="2" s="1"/>
  <c r="R208" i="2"/>
  <c r="S208" i="2" s="1"/>
  <c r="R189" i="2"/>
  <c r="S189" i="2" s="1"/>
  <c r="R207" i="2"/>
  <c r="S207" i="2" s="1"/>
  <c r="R200" i="2"/>
  <c r="S200" i="2" s="1"/>
  <c r="R195" i="2"/>
  <c r="S195" i="2" s="1"/>
  <c r="R204" i="2"/>
  <c r="S204" i="2" s="1"/>
  <c r="R201" i="2"/>
  <c r="S201" i="2" s="1"/>
  <c r="S192" i="2"/>
  <c r="T192" i="2" s="1"/>
  <c r="R209" i="2"/>
  <c r="R203" i="2"/>
  <c r="S203" i="2" s="1"/>
  <c r="R197" i="2"/>
  <c r="S197" i="2" s="1"/>
  <c r="R190" i="2"/>
  <c r="S190" i="2" s="1"/>
  <c r="R187" i="2"/>
  <c r="S187" i="2" s="1"/>
  <c r="S202" i="2"/>
  <c r="T202" i="2" s="1"/>
  <c r="R194" i="2"/>
  <c r="S191" i="2"/>
  <c r="T191" i="2" s="1"/>
  <c r="S210" i="2"/>
  <c r="T210" i="2" s="1"/>
  <c r="S206" i="2"/>
  <c r="T206" i="2" s="1"/>
  <c r="R205" i="2"/>
  <c r="S205" i="2" s="1"/>
  <c r="S193" i="2"/>
  <c r="T193" i="2" s="1"/>
  <c r="T190" i="2" l="1"/>
  <c r="T204" i="2"/>
  <c r="T205" i="2"/>
  <c r="T187" i="2"/>
  <c r="T203" i="2"/>
  <c r="T195" i="2"/>
  <c r="T207" i="2"/>
  <c r="S194" i="2"/>
  <c r="T194" i="2" s="1"/>
  <c r="T197" i="2"/>
  <c r="S209" i="2"/>
  <c r="T209" i="2" s="1"/>
  <c r="T201" i="2"/>
  <c r="T200" i="2"/>
  <c r="T189" i="2"/>
  <c r="T208" i="2"/>
  <c r="M227" i="2" l="1"/>
  <c r="M228" i="2"/>
  <c r="M229" i="2"/>
  <c r="M230" i="2"/>
  <c r="M231" i="2"/>
  <c r="M232" i="2"/>
  <c r="M233" i="2"/>
  <c r="M234" i="2"/>
  <c r="M236" i="2"/>
  <c r="G236" i="2" s="1"/>
  <c r="M235" i="2" l="1"/>
  <c r="C13" i="22" l="1"/>
  <c r="H7" i="22"/>
  <c r="Q16" i="3" l="1"/>
  <c r="Q17" i="3"/>
  <c r="Q18" i="3"/>
  <c r="Q19" i="3"/>
  <c r="Q20" i="3"/>
  <c r="Q21" i="3"/>
  <c r="Q22" i="3"/>
  <c r="Q23" i="3"/>
  <c r="Q24" i="3"/>
  <c r="Q25" i="3"/>
  <c r="Q15" i="3"/>
  <c r="R17" i="3"/>
  <c r="R18" i="3"/>
  <c r="R19" i="3"/>
  <c r="R20" i="3"/>
  <c r="R21" i="3"/>
  <c r="R22" i="3"/>
  <c r="R23" i="3"/>
  <c r="R24" i="3"/>
  <c r="R25" i="3"/>
  <c r="E2" i="12" l="1"/>
  <c r="D2" i="12"/>
  <c r="E14" i="24"/>
  <c r="E15" i="24"/>
  <c r="E16" i="24"/>
  <c r="E17" i="24"/>
  <c r="E18" i="24"/>
  <c r="E19" i="24"/>
  <c r="E20" i="24"/>
  <c r="E21" i="24"/>
  <c r="E22" i="24"/>
  <c r="E23" i="24"/>
  <c r="E24" i="24"/>
  <c r="F25" i="24" s="1"/>
  <c r="Y28" i="26" s="1"/>
  <c r="C14" i="24"/>
  <c r="C15" i="24"/>
  <c r="C16" i="24"/>
  <c r="C17" i="24"/>
  <c r="D18" i="24" s="1"/>
  <c r="C19" i="24"/>
  <c r="C20" i="24"/>
  <c r="C21" i="24"/>
  <c r="C22" i="24"/>
  <c r="C23" i="24"/>
  <c r="C24" i="24"/>
  <c r="D25" i="24" s="1"/>
  <c r="X28" i="26" s="1"/>
  <c r="X17" i="26" l="1"/>
  <c r="Y17" i="26"/>
  <c r="F18" i="24"/>
  <c r="Y21" i="26" s="1"/>
  <c r="D17" i="24"/>
  <c r="X20" i="26" s="1"/>
  <c r="D15" i="24"/>
  <c r="X18" i="26" s="1"/>
  <c r="F2" i="24"/>
  <c r="H1" i="3"/>
  <c r="T5" i="2"/>
  <c r="J26" i="24" l="1"/>
  <c r="Z29" i="26" s="1"/>
  <c r="J25" i="24"/>
  <c r="Z28" i="26" s="1"/>
  <c r="F15" i="24"/>
  <c r="F21" i="24"/>
  <c r="Y24" i="26" s="1"/>
  <c r="F23" i="24"/>
  <c r="Y26" i="26" s="1"/>
  <c r="D20" i="24"/>
  <c r="X23" i="26" s="1"/>
  <c r="D22" i="24"/>
  <c r="X25" i="26" s="1"/>
  <c r="D24" i="24"/>
  <c r="X27" i="26" s="1"/>
  <c r="J14" i="24"/>
  <c r="Z17" i="26" s="1"/>
  <c r="D19" i="24"/>
  <c r="X22" i="26" s="1"/>
  <c r="F22" i="24"/>
  <c r="D16" i="24"/>
  <c r="X19" i="26" s="1"/>
  <c r="F17" i="24"/>
  <c r="F19" i="24"/>
  <c r="Y22" i="26" s="1"/>
  <c r="D21" i="24"/>
  <c r="D23" i="24"/>
  <c r="X26" i="26" s="1"/>
  <c r="H15" i="24"/>
  <c r="F16" i="24"/>
  <c r="Y19" i="26" s="1"/>
  <c r="F20" i="24"/>
  <c r="Y23" i="26" s="1"/>
  <c r="F24" i="24"/>
  <c r="Y27" i="26" s="1"/>
  <c r="B227" i="2"/>
  <c r="B228" i="2" s="1"/>
  <c r="B229" i="2" s="1"/>
  <c r="B230" i="2" s="1"/>
  <c r="B231" i="2" s="1"/>
  <c r="B232" i="2" s="1"/>
  <c r="B233" i="2" s="1"/>
  <c r="B234" i="2" s="1"/>
  <c r="B235" i="2" s="1"/>
  <c r="B236" i="2" s="1"/>
  <c r="B237" i="2" s="1"/>
  <c r="B238" i="2" s="1"/>
  <c r="B175" i="2"/>
  <c r="B176" i="2" s="1"/>
  <c r="B177" i="2" s="1"/>
  <c r="B178" i="2" s="1"/>
  <c r="B179" i="2" s="1"/>
  <c r="B180" i="2" s="1"/>
  <c r="B181" i="2" s="1"/>
  <c r="B182" i="2" s="1"/>
  <c r="B183" i="2" s="1"/>
  <c r="B184" i="2" s="1"/>
  <c r="B185" i="2" s="1"/>
  <c r="B186" i="2" s="1"/>
  <c r="B162" i="2"/>
  <c r="B163" i="2" s="1"/>
  <c r="B164" i="2" s="1"/>
  <c r="B165" i="2" s="1"/>
  <c r="B166" i="2" s="1"/>
  <c r="B167" i="2" s="1"/>
  <c r="B168" i="2" s="1"/>
  <c r="B169" i="2" s="1"/>
  <c r="B170" i="2" s="1"/>
  <c r="B171" i="2" s="1"/>
  <c r="B172" i="2" s="1"/>
  <c r="B173" i="2" s="1"/>
  <c r="B149" i="2"/>
  <c r="B150" i="2" s="1"/>
  <c r="B151" i="2" s="1"/>
  <c r="B152" i="2" s="1"/>
  <c r="B153" i="2" s="1"/>
  <c r="B154" i="2" s="1"/>
  <c r="B155" i="2" s="1"/>
  <c r="B156" i="2" s="1"/>
  <c r="B157" i="2" s="1"/>
  <c r="B158" i="2" s="1"/>
  <c r="B159" i="2" s="1"/>
  <c r="B160" i="2" s="1"/>
  <c r="B136" i="2"/>
  <c r="B137" i="2" s="1"/>
  <c r="B138" i="2" s="1"/>
  <c r="B139" i="2" s="1"/>
  <c r="B140" i="2" s="1"/>
  <c r="B141" i="2" s="1"/>
  <c r="B142" i="2" s="1"/>
  <c r="B143" i="2" s="1"/>
  <c r="B144" i="2" s="1"/>
  <c r="B145" i="2" s="1"/>
  <c r="B146" i="2" s="1"/>
  <c r="B147" i="2" s="1"/>
  <c r="B110" i="2"/>
  <c r="B111" i="2" s="1"/>
  <c r="B112" i="2" s="1"/>
  <c r="B113" i="2" s="1"/>
  <c r="B114" i="2" s="1"/>
  <c r="B115" i="2" s="1"/>
  <c r="B116" i="2" s="1"/>
  <c r="B117" i="2" s="1"/>
  <c r="B118" i="2" s="1"/>
  <c r="B119" i="2" s="1"/>
  <c r="B120" i="2" s="1"/>
  <c r="B121" i="2" s="1"/>
  <c r="B97" i="2"/>
  <c r="B98" i="2" s="1"/>
  <c r="B99" i="2" s="1"/>
  <c r="B100" i="2" s="1"/>
  <c r="B101" i="2" s="1"/>
  <c r="B102" i="2" s="1"/>
  <c r="B103" i="2" s="1"/>
  <c r="B104" i="2" s="1"/>
  <c r="B105" i="2" s="1"/>
  <c r="B106" i="2" s="1"/>
  <c r="B107" i="2" s="1"/>
  <c r="B108" i="2" s="1"/>
  <c r="B84" i="2"/>
  <c r="B85" i="2" s="1"/>
  <c r="B86" i="2" s="1"/>
  <c r="B87" i="2" s="1"/>
  <c r="B88" i="2" s="1"/>
  <c r="B89" i="2" s="1"/>
  <c r="B90" i="2" s="1"/>
  <c r="B91" i="2" s="1"/>
  <c r="B92" i="2" s="1"/>
  <c r="B93" i="2" s="1"/>
  <c r="B94" i="2" s="1"/>
  <c r="B95" i="2" s="1"/>
  <c r="B71" i="2"/>
  <c r="B72" i="2" s="1"/>
  <c r="B73" i="2" s="1"/>
  <c r="B74" i="2" s="1"/>
  <c r="B75" i="2" s="1"/>
  <c r="B76" i="2" s="1"/>
  <c r="B77" i="2" s="1"/>
  <c r="B78" i="2" s="1"/>
  <c r="B79" i="2" s="1"/>
  <c r="B80" i="2" s="1"/>
  <c r="B81" i="2" s="1"/>
  <c r="B82" i="2" s="1"/>
  <c r="B58" i="2"/>
  <c r="B59" i="2" s="1"/>
  <c r="B60" i="2" s="1"/>
  <c r="B61" i="2" s="1"/>
  <c r="B62" i="2" s="1"/>
  <c r="B63" i="2" s="1"/>
  <c r="B64" i="2" s="1"/>
  <c r="B65" i="2" s="1"/>
  <c r="B66" i="2" s="1"/>
  <c r="B67" i="2" s="1"/>
  <c r="B68" i="2" s="1"/>
  <c r="B69" i="2" s="1"/>
  <c r="B45" i="2"/>
  <c r="B46" i="2" s="1"/>
  <c r="B47" i="2" s="1"/>
  <c r="B48" i="2" s="1"/>
  <c r="B49" i="2" s="1"/>
  <c r="B50" i="2" s="1"/>
  <c r="B51" i="2" s="1"/>
  <c r="B52" i="2" s="1"/>
  <c r="B53" i="2" s="1"/>
  <c r="B54" i="2" s="1"/>
  <c r="B55" i="2" s="1"/>
  <c r="B56" i="2" s="1"/>
  <c r="B32" i="2"/>
  <c r="B33" i="2" s="1"/>
  <c r="B34" i="2" s="1"/>
  <c r="B35" i="2" s="1"/>
  <c r="B36" i="2" s="1"/>
  <c r="B37" i="2" s="1"/>
  <c r="B38" i="2" s="1"/>
  <c r="B39" i="2" s="1"/>
  <c r="B40" i="2" s="1"/>
  <c r="B41" i="2" s="1"/>
  <c r="B42" i="2" s="1"/>
  <c r="B43" i="2" s="1"/>
  <c r="B19" i="2"/>
  <c r="B20" i="2" s="1"/>
  <c r="B21" i="2" s="1"/>
  <c r="B22" i="2" s="1"/>
  <c r="B23" i="2" s="1"/>
  <c r="B24" i="2" s="1"/>
  <c r="B25" i="2" s="1"/>
  <c r="B26" i="2" s="1"/>
  <c r="B27" i="2" s="1"/>
  <c r="B28" i="2" s="1"/>
  <c r="B29" i="2" s="1"/>
  <c r="B30" i="2" s="1"/>
  <c r="B6" i="2"/>
  <c r="B7" i="2" s="1"/>
  <c r="B8" i="2" s="1"/>
  <c r="B9" i="2" s="1"/>
  <c r="B10" i="2" s="1"/>
  <c r="B11" i="2" s="1"/>
  <c r="B12" i="2" s="1"/>
  <c r="B13" i="2" s="1"/>
  <c r="B14" i="2" s="1"/>
  <c r="B15" i="2" s="1"/>
  <c r="B16" i="2" s="1"/>
  <c r="B17" i="2" s="1"/>
  <c r="G184" i="2"/>
  <c r="G183" i="2"/>
  <c r="G182" i="2"/>
  <c r="G181" i="2"/>
  <c r="G180" i="2"/>
  <c r="G179" i="2"/>
  <c r="G178" i="2"/>
  <c r="G177" i="2"/>
  <c r="G176" i="2"/>
  <c r="G175" i="2"/>
  <c r="G174" i="2"/>
  <c r="G171" i="2"/>
  <c r="G170" i="2"/>
  <c r="G169" i="2"/>
  <c r="G168" i="2"/>
  <c r="G167" i="2"/>
  <c r="G166" i="2"/>
  <c r="G165" i="2"/>
  <c r="G164" i="2"/>
  <c r="G163" i="2"/>
  <c r="G162" i="2"/>
  <c r="G161" i="2"/>
  <c r="G158" i="2"/>
  <c r="G157" i="2"/>
  <c r="G156" i="2"/>
  <c r="G155" i="2"/>
  <c r="G154" i="2"/>
  <c r="G153" i="2"/>
  <c r="G152" i="2"/>
  <c r="G151" i="2"/>
  <c r="G150" i="2"/>
  <c r="G149" i="2"/>
  <c r="G148" i="2"/>
  <c r="G145" i="2"/>
  <c r="G144" i="2"/>
  <c r="G143" i="2"/>
  <c r="G142" i="2"/>
  <c r="G141" i="2"/>
  <c r="G140" i="2"/>
  <c r="G139" i="2"/>
  <c r="G138" i="2"/>
  <c r="G137" i="2"/>
  <c r="G136" i="2"/>
  <c r="G135" i="2"/>
  <c r="G132" i="2"/>
  <c r="G131" i="2"/>
  <c r="G130" i="2"/>
  <c r="G129" i="2"/>
  <c r="G128" i="2"/>
  <c r="G127" i="2"/>
  <c r="G126" i="2"/>
  <c r="G125" i="2"/>
  <c r="G124" i="2"/>
  <c r="G123" i="2"/>
  <c r="G122" i="2"/>
  <c r="G119" i="2"/>
  <c r="G118" i="2"/>
  <c r="G117" i="2"/>
  <c r="G116" i="2"/>
  <c r="G115" i="2"/>
  <c r="G114" i="2"/>
  <c r="G113" i="2"/>
  <c r="G112" i="2"/>
  <c r="G111" i="2"/>
  <c r="G110" i="2"/>
  <c r="G109" i="2"/>
  <c r="G106" i="2"/>
  <c r="G105" i="2"/>
  <c r="G104" i="2"/>
  <c r="G103" i="2"/>
  <c r="G102" i="2"/>
  <c r="G101" i="2"/>
  <c r="G100" i="2"/>
  <c r="G99" i="2"/>
  <c r="G98" i="2"/>
  <c r="G97" i="2"/>
  <c r="G96" i="2"/>
  <c r="G93" i="2"/>
  <c r="G92" i="2"/>
  <c r="G91" i="2"/>
  <c r="G90" i="2"/>
  <c r="G89" i="2"/>
  <c r="G88" i="2"/>
  <c r="G87" i="2"/>
  <c r="G86" i="2"/>
  <c r="G85" i="2"/>
  <c r="G84" i="2"/>
  <c r="G83" i="2"/>
  <c r="G80" i="2"/>
  <c r="G79" i="2"/>
  <c r="G78" i="2"/>
  <c r="G77" i="2"/>
  <c r="G76" i="2"/>
  <c r="G75" i="2"/>
  <c r="G74" i="2"/>
  <c r="G73" i="2"/>
  <c r="G72" i="2"/>
  <c r="G71" i="2"/>
  <c r="G70" i="2"/>
  <c r="G67" i="2"/>
  <c r="G66" i="2"/>
  <c r="G65" i="2"/>
  <c r="G64" i="2"/>
  <c r="G63" i="2"/>
  <c r="G62" i="2"/>
  <c r="G61" i="2"/>
  <c r="G60" i="2"/>
  <c r="G59" i="2"/>
  <c r="G58" i="2"/>
  <c r="G57" i="2"/>
  <c r="G54" i="2"/>
  <c r="G53" i="2"/>
  <c r="G52" i="2"/>
  <c r="G51" i="2"/>
  <c r="G50" i="2"/>
  <c r="G49" i="2"/>
  <c r="G48" i="2"/>
  <c r="G47" i="2"/>
  <c r="G46" i="2"/>
  <c r="G45" i="2"/>
  <c r="G44" i="2"/>
  <c r="G41" i="2"/>
  <c r="G40" i="2"/>
  <c r="G39" i="2"/>
  <c r="G38" i="2"/>
  <c r="G37" i="2"/>
  <c r="G36" i="2"/>
  <c r="G35" i="2"/>
  <c r="G34" i="2"/>
  <c r="G33" i="2"/>
  <c r="G32" i="2"/>
  <c r="G28" i="2"/>
  <c r="G27" i="2"/>
  <c r="G26" i="2"/>
  <c r="G25" i="2"/>
  <c r="G24" i="2"/>
  <c r="G23" i="2"/>
  <c r="G22" i="2"/>
  <c r="G21" i="2"/>
  <c r="G20" i="2"/>
  <c r="G19" i="2"/>
  <c r="G18" i="2"/>
  <c r="G15" i="2"/>
  <c r="G14" i="2"/>
  <c r="G13" i="2"/>
  <c r="G12" i="2"/>
  <c r="G11" i="2"/>
  <c r="G10" i="2"/>
  <c r="G9" i="2"/>
  <c r="G8" i="2"/>
  <c r="G7" i="2"/>
  <c r="G6" i="2"/>
  <c r="G5" i="2"/>
  <c r="M213" i="2" l="1"/>
  <c r="M226" i="2" s="1"/>
  <c r="G31" i="2"/>
  <c r="J23" i="24"/>
  <c r="Z26" i="26" s="1"/>
  <c r="J21" i="24"/>
  <c r="Z24" i="26" s="1"/>
  <c r="X24" i="26"/>
  <c r="J22" i="24"/>
  <c r="Z25" i="26" s="1"/>
  <c r="Y25" i="26"/>
  <c r="I15" i="24"/>
  <c r="I16" i="24" s="1"/>
  <c r="Y18" i="26"/>
  <c r="J17" i="24"/>
  <c r="Z20" i="26" s="1"/>
  <c r="Y20" i="26"/>
  <c r="J18" i="24"/>
  <c r="Z21" i="26" s="1"/>
  <c r="X21" i="26"/>
  <c r="J15" i="24"/>
  <c r="Z18" i="26" s="1"/>
  <c r="J20" i="24"/>
  <c r="Z23" i="26" s="1"/>
  <c r="J19" i="24"/>
  <c r="Z22" i="26" s="1"/>
  <c r="J16" i="24"/>
  <c r="Z19" i="26" s="1"/>
  <c r="J24" i="24"/>
  <c r="Z27" i="26" s="1"/>
  <c r="H16" i="24"/>
  <c r="B123" i="2"/>
  <c r="B124" i="2" s="1"/>
  <c r="B125" i="2" s="1"/>
  <c r="B126" i="2" s="1"/>
  <c r="B127" i="2" s="1"/>
  <c r="B128" i="2" s="1"/>
  <c r="B129" i="2" s="1"/>
  <c r="B130" i="2" s="1"/>
  <c r="B131" i="2" s="1"/>
  <c r="B132" i="2" s="1"/>
  <c r="B133" i="2" s="1"/>
  <c r="B134" i="2" s="1"/>
  <c r="G213" i="2" l="1"/>
  <c r="K15" i="24"/>
  <c r="I17" i="24"/>
  <c r="H17" i="24"/>
  <c r="H18" i="24" s="1"/>
  <c r="L1" i="2"/>
  <c r="R16" i="3"/>
  <c r="R15" i="3"/>
  <c r="E18" i="26" l="1"/>
  <c r="E46" i="26" s="1"/>
  <c r="L15" i="24"/>
  <c r="K16" i="24"/>
  <c r="L16" i="24" s="1"/>
  <c r="I18" i="24"/>
  <c r="O171" i="2"/>
  <c r="O170" i="2"/>
  <c r="P170" i="2" s="1"/>
  <c r="Q170" i="2" s="1"/>
  <c r="O169" i="2"/>
  <c r="P169" i="2" s="1"/>
  <c r="Q169" i="2" s="1"/>
  <c r="O168" i="2"/>
  <c r="P168" i="2" s="1"/>
  <c r="Q168" i="2" s="1"/>
  <c r="O167" i="2"/>
  <c r="P167" i="2" s="1"/>
  <c r="Q167" i="2" s="1"/>
  <c r="O166" i="2"/>
  <c r="P166" i="2" s="1"/>
  <c r="Q166" i="2" s="1"/>
  <c r="O165" i="2"/>
  <c r="P165" i="2" s="1"/>
  <c r="Q165" i="2" s="1"/>
  <c r="O164" i="2"/>
  <c r="P164" i="2" s="1"/>
  <c r="Q164" i="2" s="1"/>
  <c r="O163" i="2"/>
  <c r="P163" i="2" s="1"/>
  <c r="Q163" i="2" s="1"/>
  <c r="O162" i="2"/>
  <c r="P162" i="2" s="1"/>
  <c r="Q162" i="2" s="1"/>
  <c r="O161" i="2"/>
  <c r="P161" i="2" s="1"/>
  <c r="O145" i="2"/>
  <c r="P145" i="2" s="1"/>
  <c r="Q145" i="2" s="1"/>
  <c r="O144" i="2"/>
  <c r="P144" i="2" s="1"/>
  <c r="Q144" i="2" s="1"/>
  <c r="R144" i="2" s="1"/>
  <c r="O143" i="2"/>
  <c r="P143" i="2" s="1"/>
  <c r="Q143" i="2" s="1"/>
  <c r="O142" i="2"/>
  <c r="P142" i="2" s="1"/>
  <c r="Q142" i="2" s="1"/>
  <c r="O141" i="2"/>
  <c r="P141" i="2" s="1"/>
  <c r="Q141" i="2" s="1"/>
  <c r="O140" i="2"/>
  <c r="P140" i="2" s="1"/>
  <c r="Q140" i="2" s="1"/>
  <c r="O139" i="2"/>
  <c r="P139" i="2" s="1"/>
  <c r="Q139" i="2" s="1"/>
  <c r="O138" i="2"/>
  <c r="P138" i="2" s="1"/>
  <c r="Q138" i="2" s="1"/>
  <c r="O137" i="2"/>
  <c r="P137" i="2" s="1"/>
  <c r="Q137" i="2" s="1"/>
  <c r="O136" i="2"/>
  <c r="P136" i="2" s="1"/>
  <c r="Q136" i="2" s="1"/>
  <c r="O135" i="2"/>
  <c r="P135" i="2" s="1"/>
  <c r="Q135" i="2" s="1"/>
  <c r="O93" i="2"/>
  <c r="P93" i="2" s="1"/>
  <c r="Q93" i="2" s="1"/>
  <c r="O92" i="2"/>
  <c r="P92" i="2" s="1"/>
  <c r="Q92" i="2" s="1"/>
  <c r="O91" i="2"/>
  <c r="P91" i="2" s="1"/>
  <c r="Q91" i="2" s="1"/>
  <c r="O90" i="2"/>
  <c r="P90" i="2" s="1"/>
  <c r="Q90" i="2" s="1"/>
  <c r="O89" i="2"/>
  <c r="P89" i="2" s="1"/>
  <c r="Q89" i="2" s="1"/>
  <c r="O88" i="2"/>
  <c r="P88" i="2" s="1"/>
  <c r="Q88" i="2" s="1"/>
  <c r="O87" i="2"/>
  <c r="P87" i="2" s="1"/>
  <c r="Q87" i="2" s="1"/>
  <c r="O86" i="2"/>
  <c r="P86" i="2" s="1"/>
  <c r="Q86" i="2" s="1"/>
  <c r="O85" i="2"/>
  <c r="P85" i="2" s="1"/>
  <c r="Q85" i="2" s="1"/>
  <c r="O84" i="2"/>
  <c r="P84" i="2" s="1"/>
  <c r="Q84" i="2" s="1"/>
  <c r="O83" i="2"/>
  <c r="P83" i="2" s="1"/>
  <c r="Q83" i="2" s="1"/>
  <c r="O119" i="2"/>
  <c r="P119" i="2" s="1"/>
  <c r="Q119" i="2" s="1"/>
  <c r="O118" i="2"/>
  <c r="P118" i="2" s="1"/>
  <c r="Q118" i="2" s="1"/>
  <c r="O117" i="2"/>
  <c r="P117" i="2" s="1"/>
  <c r="Q117" i="2" s="1"/>
  <c r="O116" i="2"/>
  <c r="P116" i="2" s="1"/>
  <c r="Q116" i="2" s="1"/>
  <c r="O115" i="2"/>
  <c r="P115" i="2" s="1"/>
  <c r="Q115" i="2" s="1"/>
  <c r="O114" i="2"/>
  <c r="P114" i="2" s="1"/>
  <c r="Q114" i="2" s="1"/>
  <c r="O113" i="2"/>
  <c r="P113" i="2" s="1"/>
  <c r="Q113" i="2" s="1"/>
  <c r="O112" i="2"/>
  <c r="P112" i="2" s="1"/>
  <c r="Q112" i="2" s="1"/>
  <c r="O111" i="2"/>
  <c r="P111" i="2" s="1"/>
  <c r="Q111" i="2" s="1"/>
  <c r="O110" i="2"/>
  <c r="P110" i="2" s="1"/>
  <c r="Q110" i="2" s="1"/>
  <c r="O109" i="2"/>
  <c r="P109" i="2" s="1"/>
  <c r="Q109" i="2" s="1"/>
  <c r="D227" i="2"/>
  <c r="D228" i="2" s="1"/>
  <c r="D229" i="2" s="1"/>
  <c r="D230" i="2" s="1"/>
  <c r="D231" i="2" s="1"/>
  <c r="D232" i="2" s="1"/>
  <c r="D233" i="2" s="1"/>
  <c r="D234" i="2" s="1"/>
  <c r="D235" i="2" s="1"/>
  <c r="D236" i="2" s="1"/>
  <c r="D237" i="2" s="1"/>
  <c r="D238" i="2" s="1"/>
  <c r="D175" i="2"/>
  <c r="D176" i="2" s="1"/>
  <c r="D177" i="2" s="1"/>
  <c r="D178" i="2" s="1"/>
  <c r="D179" i="2" s="1"/>
  <c r="D180" i="2" s="1"/>
  <c r="D181" i="2" s="1"/>
  <c r="D182" i="2" s="1"/>
  <c r="D183" i="2" s="1"/>
  <c r="D184" i="2" s="1"/>
  <c r="D185" i="2" s="1"/>
  <c r="D186" i="2" s="1"/>
  <c r="D162" i="2"/>
  <c r="D163" i="2" s="1"/>
  <c r="D164" i="2" s="1"/>
  <c r="D165" i="2" s="1"/>
  <c r="D166" i="2" s="1"/>
  <c r="D167" i="2" s="1"/>
  <c r="D168" i="2" s="1"/>
  <c r="D169" i="2" s="1"/>
  <c r="D170" i="2" s="1"/>
  <c r="D171" i="2" s="1"/>
  <c r="D172" i="2" s="1"/>
  <c r="D173" i="2" s="1"/>
  <c r="D149" i="2"/>
  <c r="D150" i="2" s="1"/>
  <c r="D151" i="2" s="1"/>
  <c r="D152" i="2" s="1"/>
  <c r="D153" i="2" s="1"/>
  <c r="D154" i="2" s="1"/>
  <c r="D155" i="2" s="1"/>
  <c r="D156" i="2" s="1"/>
  <c r="D157" i="2" s="1"/>
  <c r="D158" i="2" s="1"/>
  <c r="D159" i="2" s="1"/>
  <c r="D160" i="2" s="1"/>
  <c r="D136" i="2"/>
  <c r="D137" i="2" s="1"/>
  <c r="D138" i="2" s="1"/>
  <c r="D139" i="2" s="1"/>
  <c r="D140" i="2" s="1"/>
  <c r="D141" i="2" s="1"/>
  <c r="D142" i="2" s="1"/>
  <c r="D143" i="2" s="1"/>
  <c r="D144" i="2" s="1"/>
  <c r="D145" i="2" s="1"/>
  <c r="D146" i="2" s="1"/>
  <c r="D147" i="2" s="1"/>
  <c r="D123" i="2"/>
  <c r="D124" i="2" s="1"/>
  <c r="D125" i="2" s="1"/>
  <c r="D126" i="2" s="1"/>
  <c r="D127" i="2" s="1"/>
  <c r="D128" i="2" s="1"/>
  <c r="D129" i="2" s="1"/>
  <c r="D130" i="2" s="1"/>
  <c r="D131" i="2" s="1"/>
  <c r="D132" i="2" s="1"/>
  <c r="D133" i="2" s="1"/>
  <c r="D134" i="2" s="1"/>
  <c r="D110" i="2"/>
  <c r="D111" i="2" s="1"/>
  <c r="D112" i="2" s="1"/>
  <c r="D113" i="2" s="1"/>
  <c r="D114" i="2" s="1"/>
  <c r="D115" i="2" s="1"/>
  <c r="D116" i="2" s="1"/>
  <c r="D117" i="2" s="1"/>
  <c r="D118" i="2" s="1"/>
  <c r="D119" i="2" s="1"/>
  <c r="D120" i="2" s="1"/>
  <c r="D121" i="2" s="1"/>
  <c r="D97" i="2"/>
  <c r="D98" i="2" s="1"/>
  <c r="D99" i="2" s="1"/>
  <c r="D100" i="2" s="1"/>
  <c r="D101" i="2" s="1"/>
  <c r="D102" i="2" s="1"/>
  <c r="D103" i="2" s="1"/>
  <c r="D104" i="2" s="1"/>
  <c r="D105" i="2" s="1"/>
  <c r="D106" i="2" s="1"/>
  <c r="D107" i="2" s="1"/>
  <c r="D108" i="2" s="1"/>
  <c r="O184" i="2"/>
  <c r="O183" i="2"/>
  <c r="O182" i="2"/>
  <c r="O181" i="2"/>
  <c r="O180" i="2"/>
  <c r="O179" i="2"/>
  <c r="P179" i="2" s="1"/>
  <c r="Q179" i="2" s="1"/>
  <c r="O178" i="2"/>
  <c r="P178" i="2" s="1"/>
  <c r="Q178" i="2" s="1"/>
  <c r="O177" i="2"/>
  <c r="P177" i="2" s="1"/>
  <c r="Q177" i="2" s="1"/>
  <c r="O176" i="2"/>
  <c r="P176" i="2" s="1"/>
  <c r="Q176" i="2" s="1"/>
  <c r="O175" i="2"/>
  <c r="P175" i="2" s="1"/>
  <c r="O174" i="2"/>
  <c r="O158" i="2"/>
  <c r="P158" i="2" s="1"/>
  <c r="Q158" i="2" s="1"/>
  <c r="O157" i="2"/>
  <c r="P157" i="2" s="1"/>
  <c r="Q157" i="2" s="1"/>
  <c r="O156" i="2"/>
  <c r="P156" i="2" s="1"/>
  <c r="Q156" i="2" s="1"/>
  <c r="O155" i="2"/>
  <c r="P155" i="2" s="1"/>
  <c r="Q155" i="2" s="1"/>
  <c r="O154" i="2"/>
  <c r="P154" i="2" s="1"/>
  <c r="Q154" i="2" s="1"/>
  <c r="R154" i="2" s="1"/>
  <c r="O153" i="2"/>
  <c r="P153" i="2" s="1"/>
  <c r="Q153" i="2" s="1"/>
  <c r="O152" i="2"/>
  <c r="P152" i="2" s="1"/>
  <c r="Q152" i="2" s="1"/>
  <c r="O151" i="2"/>
  <c r="P151" i="2" s="1"/>
  <c r="Q151" i="2" s="1"/>
  <c r="O150" i="2"/>
  <c r="P150" i="2" s="1"/>
  <c r="Q150" i="2" s="1"/>
  <c r="O149" i="2"/>
  <c r="P149" i="2" s="1"/>
  <c r="Q149" i="2" s="1"/>
  <c r="O148" i="2"/>
  <c r="P148" i="2" s="1"/>
  <c r="Q148" i="2" s="1"/>
  <c r="O132" i="2"/>
  <c r="P132" i="2" s="1"/>
  <c r="Q132" i="2" s="1"/>
  <c r="O131" i="2"/>
  <c r="P131" i="2" s="1"/>
  <c r="Q131" i="2" s="1"/>
  <c r="O130" i="2"/>
  <c r="P130" i="2" s="1"/>
  <c r="Q130" i="2" s="1"/>
  <c r="O129" i="2"/>
  <c r="P129" i="2" s="1"/>
  <c r="Q129" i="2" s="1"/>
  <c r="O128" i="2"/>
  <c r="P128" i="2" s="1"/>
  <c r="Q128" i="2" s="1"/>
  <c r="R128" i="2" s="1"/>
  <c r="O127" i="2"/>
  <c r="P127" i="2" s="1"/>
  <c r="Q127" i="2" s="1"/>
  <c r="O126" i="2"/>
  <c r="P126" i="2" s="1"/>
  <c r="Q126" i="2" s="1"/>
  <c r="O125" i="2"/>
  <c r="P125" i="2" s="1"/>
  <c r="Q125" i="2" s="1"/>
  <c r="O124" i="2"/>
  <c r="P124" i="2" s="1"/>
  <c r="Q124" i="2" s="1"/>
  <c r="O123" i="2"/>
  <c r="P123" i="2" s="1"/>
  <c r="Q123" i="2" s="1"/>
  <c r="O122" i="2"/>
  <c r="P122" i="2" s="1"/>
  <c r="Q122" i="2" s="1"/>
  <c r="O106" i="2"/>
  <c r="O105" i="2"/>
  <c r="O104" i="2"/>
  <c r="O103" i="2"/>
  <c r="O102" i="2"/>
  <c r="O101" i="2"/>
  <c r="O100" i="2"/>
  <c r="O99" i="2"/>
  <c r="O98" i="2"/>
  <c r="O97" i="2"/>
  <c r="P97" i="2" s="1"/>
  <c r="O67" i="2"/>
  <c r="P67" i="2" s="1"/>
  <c r="Q67" i="2" s="1"/>
  <c r="O66" i="2"/>
  <c r="P66" i="2" s="1"/>
  <c r="Q66" i="2" s="1"/>
  <c r="O65" i="2"/>
  <c r="P65" i="2" s="1"/>
  <c r="Q65" i="2" s="1"/>
  <c r="O64" i="2"/>
  <c r="P64" i="2" s="1"/>
  <c r="Q64" i="2" s="1"/>
  <c r="O63" i="2"/>
  <c r="P63" i="2" s="1"/>
  <c r="Q63" i="2" s="1"/>
  <c r="O62" i="2"/>
  <c r="P62" i="2" s="1"/>
  <c r="Q62" i="2" s="1"/>
  <c r="O61" i="2"/>
  <c r="P61" i="2" s="1"/>
  <c r="Q61" i="2" s="1"/>
  <c r="O60" i="2"/>
  <c r="P60" i="2" s="1"/>
  <c r="Q60" i="2" s="1"/>
  <c r="O59" i="2"/>
  <c r="P59" i="2" s="1"/>
  <c r="Q59" i="2" s="1"/>
  <c r="O58" i="2"/>
  <c r="P58" i="2" s="1"/>
  <c r="Q58" i="2" s="1"/>
  <c r="O57" i="2"/>
  <c r="P57" i="2" s="1"/>
  <c r="Q57" i="2" s="1"/>
  <c r="O41" i="2"/>
  <c r="O40" i="2"/>
  <c r="P40" i="2" s="1"/>
  <c r="Q40" i="2" s="1"/>
  <c r="O39" i="2"/>
  <c r="P39" i="2" s="1"/>
  <c r="Q39" i="2" s="1"/>
  <c r="O38" i="2"/>
  <c r="P38" i="2" s="1"/>
  <c r="Q38" i="2" s="1"/>
  <c r="O37" i="2"/>
  <c r="P37" i="2" s="1"/>
  <c r="Q37" i="2" s="1"/>
  <c r="O36" i="2"/>
  <c r="P36" i="2" s="1"/>
  <c r="Q36" i="2" s="1"/>
  <c r="O35" i="2"/>
  <c r="P35" i="2" s="1"/>
  <c r="Q35" i="2" s="1"/>
  <c r="O34" i="2"/>
  <c r="P34" i="2" s="1"/>
  <c r="Q34" i="2" s="1"/>
  <c r="O33" i="2"/>
  <c r="P33" i="2" s="1"/>
  <c r="Q33" i="2" s="1"/>
  <c r="O32" i="2"/>
  <c r="P32" i="2" s="1"/>
  <c r="O31" i="2"/>
  <c r="O80" i="2"/>
  <c r="P80" i="2" s="1"/>
  <c r="Q80" i="2" s="1"/>
  <c r="O79" i="2"/>
  <c r="P79" i="2" s="1"/>
  <c r="Q79" i="2" s="1"/>
  <c r="O78" i="2"/>
  <c r="P78" i="2" s="1"/>
  <c r="Q78" i="2" s="1"/>
  <c r="O77" i="2"/>
  <c r="P77" i="2" s="1"/>
  <c r="Q77" i="2" s="1"/>
  <c r="O76" i="2"/>
  <c r="P76" i="2" s="1"/>
  <c r="Q76" i="2" s="1"/>
  <c r="O75" i="2"/>
  <c r="P75" i="2" s="1"/>
  <c r="Q75" i="2" s="1"/>
  <c r="O74" i="2"/>
  <c r="P74" i="2" s="1"/>
  <c r="Q74" i="2" s="1"/>
  <c r="O73" i="2"/>
  <c r="P73" i="2" s="1"/>
  <c r="Q73" i="2" s="1"/>
  <c r="O72" i="2"/>
  <c r="P72" i="2" s="1"/>
  <c r="Q72" i="2" s="1"/>
  <c r="O71" i="2"/>
  <c r="P71" i="2" s="1"/>
  <c r="Q71" i="2" s="1"/>
  <c r="O70" i="2"/>
  <c r="P70" i="2" s="1"/>
  <c r="Q70" i="2" s="1"/>
  <c r="O54" i="2"/>
  <c r="P54" i="2" s="1"/>
  <c r="O53" i="2"/>
  <c r="P53" i="2" s="1"/>
  <c r="Q53" i="2" s="1"/>
  <c r="O52" i="2"/>
  <c r="P52" i="2" s="1"/>
  <c r="Q52" i="2" s="1"/>
  <c r="O51" i="2"/>
  <c r="P51" i="2" s="1"/>
  <c r="Q51" i="2" s="1"/>
  <c r="O50" i="2"/>
  <c r="P50" i="2" s="1"/>
  <c r="Q50" i="2" s="1"/>
  <c r="O49" i="2"/>
  <c r="P49" i="2" s="1"/>
  <c r="Q49" i="2" s="1"/>
  <c r="O48" i="2"/>
  <c r="P48" i="2" s="1"/>
  <c r="Q48" i="2" s="1"/>
  <c r="O47" i="2"/>
  <c r="P47" i="2" s="1"/>
  <c r="Q47" i="2" s="1"/>
  <c r="O46" i="2"/>
  <c r="P46" i="2" s="1"/>
  <c r="Q46" i="2" s="1"/>
  <c r="O45" i="2"/>
  <c r="P45" i="2" s="1"/>
  <c r="Q45" i="2" s="1"/>
  <c r="O44" i="2"/>
  <c r="P44" i="2" s="1"/>
  <c r="O28" i="2"/>
  <c r="P28" i="2" s="1"/>
  <c r="Q28" i="2" s="1"/>
  <c r="O27" i="2"/>
  <c r="P27" i="2" s="1"/>
  <c r="Q27" i="2" s="1"/>
  <c r="O26" i="2"/>
  <c r="P26" i="2" s="1"/>
  <c r="Q26" i="2" s="1"/>
  <c r="O25" i="2"/>
  <c r="P25" i="2" s="1"/>
  <c r="Q25" i="2" s="1"/>
  <c r="O24" i="2"/>
  <c r="P24" i="2" s="1"/>
  <c r="Q24" i="2" s="1"/>
  <c r="O23" i="2"/>
  <c r="P23" i="2" s="1"/>
  <c r="Q23" i="2" s="1"/>
  <c r="O22" i="2"/>
  <c r="P22" i="2" s="1"/>
  <c r="Q22" i="2" s="1"/>
  <c r="O21" i="2"/>
  <c r="P21" i="2" s="1"/>
  <c r="Q21" i="2" s="1"/>
  <c r="O20" i="2"/>
  <c r="P20" i="2" s="1"/>
  <c r="Q20" i="2" s="1"/>
  <c r="O19" i="2"/>
  <c r="P19" i="2" s="1"/>
  <c r="Q19" i="2" s="1"/>
  <c r="O18" i="2"/>
  <c r="P18" i="2" s="1"/>
  <c r="Q18" i="2" s="1"/>
  <c r="D84" i="2"/>
  <c r="D85" i="2" s="1"/>
  <c r="D86" i="2" s="1"/>
  <c r="D87" i="2" s="1"/>
  <c r="D88" i="2" s="1"/>
  <c r="D89" i="2" s="1"/>
  <c r="D90" i="2" s="1"/>
  <c r="D91" i="2" s="1"/>
  <c r="D92" i="2" s="1"/>
  <c r="D93" i="2" s="1"/>
  <c r="D94" i="2" s="1"/>
  <c r="D95" i="2" s="1"/>
  <c r="C6" i="2"/>
  <c r="C7" i="2" s="1"/>
  <c r="C8" i="2" s="1"/>
  <c r="C9" i="2" s="1"/>
  <c r="C10" i="2" s="1"/>
  <c r="C11" i="2" s="1"/>
  <c r="C12" i="2" s="1"/>
  <c r="C13" i="2" s="1"/>
  <c r="C14" i="2" s="1"/>
  <c r="C15" i="2" s="1"/>
  <c r="C16" i="2" s="1"/>
  <c r="C17" i="2" s="1"/>
  <c r="C18" i="2" s="1"/>
  <c r="P171" i="2" l="1"/>
  <c r="P173" i="2" s="1"/>
  <c r="Q173" i="2" s="1"/>
  <c r="P182" i="2"/>
  <c r="Q182" i="2" s="1"/>
  <c r="R182" i="2" s="1"/>
  <c r="P41" i="2"/>
  <c r="Q41" i="2" s="1"/>
  <c r="P31" i="2"/>
  <c r="Q31" i="2" s="1"/>
  <c r="P181" i="2"/>
  <c r="K17" i="24"/>
  <c r="L17" i="24" s="1"/>
  <c r="E19" i="26"/>
  <c r="E47" i="26" s="1"/>
  <c r="I19" i="24"/>
  <c r="H19" i="24"/>
  <c r="P99" i="2"/>
  <c r="Q99" i="2" s="1"/>
  <c r="R99" i="2" s="1"/>
  <c r="P98" i="2"/>
  <c r="P103" i="2"/>
  <c r="Q103" i="2" s="1"/>
  <c r="R103" i="2" s="1"/>
  <c r="Q161" i="2"/>
  <c r="R161" i="2" s="1"/>
  <c r="Q54" i="2"/>
  <c r="Q32" i="2"/>
  <c r="Q175" i="2"/>
  <c r="R175" i="2" s="1"/>
  <c r="Q97" i="2"/>
  <c r="R97" i="2" s="1"/>
  <c r="Q44" i="2"/>
  <c r="G228" i="2"/>
  <c r="G232" i="2"/>
  <c r="G229" i="2"/>
  <c r="G233" i="2"/>
  <c r="G226" i="2"/>
  <c r="G230" i="2"/>
  <c r="G234" i="2"/>
  <c r="G227" i="2"/>
  <c r="G231" i="2"/>
  <c r="G235" i="2"/>
  <c r="R163" i="2"/>
  <c r="R166" i="2"/>
  <c r="R164" i="2"/>
  <c r="R167" i="2"/>
  <c r="R170" i="2"/>
  <c r="R165" i="2"/>
  <c r="R168" i="2"/>
  <c r="R162" i="2"/>
  <c r="R169" i="2"/>
  <c r="R135" i="2"/>
  <c r="R141" i="2"/>
  <c r="R137" i="2"/>
  <c r="R142" i="2"/>
  <c r="R138" i="2"/>
  <c r="R143" i="2"/>
  <c r="R139" i="2"/>
  <c r="R145" i="2"/>
  <c r="R136" i="2"/>
  <c r="R140" i="2"/>
  <c r="S144" i="2"/>
  <c r="T144" i="2" s="1"/>
  <c r="R83" i="2"/>
  <c r="R86" i="2"/>
  <c r="R87" i="2"/>
  <c r="R92" i="2"/>
  <c r="R88" i="2"/>
  <c r="R91" i="2"/>
  <c r="R89" i="2"/>
  <c r="R84" i="2"/>
  <c r="S84" i="2" s="1"/>
  <c r="R85" i="2"/>
  <c r="R90" i="2"/>
  <c r="R93" i="2"/>
  <c r="R113" i="2"/>
  <c r="R116" i="2"/>
  <c r="R119" i="2"/>
  <c r="R110" i="2"/>
  <c r="R117" i="2"/>
  <c r="R111" i="2"/>
  <c r="R114" i="2"/>
  <c r="R109" i="2"/>
  <c r="R112" i="2"/>
  <c r="R115" i="2"/>
  <c r="R118" i="2"/>
  <c r="R151" i="2"/>
  <c r="R177" i="2"/>
  <c r="R125" i="2"/>
  <c r="R176" i="2"/>
  <c r="R179" i="2"/>
  <c r="R178" i="2"/>
  <c r="R150" i="2"/>
  <c r="R153" i="2"/>
  <c r="R158" i="2"/>
  <c r="R149" i="2"/>
  <c r="R157" i="2"/>
  <c r="R148" i="2"/>
  <c r="R156" i="2"/>
  <c r="R152" i="2"/>
  <c r="S154" i="2"/>
  <c r="T154" i="2" s="1"/>
  <c r="R155" i="2"/>
  <c r="R124" i="2"/>
  <c r="R127" i="2"/>
  <c r="R132" i="2"/>
  <c r="R123" i="2"/>
  <c r="R131" i="2"/>
  <c r="R122" i="2"/>
  <c r="R130" i="2"/>
  <c r="R126" i="2"/>
  <c r="S128" i="2"/>
  <c r="T128" i="2" s="1"/>
  <c r="R129" i="2"/>
  <c r="Q171" i="2" l="1"/>
  <c r="R171" i="2" s="1"/>
  <c r="R173" i="2"/>
  <c r="S173" i="2" s="1"/>
  <c r="T173" i="2" s="1"/>
  <c r="P174" i="2"/>
  <c r="Q174" i="2" s="1"/>
  <c r="R174" i="2" s="1"/>
  <c r="P105" i="2"/>
  <c r="Q105" i="2" s="1"/>
  <c r="R105" i="2" s="1"/>
  <c r="P184" i="2"/>
  <c r="Q184" i="2" s="1"/>
  <c r="R184" i="2" s="1"/>
  <c r="P180" i="2"/>
  <c r="Q180" i="2" s="1"/>
  <c r="R180" i="2" s="1"/>
  <c r="P96" i="2"/>
  <c r="Q96" i="2" s="1"/>
  <c r="R96" i="2" s="1"/>
  <c r="P101" i="2"/>
  <c r="Q101" i="2" s="1"/>
  <c r="R101" i="2" s="1"/>
  <c r="P106" i="2"/>
  <c r="Q106" i="2" s="1"/>
  <c r="R106" i="2" s="1"/>
  <c r="P102" i="2"/>
  <c r="Q102" i="2" s="1"/>
  <c r="R102" i="2" s="1"/>
  <c r="P100" i="2"/>
  <c r="Q100" i="2" s="1"/>
  <c r="R100" i="2" s="1"/>
  <c r="P183" i="2"/>
  <c r="Q183" i="2" s="1"/>
  <c r="R183" i="2" s="1"/>
  <c r="P104" i="2"/>
  <c r="Q104" i="2" s="1"/>
  <c r="R104" i="2" s="1"/>
  <c r="Q181" i="2"/>
  <c r="R181" i="2" s="1"/>
  <c r="E20" i="26"/>
  <c r="E48" i="26" s="1"/>
  <c r="K18" i="24"/>
  <c r="L18" i="24" s="1"/>
  <c r="H20" i="24"/>
  <c r="I20" i="24"/>
  <c r="Q98" i="2"/>
  <c r="R98" i="2" s="1"/>
  <c r="S175" i="2"/>
  <c r="T175" i="2" s="1"/>
  <c r="S129" i="2"/>
  <c r="T129" i="2" s="1"/>
  <c r="S130" i="2"/>
  <c r="T130" i="2" s="1"/>
  <c r="S132" i="2"/>
  <c r="T132" i="2" s="1"/>
  <c r="S148" i="2"/>
  <c r="T148" i="2" s="1"/>
  <c r="S153" i="2"/>
  <c r="T153" i="2" s="1"/>
  <c r="S178" i="2"/>
  <c r="T178" i="2" s="1"/>
  <c r="S99" i="2"/>
  <c r="T99" i="2" s="1"/>
  <c r="S126" i="2"/>
  <c r="T126" i="2" s="1"/>
  <c r="S131" i="2"/>
  <c r="T131" i="2" s="1"/>
  <c r="S124" i="2"/>
  <c r="T124" i="2" s="1"/>
  <c r="S149" i="2"/>
  <c r="T149" i="2" s="1"/>
  <c r="S182" i="2"/>
  <c r="T182" i="2" s="1"/>
  <c r="S118" i="2"/>
  <c r="T118" i="2" s="1"/>
  <c r="S114" i="2"/>
  <c r="T114" i="2" s="1"/>
  <c r="S119" i="2"/>
  <c r="T119" i="2" s="1"/>
  <c r="S90" i="2"/>
  <c r="T90" i="2" s="1"/>
  <c r="S89" i="2"/>
  <c r="T89" i="2" s="1"/>
  <c r="S87" i="2"/>
  <c r="T87" i="2" s="1"/>
  <c r="S140" i="2"/>
  <c r="T140" i="2" s="1"/>
  <c r="S143" i="2"/>
  <c r="T143" i="2" s="1"/>
  <c r="S141" i="2"/>
  <c r="T141" i="2" s="1"/>
  <c r="S167" i="2"/>
  <c r="T167" i="2" s="1"/>
  <c r="S163" i="2"/>
  <c r="T163" i="2" s="1"/>
  <c r="S97" i="2"/>
  <c r="T97" i="2" s="1"/>
  <c r="S123" i="2"/>
  <c r="T123" i="2" s="1"/>
  <c r="S155" i="2"/>
  <c r="T155" i="2" s="1"/>
  <c r="S156" i="2"/>
  <c r="T156" i="2" s="1"/>
  <c r="S158" i="2"/>
  <c r="T158" i="2" s="1"/>
  <c r="S179" i="2"/>
  <c r="T179" i="2" s="1"/>
  <c r="S125" i="2"/>
  <c r="T125" i="2" s="1"/>
  <c r="S115" i="2"/>
  <c r="T115" i="2" s="1"/>
  <c r="S111" i="2"/>
  <c r="T111" i="2" s="1"/>
  <c r="S116" i="2"/>
  <c r="T116" i="2" s="1"/>
  <c r="S85" i="2"/>
  <c r="T85" i="2" s="1"/>
  <c r="S91" i="2"/>
  <c r="T91" i="2" s="1"/>
  <c r="S86" i="2"/>
  <c r="T86" i="2" s="1"/>
  <c r="S136" i="2"/>
  <c r="T136" i="2" s="1"/>
  <c r="S138" i="2"/>
  <c r="T138" i="2" s="1"/>
  <c r="S135" i="2"/>
  <c r="T135" i="2" s="1"/>
  <c r="S168" i="2"/>
  <c r="T168" i="2" s="1"/>
  <c r="S164" i="2"/>
  <c r="T164" i="2" s="1"/>
  <c r="S176" i="2"/>
  <c r="T176" i="2" s="1"/>
  <c r="S177" i="2"/>
  <c r="T177" i="2" s="1"/>
  <c r="S112" i="2"/>
  <c r="T112" i="2" s="1"/>
  <c r="S117" i="2"/>
  <c r="T117" i="2" s="1"/>
  <c r="S113" i="2"/>
  <c r="T113" i="2" s="1"/>
  <c r="S88" i="2"/>
  <c r="T88" i="2" s="1"/>
  <c r="S83" i="2"/>
  <c r="T83" i="2" s="1"/>
  <c r="S145" i="2"/>
  <c r="T145" i="2" s="1"/>
  <c r="S142" i="2"/>
  <c r="T142" i="2" s="1"/>
  <c r="S169" i="2"/>
  <c r="T169" i="2" s="1"/>
  <c r="S165" i="2"/>
  <c r="T165" i="2" s="1"/>
  <c r="S161" i="2"/>
  <c r="T161" i="2" s="1"/>
  <c r="S103" i="2"/>
  <c r="T103" i="2" s="1"/>
  <c r="S122" i="2"/>
  <c r="T122" i="2" s="1"/>
  <c r="S127" i="2"/>
  <c r="T127" i="2" s="1"/>
  <c r="S152" i="2"/>
  <c r="T152" i="2" s="1"/>
  <c r="S157" i="2"/>
  <c r="T157" i="2" s="1"/>
  <c r="S150" i="2"/>
  <c r="T150" i="2" s="1"/>
  <c r="S151" i="2"/>
  <c r="T151" i="2" s="1"/>
  <c r="S109" i="2"/>
  <c r="T109" i="2" s="1"/>
  <c r="S110" i="2"/>
  <c r="T110" i="2" s="1"/>
  <c r="S93" i="2"/>
  <c r="T93" i="2" s="1"/>
  <c r="T84" i="2"/>
  <c r="S92" i="2"/>
  <c r="T92" i="2" s="1"/>
  <c r="S139" i="2"/>
  <c r="T139" i="2" s="1"/>
  <c r="S137" i="2"/>
  <c r="T137" i="2" s="1"/>
  <c r="S162" i="2"/>
  <c r="T162" i="2" s="1"/>
  <c r="S170" i="2"/>
  <c r="T170" i="2" s="1"/>
  <c r="S166" i="2"/>
  <c r="T166" i="2" s="1"/>
  <c r="S171" i="2" l="1"/>
  <c r="T171" i="2" s="1"/>
  <c r="S174" i="2"/>
  <c r="T174" i="2" s="1"/>
  <c r="S184" i="2"/>
  <c r="T184" i="2" s="1"/>
  <c r="S180" i="2"/>
  <c r="T180" i="2" s="1"/>
  <c r="S183" i="2"/>
  <c r="T183" i="2" s="1"/>
  <c r="S181" i="2"/>
  <c r="T181" i="2" s="1"/>
  <c r="K19" i="24"/>
  <c r="L19" i="24" s="1"/>
  <c r="E21" i="26"/>
  <c r="E49" i="26" s="1"/>
  <c r="H21" i="24"/>
  <c r="I21" i="24"/>
  <c r="S96" i="2"/>
  <c r="T96" i="2" s="1"/>
  <c r="S101" i="2"/>
  <c r="T101" i="2" s="1"/>
  <c r="S98" i="2"/>
  <c r="T98" i="2" s="1"/>
  <c r="S104" i="2"/>
  <c r="T104" i="2" s="1"/>
  <c r="S105" i="2"/>
  <c r="T105" i="2" s="1"/>
  <c r="S100" i="2"/>
  <c r="T100" i="2" s="1"/>
  <c r="S102" i="2"/>
  <c r="T102" i="2" s="1"/>
  <c r="S106" i="2"/>
  <c r="T106" i="2" s="1"/>
  <c r="K20" i="24" l="1"/>
  <c r="L20" i="24" s="1"/>
  <c r="E22" i="26"/>
  <c r="E50" i="26" s="1"/>
  <c r="H22" i="24"/>
  <c r="I22" i="24"/>
  <c r="K21" i="24" l="1"/>
  <c r="L21" i="24" s="1"/>
  <c r="E23" i="26"/>
  <c r="E51" i="26" s="1"/>
  <c r="H23" i="24"/>
  <c r="I23" i="24"/>
  <c r="K22" i="24" l="1"/>
  <c r="L22" i="24" s="1"/>
  <c r="E24" i="26"/>
  <c r="E52" i="26" s="1"/>
  <c r="I24" i="24"/>
  <c r="I25" i="24" s="1"/>
  <c r="I26" i="24" s="1"/>
  <c r="H24" i="24"/>
  <c r="H25" i="24" s="1"/>
  <c r="H26" i="24" s="1"/>
  <c r="K23" i="24" l="1"/>
  <c r="E25" i="26"/>
  <c r="E53" i="26" s="1"/>
  <c r="L23" i="24" l="1"/>
  <c r="K24" i="24"/>
  <c r="K25" i="24" s="1"/>
  <c r="E28" i="26" s="1"/>
  <c r="E26" i="26"/>
  <c r="E54" i="26" s="1"/>
  <c r="L25" i="24" l="1"/>
  <c r="K26" i="24"/>
  <c r="E27" i="26"/>
  <c r="L24" i="24"/>
  <c r="L26" i="24" l="1"/>
  <c r="L27" i="24" s="1"/>
  <c r="E29" i="26"/>
  <c r="E57" i="26" s="1"/>
  <c r="E55" i="26"/>
  <c r="E56" i="26"/>
  <c r="E58" i="26" l="1"/>
  <c r="E30" i="26" s="1"/>
  <c r="G13" i="22" l="1"/>
  <c r="E13" i="22"/>
  <c r="H11" i="22"/>
  <c r="H10" i="22"/>
  <c r="H9" i="22"/>
  <c r="H8" i="22"/>
  <c r="H13" i="22" l="1"/>
  <c r="V87" i="4" l="1"/>
  <c r="W87" i="4" s="1"/>
  <c r="W81" i="4"/>
  <c r="X81" i="4" s="1"/>
  <c r="Y81" i="4" s="1"/>
  <c r="Z81" i="4" s="1"/>
  <c r="AA81" i="4" s="1"/>
  <c r="AB81" i="4" s="1"/>
  <c r="AC81" i="4" s="1"/>
  <c r="AD81" i="4" s="1"/>
  <c r="AE81" i="4" s="1"/>
  <c r="AF81" i="4" s="1"/>
  <c r="AG81" i="4" s="1"/>
  <c r="AH81" i="4" s="1"/>
  <c r="AI81" i="4" s="1"/>
  <c r="X87" i="4" l="1"/>
  <c r="Y87" i="4" s="1"/>
  <c r="Z87" i="4" s="1"/>
  <c r="AA87" i="4" s="1"/>
  <c r="AB87" i="4" s="1"/>
  <c r="AC87" i="4" s="1"/>
  <c r="AD87" i="4" s="1"/>
  <c r="AE87" i="4" s="1"/>
  <c r="AF87" i="4" s="1"/>
  <c r="AG87" i="4" s="1"/>
  <c r="AH87" i="4" s="1"/>
  <c r="AI87" i="4" s="1"/>
  <c r="D25" i="12"/>
  <c r="E6" i="12"/>
  <c r="D6" i="12"/>
  <c r="D44" i="12" l="1"/>
  <c r="J25" i="12"/>
  <c r="J44" i="12" l="1"/>
  <c r="H6" i="12" l="1"/>
  <c r="G6" i="12"/>
  <c r="F6" i="12"/>
  <c r="C6" i="12"/>
  <c r="R41" i="2" l="1"/>
  <c r="R53" i="2"/>
  <c r="R49" i="2"/>
  <c r="R45" i="2"/>
  <c r="R65" i="2"/>
  <c r="R64" i="2"/>
  <c r="R61" i="2"/>
  <c r="R60" i="2"/>
  <c r="R57" i="2"/>
  <c r="R80" i="2"/>
  <c r="R79" i="2"/>
  <c r="R78" i="2"/>
  <c r="R77" i="2"/>
  <c r="R76" i="2"/>
  <c r="R75" i="2"/>
  <c r="R74" i="2"/>
  <c r="R73" i="2"/>
  <c r="R72" i="2"/>
  <c r="R71" i="2"/>
  <c r="R70" i="2"/>
  <c r="R67" i="2"/>
  <c r="R66" i="2"/>
  <c r="R63" i="2"/>
  <c r="R62" i="2"/>
  <c r="R59" i="2"/>
  <c r="R58" i="2"/>
  <c r="R54" i="2"/>
  <c r="R52" i="2"/>
  <c r="R51" i="2"/>
  <c r="R50" i="2"/>
  <c r="R48" i="2"/>
  <c r="R47" i="2"/>
  <c r="R46" i="2"/>
  <c r="R44" i="2"/>
  <c r="R40" i="2"/>
  <c r="R39" i="2"/>
  <c r="R38" i="2"/>
  <c r="R37" i="2"/>
  <c r="R36" i="2"/>
  <c r="R35" i="2"/>
  <c r="R34" i="2"/>
  <c r="R33" i="2"/>
  <c r="R32" i="2"/>
  <c r="R31" i="2"/>
  <c r="R28" i="2"/>
  <c r="R27" i="2"/>
  <c r="R26" i="2"/>
  <c r="R25" i="2"/>
  <c r="R24" i="2"/>
  <c r="R23" i="2"/>
  <c r="R22" i="2"/>
  <c r="R21" i="2"/>
  <c r="R20" i="2"/>
  <c r="R19" i="2"/>
  <c r="R18" i="2"/>
  <c r="S21" i="2" l="1"/>
  <c r="T21" i="2" s="1"/>
  <c r="S25" i="2"/>
  <c r="T25" i="2" s="1"/>
  <c r="S35" i="2"/>
  <c r="T35" i="2" s="1"/>
  <c r="S39" i="2"/>
  <c r="T39" i="2" s="1"/>
  <c r="S47" i="2"/>
  <c r="T47" i="2" s="1"/>
  <c r="S52" i="2"/>
  <c r="T52" i="2" s="1"/>
  <c r="S62" i="2"/>
  <c r="T62" i="2" s="1"/>
  <c r="S70" i="2"/>
  <c r="T70" i="2" s="1"/>
  <c r="S74" i="2"/>
  <c r="T74" i="2" s="1"/>
  <c r="S78" i="2"/>
  <c r="T78" i="2" s="1"/>
  <c r="S60" i="2"/>
  <c r="T60" i="2" s="1"/>
  <c r="S45" i="2"/>
  <c r="T45" i="2" s="1"/>
  <c r="S18" i="2"/>
  <c r="T18" i="2" s="1"/>
  <c r="S22" i="2"/>
  <c r="T22" i="2" s="1"/>
  <c r="S26" i="2"/>
  <c r="T26" i="2" s="1"/>
  <c r="S32" i="2"/>
  <c r="T32" i="2" s="1"/>
  <c r="S36" i="2"/>
  <c r="T36" i="2" s="1"/>
  <c r="S40" i="2"/>
  <c r="T40" i="2" s="1"/>
  <c r="S48" i="2"/>
  <c r="T48" i="2" s="1"/>
  <c r="S63" i="2"/>
  <c r="T63" i="2" s="1"/>
  <c r="S71" i="2"/>
  <c r="T71" i="2" s="1"/>
  <c r="S75" i="2"/>
  <c r="T75" i="2" s="1"/>
  <c r="S79" i="2"/>
  <c r="T79" i="2" s="1"/>
  <c r="S61" i="2"/>
  <c r="T61" i="2" s="1"/>
  <c r="S49" i="2"/>
  <c r="T49" i="2" s="1"/>
  <c r="S19" i="2"/>
  <c r="T19" i="2" s="1"/>
  <c r="S23" i="2"/>
  <c r="T23" i="2" s="1"/>
  <c r="S27" i="2"/>
  <c r="T27" i="2" s="1"/>
  <c r="S33" i="2"/>
  <c r="T33" i="2" s="1"/>
  <c r="S37" i="2"/>
  <c r="T37" i="2" s="1"/>
  <c r="S44" i="2"/>
  <c r="T44" i="2" s="1"/>
  <c r="S50" i="2"/>
  <c r="T50" i="2" s="1"/>
  <c r="S58" i="2"/>
  <c r="T58" i="2" s="1"/>
  <c r="S66" i="2"/>
  <c r="T66" i="2" s="1"/>
  <c r="S72" i="2"/>
  <c r="T72" i="2" s="1"/>
  <c r="S76" i="2"/>
  <c r="T76" i="2" s="1"/>
  <c r="S80" i="2"/>
  <c r="T80" i="2" s="1"/>
  <c r="S64" i="2"/>
  <c r="T64" i="2" s="1"/>
  <c r="S53" i="2"/>
  <c r="T53" i="2" s="1"/>
  <c r="S20" i="2"/>
  <c r="T20" i="2" s="1"/>
  <c r="S24" i="2"/>
  <c r="T24" i="2" s="1"/>
  <c r="S28" i="2"/>
  <c r="T28" i="2" s="1"/>
  <c r="S34" i="2"/>
  <c r="T34" i="2" s="1"/>
  <c r="S38" i="2"/>
  <c r="T38" i="2" s="1"/>
  <c r="S46" i="2"/>
  <c r="T46" i="2" s="1"/>
  <c r="S51" i="2"/>
  <c r="T51" i="2" s="1"/>
  <c r="S59" i="2"/>
  <c r="T59" i="2" s="1"/>
  <c r="S67" i="2"/>
  <c r="T67" i="2" s="1"/>
  <c r="S73" i="2"/>
  <c r="T73" i="2" s="1"/>
  <c r="S77" i="2"/>
  <c r="T77" i="2" s="1"/>
  <c r="S57" i="2"/>
  <c r="T57" i="2" s="1"/>
  <c r="S65" i="2"/>
  <c r="T65" i="2" s="1"/>
  <c r="S31" i="2"/>
  <c r="T31" i="2" s="1"/>
  <c r="S41" i="2"/>
  <c r="T41" i="2" s="1"/>
  <c r="S54" i="2"/>
  <c r="T54" i="2" s="1"/>
  <c r="D71" i="2"/>
  <c r="D72" i="2" s="1"/>
  <c r="D73" i="2" s="1"/>
  <c r="D74" i="2" s="1"/>
  <c r="D75" i="2" s="1"/>
  <c r="D76" i="2" s="1"/>
  <c r="D77" i="2" s="1"/>
  <c r="D78" i="2" s="1"/>
  <c r="D79" i="2" s="1"/>
  <c r="D80" i="2" s="1"/>
  <c r="D81" i="2" s="1"/>
  <c r="D82" i="2" s="1"/>
  <c r="D58" i="2"/>
  <c r="D59" i="2" s="1"/>
  <c r="D60" i="2" s="1"/>
  <c r="D61" i="2" s="1"/>
  <c r="D62" i="2" s="1"/>
  <c r="D63" i="2" s="1"/>
  <c r="D64" i="2" s="1"/>
  <c r="D65" i="2" s="1"/>
  <c r="D66" i="2" s="1"/>
  <c r="D67" i="2" s="1"/>
  <c r="D68" i="2" s="1"/>
  <c r="D69" i="2" s="1"/>
  <c r="D32" i="2"/>
  <c r="D33" i="2" s="1"/>
  <c r="D34" i="2" s="1"/>
  <c r="D35" i="2" s="1"/>
  <c r="D36" i="2" s="1"/>
  <c r="D37" i="2" s="1"/>
  <c r="D38" i="2" s="1"/>
  <c r="D39" i="2" s="1"/>
  <c r="D40" i="2" s="1"/>
  <c r="D41" i="2" s="1"/>
  <c r="D42" i="2" s="1"/>
  <c r="D43" i="2" s="1"/>
  <c r="D45" i="2" l="1"/>
  <c r="D46" i="2" s="1"/>
  <c r="D47" i="2" s="1"/>
  <c r="D48" i="2" s="1"/>
  <c r="D49" i="2" s="1"/>
  <c r="D50" i="2" s="1"/>
  <c r="D51" i="2" s="1"/>
  <c r="D52" i="2" s="1"/>
  <c r="D53" i="2" s="1"/>
  <c r="D54" i="2" s="1"/>
  <c r="D55" i="2" s="1"/>
  <c r="D56" i="2" s="1"/>
  <c r="D19" i="2" l="1"/>
  <c r="D20" i="2" s="1"/>
  <c r="D21" i="2" s="1"/>
  <c r="D22" i="2" s="1"/>
  <c r="D23" i="2" s="1"/>
  <c r="D24" i="2" s="1"/>
  <c r="D25" i="2" s="1"/>
  <c r="D26" i="2" s="1"/>
  <c r="D27" i="2" s="1"/>
  <c r="D28" i="2" s="1"/>
  <c r="D29" i="2" s="1"/>
  <c r="D30" i="2" s="1"/>
  <c r="F13" i="12"/>
  <c r="F12" i="12"/>
  <c r="G9" i="12"/>
  <c r="G14" i="12"/>
  <c r="F11" i="12"/>
  <c r="G16" i="12"/>
  <c r="C9" i="12"/>
  <c r="G11" i="12"/>
  <c r="F10" i="12"/>
  <c r="C7" i="12" l="1"/>
  <c r="F15" i="12"/>
  <c r="G13" i="12"/>
  <c r="C16" i="12"/>
  <c r="C11" i="12"/>
  <c r="G15" i="12"/>
  <c r="G19" i="12"/>
  <c r="F16" i="12"/>
  <c r="C19" i="12"/>
  <c r="G18" i="12"/>
  <c r="F19" i="12"/>
  <c r="G17" i="12"/>
  <c r="F8" i="12"/>
  <c r="C18" i="12"/>
  <c r="C37" i="12" s="1"/>
  <c r="C17" i="12"/>
  <c r="C36" i="12" s="1"/>
  <c r="C10" i="12"/>
  <c r="C29" i="12" s="1"/>
  <c r="G12" i="12"/>
  <c r="G8" i="12"/>
  <c r="C12" i="12"/>
  <c r="F18" i="12"/>
  <c r="C14" i="12"/>
  <c r="C33" i="12" s="1"/>
  <c r="C13" i="12"/>
  <c r="F7" i="12"/>
  <c r="F9" i="12"/>
  <c r="F14" i="12"/>
  <c r="E33" i="12" s="1"/>
  <c r="F17" i="12"/>
  <c r="G10" i="12"/>
  <c r="G7" i="12"/>
  <c r="C15" i="12"/>
  <c r="C34" i="12" s="1"/>
  <c r="C8" i="12"/>
  <c r="C19" i="2"/>
  <c r="C20" i="2" s="1"/>
  <c r="C21" i="2" s="1"/>
  <c r="C22" i="2" s="1"/>
  <c r="C23" i="2" s="1"/>
  <c r="C24" i="2" s="1"/>
  <c r="C25" i="2" s="1"/>
  <c r="C26" i="2" s="1"/>
  <c r="C27" i="2" s="1"/>
  <c r="C28" i="2" s="1"/>
  <c r="C29" i="2" s="1"/>
  <c r="C30" i="2" s="1"/>
  <c r="C31" i="2" s="1"/>
  <c r="C38" i="12"/>
  <c r="E38" i="12"/>
  <c r="C28" i="12"/>
  <c r="C32" i="12"/>
  <c r="E34" i="12"/>
  <c r="C35" i="12"/>
  <c r="C31" i="12"/>
  <c r="E32" i="12"/>
  <c r="E31" i="12"/>
  <c r="C27" i="12"/>
  <c r="E26" i="12"/>
  <c r="C26" i="12"/>
  <c r="C30" i="12"/>
  <c r="U40" i="4"/>
  <c r="E14" i="3" s="1"/>
  <c r="T40" i="4"/>
  <c r="C14" i="3" s="1"/>
  <c r="U39" i="4"/>
  <c r="E13" i="3" s="1"/>
  <c r="T39" i="4"/>
  <c r="C13" i="3" s="1"/>
  <c r="U38" i="4"/>
  <c r="E12" i="3" s="1"/>
  <c r="T38" i="4"/>
  <c r="C12" i="3" s="1"/>
  <c r="U37" i="4"/>
  <c r="E11" i="3" s="1"/>
  <c r="T37" i="4"/>
  <c r="C11" i="3" s="1"/>
  <c r="E25" i="3"/>
  <c r="F26" i="3" s="1"/>
  <c r="D26" i="3"/>
  <c r="U36" i="4"/>
  <c r="E10" i="3" s="1"/>
  <c r="T36" i="4"/>
  <c r="C10" i="3" s="1"/>
  <c r="E24" i="3"/>
  <c r="U35" i="4"/>
  <c r="E9" i="3" s="1"/>
  <c r="T35" i="4"/>
  <c r="C9" i="3" s="1"/>
  <c r="E23" i="3"/>
  <c r="U34" i="4"/>
  <c r="E8" i="3" s="1"/>
  <c r="T34" i="4"/>
  <c r="C8" i="3" s="1"/>
  <c r="E22" i="3"/>
  <c r="U33" i="4"/>
  <c r="E7" i="3" s="1"/>
  <c r="T33" i="4"/>
  <c r="C7" i="3" s="1"/>
  <c r="E21" i="3"/>
  <c r="U32" i="4"/>
  <c r="E6" i="3" s="1"/>
  <c r="T32" i="4"/>
  <c r="C6" i="3" s="1"/>
  <c r="E20" i="3"/>
  <c r="U31" i="4"/>
  <c r="E5" i="3" s="1"/>
  <c r="T31" i="4"/>
  <c r="C5" i="3" s="1"/>
  <c r="E19" i="3"/>
  <c r="E17" i="3"/>
  <c r="E16" i="3"/>
  <c r="E15" i="3"/>
  <c r="EH26" i="4"/>
  <c r="EG26" i="4"/>
  <c r="EF26" i="4"/>
  <c r="EE26" i="4"/>
  <c r="ED26" i="4"/>
  <c r="EC26" i="4"/>
  <c r="EB26" i="4"/>
  <c r="EA26" i="4"/>
  <c r="DZ26" i="4"/>
  <c r="DY26"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EH18" i="4"/>
  <c r="EG18" i="4"/>
  <c r="EF18" i="4"/>
  <c r="EE18" i="4"/>
  <c r="ED18" i="4"/>
  <c r="EC18" i="4"/>
  <c r="EB18" i="4"/>
  <c r="EA18" i="4"/>
  <c r="DZ18" i="4"/>
  <c r="DY18"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H26" i="3"/>
  <c r="T28" i="26" s="1"/>
  <c r="D25" i="3"/>
  <c r="D22" i="3"/>
  <c r="S24" i="26" s="1"/>
  <c r="E18" i="3"/>
  <c r="G15" i="3"/>
  <c r="G14" i="3"/>
  <c r="G13" i="3"/>
  <c r="G12" i="3"/>
  <c r="G11" i="3"/>
  <c r="G10" i="3"/>
  <c r="G9" i="3"/>
  <c r="G8" i="3"/>
  <c r="G7" i="3"/>
  <c r="G6" i="3"/>
  <c r="G5" i="3"/>
  <c r="J15" i="2"/>
  <c r="J223" i="2" s="1"/>
  <c r="J14" i="2"/>
  <c r="J222" i="2" s="1"/>
  <c r="J13" i="2"/>
  <c r="J221" i="2" s="1"/>
  <c r="J12" i="2"/>
  <c r="J220" i="2" s="1"/>
  <c r="J11" i="2"/>
  <c r="J219" i="2" s="1"/>
  <c r="J10" i="2"/>
  <c r="J218" i="2" s="1"/>
  <c r="J9" i="2"/>
  <c r="J217" i="2" s="1"/>
  <c r="J8" i="2"/>
  <c r="J216" i="2" s="1"/>
  <c r="J7" i="2"/>
  <c r="J215" i="2" s="1"/>
  <c r="J6" i="2"/>
  <c r="J214" i="2" s="1"/>
  <c r="J5" i="2"/>
  <c r="J213" i="2" s="1"/>
  <c r="O213" i="2" s="1"/>
  <c r="P213" i="2" s="1"/>
  <c r="Q213" i="2" s="1"/>
  <c r="R213" i="2" s="1"/>
  <c r="S213" i="2" s="1"/>
  <c r="E37" i="12" l="1"/>
  <c r="E27" i="12"/>
  <c r="E29" i="12"/>
  <c r="E36" i="12"/>
  <c r="K37" i="12" s="1"/>
  <c r="E35" i="12"/>
  <c r="K36" i="12" s="1"/>
  <c r="E28" i="12"/>
  <c r="E30" i="12"/>
  <c r="K31" i="12" s="1"/>
  <c r="C32" i="2"/>
  <c r="C33" i="2" s="1"/>
  <c r="C34" i="2" s="1"/>
  <c r="C35" i="2" s="1"/>
  <c r="C36" i="2" s="1"/>
  <c r="C37" i="2" s="1"/>
  <c r="C38" i="2" s="1"/>
  <c r="C39" i="2" s="1"/>
  <c r="C40" i="2" s="1"/>
  <c r="C41" i="2" s="1"/>
  <c r="C42" i="2" s="1"/>
  <c r="C43" i="2" s="1"/>
  <c r="I36" i="12"/>
  <c r="F27" i="26"/>
  <c r="J236" i="2"/>
  <c r="D17" i="12" s="1"/>
  <c r="J229" i="2"/>
  <c r="D10" i="12" s="1"/>
  <c r="F20" i="26"/>
  <c r="J233" i="2"/>
  <c r="D14" i="12" s="1"/>
  <c r="F24" i="26"/>
  <c r="F19" i="26"/>
  <c r="J228" i="2"/>
  <c r="D9" i="12" s="1"/>
  <c r="J226" i="2"/>
  <c r="F17" i="26"/>
  <c r="J230" i="2"/>
  <c r="D11" i="12" s="1"/>
  <c r="J234" i="2"/>
  <c r="D15" i="12" s="1"/>
  <c r="F23" i="26"/>
  <c r="J232" i="2"/>
  <c r="D13" i="12" s="1"/>
  <c r="F18" i="26"/>
  <c r="J227" i="2"/>
  <c r="D8" i="12" s="1"/>
  <c r="J231" i="2"/>
  <c r="D12" i="12" s="1"/>
  <c r="J235" i="2"/>
  <c r="D16" i="12" s="1"/>
  <c r="F26" i="26"/>
  <c r="S27" i="26"/>
  <c r="S28" i="26"/>
  <c r="S26" i="3"/>
  <c r="I37" i="12"/>
  <c r="I38" i="12"/>
  <c r="E56" i="12"/>
  <c r="K38" i="12"/>
  <c r="E57" i="12"/>
  <c r="I30" i="12"/>
  <c r="I28" i="12"/>
  <c r="K32" i="12"/>
  <c r="K33" i="12"/>
  <c r="K28" i="12"/>
  <c r="I35" i="12"/>
  <c r="I34" i="12"/>
  <c r="I29" i="12"/>
  <c r="I31" i="12"/>
  <c r="K34" i="12"/>
  <c r="K29" i="12"/>
  <c r="I27" i="12"/>
  <c r="K27" i="12"/>
  <c r="I33" i="12"/>
  <c r="K30" i="12"/>
  <c r="I32" i="12"/>
  <c r="F21" i="26"/>
  <c r="F25" i="26"/>
  <c r="O8" i="2"/>
  <c r="P8" i="2" s="1"/>
  <c r="O13" i="2"/>
  <c r="P13" i="2" s="1"/>
  <c r="O6" i="2"/>
  <c r="O5" i="2"/>
  <c r="P5" i="2" s="1"/>
  <c r="L12" i="2"/>
  <c r="O9" i="2"/>
  <c r="P9" i="2" s="1"/>
  <c r="O10" i="2"/>
  <c r="H18" i="3"/>
  <c r="T20" i="26" s="1"/>
  <c r="H8" i="3"/>
  <c r="H12" i="3"/>
  <c r="T17" i="26"/>
  <c r="H22" i="3"/>
  <c r="H25" i="3"/>
  <c r="S25" i="3" s="1"/>
  <c r="H9" i="3"/>
  <c r="H13" i="3"/>
  <c r="H16" i="3"/>
  <c r="H19" i="3"/>
  <c r="T21" i="26" s="1"/>
  <c r="H6" i="3"/>
  <c r="H10" i="3"/>
  <c r="H14" i="3"/>
  <c r="H17" i="3"/>
  <c r="T19" i="26" s="1"/>
  <c r="H20" i="3"/>
  <c r="T22" i="26" s="1"/>
  <c r="H23" i="3"/>
  <c r="T25" i="26" s="1"/>
  <c r="H7" i="3"/>
  <c r="H11" i="3"/>
  <c r="F18" i="3"/>
  <c r="H21" i="3"/>
  <c r="T23" i="26" s="1"/>
  <c r="H24" i="3"/>
  <c r="T26" i="26" s="1"/>
  <c r="D11" i="3"/>
  <c r="D13" i="3"/>
  <c r="D8" i="3"/>
  <c r="D10" i="3"/>
  <c r="D7" i="3"/>
  <c r="D6" i="3"/>
  <c r="D12" i="3"/>
  <c r="F14" i="3"/>
  <c r="F12" i="3"/>
  <c r="F11" i="3"/>
  <c r="F8" i="3"/>
  <c r="F7" i="3"/>
  <c r="F6" i="3"/>
  <c r="F9" i="3"/>
  <c r="D19" i="3"/>
  <c r="S21" i="26" s="1"/>
  <c r="D20" i="3"/>
  <c r="S22" i="26" s="1"/>
  <c r="D16" i="3"/>
  <c r="S18" i="26" s="1"/>
  <c r="D17" i="3"/>
  <c r="F25" i="3"/>
  <c r="F16" i="3"/>
  <c r="K16" i="3" s="1"/>
  <c r="F17" i="3"/>
  <c r="F24" i="3"/>
  <c r="F19" i="3"/>
  <c r="F21" i="3"/>
  <c r="F22" i="3"/>
  <c r="F15" i="3"/>
  <c r="F20" i="3"/>
  <c r="F23" i="3"/>
  <c r="L14" i="2"/>
  <c r="O12" i="2"/>
  <c r="O14" i="2"/>
  <c r="L6" i="2"/>
  <c r="L8" i="2"/>
  <c r="L10" i="2"/>
  <c r="O7" i="2"/>
  <c r="O15" i="2"/>
  <c r="L15" i="2"/>
  <c r="D23" i="3"/>
  <c r="S25" i="26" s="1"/>
  <c r="D24" i="3"/>
  <c r="D14" i="3"/>
  <c r="L7" i="2"/>
  <c r="O11" i="2"/>
  <c r="S17" i="26"/>
  <c r="D21" i="3"/>
  <c r="S23" i="26" s="1"/>
  <c r="L11" i="2"/>
  <c r="D9" i="3"/>
  <c r="F10" i="3"/>
  <c r="F13" i="3"/>
  <c r="D18" i="3"/>
  <c r="L5" i="2"/>
  <c r="L9" i="2"/>
  <c r="L13" i="2"/>
  <c r="K35" i="12" l="1"/>
  <c r="K39" i="12" s="1"/>
  <c r="C44" i="2"/>
  <c r="C45" i="2" s="1"/>
  <c r="C46" i="2" s="1"/>
  <c r="C47" i="2" s="1"/>
  <c r="C48" i="2" s="1"/>
  <c r="C49" i="2" s="1"/>
  <c r="C50" i="2" s="1"/>
  <c r="C51" i="2" s="1"/>
  <c r="C52" i="2" s="1"/>
  <c r="C53" i="2" s="1"/>
  <c r="C54" i="2" s="1"/>
  <c r="C55" i="2" s="1"/>
  <c r="C56" i="2" s="1"/>
  <c r="D7" i="12"/>
  <c r="O226" i="2"/>
  <c r="I39" i="12"/>
  <c r="K6" i="2"/>
  <c r="K74" i="2"/>
  <c r="K139" i="2"/>
  <c r="K191" i="2"/>
  <c r="K61" i="2"/>
  <c r="K165" i="2"/>
  <c r="K126" i="2"/>
  <c r="K113" i="2"/>
  <c r="K178" i="2"/>
  <c r="K100" i="2"/>
  <c r="K152" i="2"/>
  <c r="K87" i="2"/>
  <c r="K204" i="2"/>
  <c r="O217" i="2"/>
  <c r="P217" i="2" s="1"/>
  <c r="Q217" i="2" s="1"/>
  <c r="R217" i="2" s="1"/>
  <c r="S217" i="2" s="1"/>
  <c r="K203" i="2"/>
  <c r="K73" i="2"/>
  <c r="K138" i="2"/>
  <c r="K60" i="2"/>
  <c r="K125" i="2"/>
  <c r="K190" i="2"/>
  <c r="K164" i="2"/>
  <c r="K86" i="2"/>
  <c r="K151" i="2"/>
  <c r="K99" i="2"/>
  <c r="K112" i="2"/>
  <c r="K177" i="2"/>
  <c r="O216" i="2"/>
  <c r="P216" i="2" s="1"/>
  <c r="Q216" i="2" s="1"/>
  <c r="R216" i="2" s="1"/>
  <c r="S216" i="2" s="1"/>
  <c r="K140" i="2"/>
  <c r="K192" i="2"/>
  <c r="K62" i="2"/>
  <c r="K127" i="2"/>
  <c r="K75" i="2"/>
  <c r="K114" i="2"/>
  <c r="K166" i="2"/>
  <c r="K179" i="2"/>
  <c r="K101" i="2"/>
  <c r="K88" i="2"/>
  <c r="K205" i="2"/>
  <c r="K153" i="2"/>
  <c r="O218" i="2"/>
  <c r="P218" i="2" s="1"/>
  <c r="Q218" i="2" s="1"/>
  <c r="R218" i="2" s="1"/>
  <c r="S218" i="2" s="1"/>
  <c r="K183" i="2"/>
  <c r="K118" i="2"/>
  <c r="K170" i="2"/>
  <c r="K79" i="2"/>
  <c r="K105" i="2"/>
  <c r="K144" i="2"/>
  <c r="K196" i="2"/>
  <c r="K66" i="2"/>
  <c r="K92" i="2"/>
  <c r="K209" i="2"/>
  <c r="K157" i="2"/>
  <c r="K131" i="2"/>
  <c r="O222" i="2"/>
  <c r="P222" i="2" s="1"/>
  <c r="Q222" i="2" s="1"/>
  <c r="R222" i="2" s="1"/>
  <c r="S222" i="2" s="1"/>
  <c r="K180" i="2"/>
  <c r="K193" i="2"/>
  <c r="K63" i="2"/>
  <c r="K128" i="2"/>
  <c r="K115" i="2"/>
  <c r="K141" i="2"/>
  <c r="K206" i="2"/>
  <c r="K89" i="2"/>
  <c r="K102" i="2"/>
  <c r="K167" i="2"/>
  <c r="K154" i="2"/>
  <c r="K76" i="2"/>
  <c r="O219" i="2"/>
  <c r="P219" i="2" s="1"/>
  <c r="Q219" i="2" s="1"/>
  <c r="R219" i="2" s="1"/>
  <c r="S219" i="2" s="1"/>
  <c r="K176" i="2"/>
  <c r="K150" i="2"/>
  <c r="K72" i="2"/>
  <c r="K189" i="2"/>
  <c r="K59" i="2"/>
  <c r="K124" i="2"/>
  <c r="K98" i="2"/>
  <c r="K163" i="2"/>
  <c r="K85" i="2"/>
  <c r="K111" i="2"/>
  <c r="K137" i="2"/>
  <c r="K202" i="2"/>
  <c r="O215" i="2"/>
  <c r="P215" i="2" s="1"/>
  <c r="Q215" i="2" s="1"/>
  <c r="R215" i="2" s="1"/>
  <c r="S215" i="2" s="1"/>
  <c r="K184" i="2"/>
  <c r="K119" i="2"/>
  <c r="K145" i="2"/>
  <c r="K93" i="2"/>
  <c r="K106" i="2"/>
  <c r="K171" i="2"/>
  <c r="K197" i="2"/>
  <c r="K132" i="2"/>
  <c r="K158" i="2"/>
  <c r="K80" i="2"/>
  <c r="K210" i="2"/>
  <c r="K67" i="2"/>
  <c r="O223" i="2"/>
  <c r="P223" i="2" s="1"/>
  <c r="Q223" i="2" s="1"/>
  <c r="R223" i="2" s="1"/>
  <c r="S223" i="2" s="1"/>
  <c r="J17" i="2"/>
  <c r="J225" i="2" s="1"/>
  <c r="K199" i="2" s="1"/>
  <c r="F22" i="26"/>
  <c r="F30" i="26" s="1"/>
  <c r="K123" i="2"/>
  <c r="K84" i="2"/>
  <c r="K201" i="2"/>
  <c r="K149" i="2"/>
  <c r="K136" i="2"/>
  <c r="K188" i="2"/>
  <c r="K58" i="2"/>
  <c r="K71" i="2"/>
  <c r="K97" i="2"/>
  <c r="K175" i="2"/>
  <c r="K110" i="2"/>
  <c r="K162" i="2"/>
  <c r="O214" i="2"/>
  <c r="P214" i="2" s="1"/>
  <c r="Q214" i="2" s="1"/>
  <c r="R214" i="2" s="1"/>
  <c r="S214" i="2" s="1"/>
  <c r="K130" i="2"/>
  <c r="K169" i="2"/>
  <c r="K182" i="2"/>
  <c r="K104" i="2"/>
  <c r="K156" i="2"/>
  <c r="K65" i="2"/>
  <c r="K117" i="2"/>
  <c r="K78" i="2"/>
  <c r="K143" i="2"/>
  <c r="K91" i="2"/>
  <c r="K208" i="2"/>
  <c r="K195" i="2"/>
  <c r="O221" i="2"/>
  <c r="P221" i="2" s="1"/>
  <c r="Q221" i="2" s="1"/>
  <c r="R221" i="2" s="1"/>
  <c r="S221" i="2" s="1"/>
  <c r="K57" i="2"/>
  <c r="K83" i="2"/>
  <c r="K200" i="2"/>
  <c r="K70" i="2"/>
  <c r="K135" i="2"/>
  <c r="K187" i="2"/>
  <c r="K148" i="2"/>
  <c r="K109" i="2"/>
  <c r="K122" i="2"/>
  <c r="K174" i="2"/>
  <c r="K161" i="2"/>
  <c r="K96" i="2"/>
  <c r="K207" i="2"/>
  <c r="K155" i="2"/>
  <c r="K64" i="2"/>
  <c r="K129" i="2"/>
  <c r="K116" i="2"/>
  <c r="K181" i="2"/>
  <c r="K194" i="2"/>
  <c r="K77" i="2"/>
  <c r="K103" i="2"/>
  <c r="K168" i="2"/>
  <c r="K90" i="2"/>
  <c r="K142" i="2"/>
  <c r="O220" i="2"/>
  <c r="P220" i="2" s="1"/>
  <c r="Q220" i="2" s="1"/>
  <c r="R220" i="2" s="1"/>
  <c r="S220" i="2" s="1"/>
  <c r="D76" i="12"/>
  <c r="F75" i="12"/>
  <c r="F76" i="12"/>
  <c r="K57" i="12"/>
  <c r="S24" i="3"/>
  <c r="S26" i="26"/>
  <c r="S17" i="3"/>
  <c r="S19" i="26"/>
  <c r="T27" i="26"/>
  <c r="S18" i="3"/>
  <c r="S20" i="26"/>
  <c r="L16" i="3"/>
  <c r="T18" i="26"/>
  <c r="S22" i="3"/>
  <c r="T24" i="26"/>
  <c r="S23" i="3"/>
  <c r="S19" i="3"/>
  <c r="S15" i="3"/>
  <c r="J16" i="3"/>
  <c r="J17" i="3" s="1"/>
  <c r="S16" i="3"/>
  <c r="S21" i="3"/>
  <c r="S20" i="3"/>
  <c r="K13" i="2"/>
  <c r="K5" i="2"/>
  <c r="K7" i="2"/>
  <c r="K10" i="2"/>
  <c r="K15" i="2"/>
  <c r="K8" i="2"/>
  <c r="K14" i="2"/>
  <c r="K9" i="2"/>
  <c r="K12" i="2"/>
  <c r="K11" i="2"/>
  <c r="K40" i="2"/>
  <c r="K53" i="2"/>
  <c r="K27" i="2"/>
  <c r="K45" i="2"/>
  <c r="K19" i="2"/>
  <c r="K32" i="2"/>
  <c r="K22" i="2"/>
  <c r="K48" i="2"/>
  <c r="K35" i="2"/>
  <c r="K25" i="2"/>
  <c r="K51" i="2"/>
  <c r="K38" i="2"/>
  <c r="K24" i="2"/>
  <c r="K50" i="2"/>
  <c r="K37" i="2"/>
  <c r="K23" i="2"/>
  <c r="K49" i="2"/>
  <c r="K36" i="2"/>
  <c r="K52" i="2"/>
  <c r="K26" i="2"/>
  <c r="K39" i="2"/>
  <c r="K31" i="2"/>
  <c r="K44" i="2"/>
  <c r="K18" i="2"/>
  <c r="K47" i="2"/>
  <c r="K34" i="2"/>
  <c r="K21" i="2"/>
  <c r="K41" i="2"/>
  <c r="K54" i="2"/>
  <c r="K28" i="2"/>
  <c r="K33" i="2"/>
  <c r="K46" i="2"/>
  <c r="K20" i="2"/>
  <c r="P14" i="2"/>
  <c r="Q14" i="2" s="1"/>
  <c r="R14" i="2" s="1"/>
  <c r="S14" i="2" s="1"/>
  <c r="P10" i="2"/>
  <c r="Q10" i="2" s="1"/>
  <c r="R10" i="2" s="1"/>
  <c r="S10" i="2" s="1"/>
  <c r="P12" i="2"/>
  <c r="Q12" i="2" s="1"/>
  <c r="R12" i="2" s="1"/>
  <c r="S12" i="2" s="1"/>
  <c r="P6" i="2"/>
  <c r="Q6" i="2" s="1"/>
  <c r="R6" i="2" s="1"/>
  <c r="S6" i="2" s="1"/>
  <c r="K17" i="3"/>
  <c r="K18" i="3" s="1"/>
  <c r="K19" i="3" s="1"/>
  <c r="K20" i="3" s="1"/>
  <c r="K21" i="3" s="1"/>
  <c r="K22" i="3" s="1"/>
  <c r="K23" i="3" s="1"/>
  <c r="K24" i="3" s="1"/>
  <c r="K25" i="3" s="1"/>
  <c r="K26" i="3" s="1"/>
  <c r="K27" i="3" s="1"/>
  <c r="L17" i="3"/>
  <c r="Q13" i="2"/>
  <c r="R13" i="2" s="1"/>
  <c r="S13" i="2" s="1"/>
  <c r="Q5" i="2"/>
  <c r="R5" i="2" s="1"/>
  <c r="S5" i="2" s="1"/>
  <c r="P11" i="2"/>
  <c r="Q9" i="2"/>
  <c r="R9" i="2" s="1"/>
  <c r="S9" i="2" s="1"/>
  <c r="Q8" i="2"/>
  <c r="R8" i="2" s="1"/>
  <c r="S8" i="2" s="1"/>
  <c r="P15" i="2"/>
  <c r="P7" i="2"/>
  <c r="C57" i="2" l="1"/>
  <c r="C58" i="2" s="1"/>
  <c r="C59" i="2" s="1"/>
  <c r="C60" i="2" s="1"/>
  <c r="C61" i="2" s="1"/>
  <c r="C62" i="2" s="1"/>
  <c r="C63" i="2" s="1"/>
  <c r="C64" i="2" s="1"/>
  <c r="C65" i="2" s="1"/>
  <c r="C66" i="2" s="1"/>
  <c r="C67" i="2" s="1"/>
  <c r="C68" i="2" s="1"/>
  <c r="C69" i="2" s="1"/>
  <c r="K222" i="2"/>
  <c r="K215" i="2"/>
  <c r="K213" i="2"/>
  <c r="K219" i="2"/>
  <c r="K223" i="2"/>
  <c r="K214" i="2"/>
  <c r="K216" i="2"/>
  <c r="K220" i="2"/>
  <c r="K221" i="2"/>
  <c r="K217" i="2"/>
  <c r="K218" i="2"/>
  <c r="J16" i="2"/>
  <c r="J224" i="2" s="1"/>
  <c r="K198" i="2" s="1"/>
  <c r="O17" i="2"/>
  <c r="P17" i="2" s="1"/>
  <c r="Q17" i="2" s="1"/>
  <c r="K17" i="2"/>
  <c r="J238" i="2"/>
  <c r="L17" i="2"/>
  <c r="H76" i="12"/>
  <c r="T16" i="3"/>
  <c r="U16" i="3" s="1"/>
  <c r="K230" i="2"/>
  <c r="K231" i="2"/>
  <c r="K234" i="2"/>
  <c r="K232" i="2"/>
  <c r="K229" i="2"/>
  <c r="K235" i="2"/>
  <c r="K228" i="2"/>
  <c r="K227" i="2"/>
  <c r="K233" i="2"/>
  <c r="K236" i="2"/>
  <c r="K226" i="2"/>
  <c r="J18" i="3"/>
  <c r="L18" i="3"/>
  <c r="H2" i="3"/>
  <c r="Q7" i="2"/>
  <c r="R7" i="2" s="1"/>
  <c r="S7" i="2" s="1"/>
  <c r="Q15" i="2"/>
  <c r="R15" i="2" s="1"/>
  <c r="S15" i="2" s="1"/>
  <c r="Q11" i="2"/>
  <c r="R11" i="2" s="1"/>
  <c r="S11" i="2" s="1"/>
  <c r="C70" i="2" l="1"/>
  <c r="C71" i="2" s="1"/>
  <c r="C72" i="2" s="1"/>
  <c r="C73" i="2" s="1"/>
  <c r="C74" i="2" s="1"/>
  <c r="C75" i="2" s="1"/>
  <c r="C76" i="2" s="1"/>
  <c r="C77" i="2" s="1"/>
  <c r="C78" i="2" s="1"/>
  <c r="C79" i="2" s="1"/>
  <c r="C80" i="2" s="1"/>
  <c r="C81" i="2" s="1"/>
  <c r="C82" i="2" s="1"/>
  <c r="L16" i="2"/>
  <c r="O16" i="2"/>
  <c r="P16" i="2" s="1"/>
  <c r="Q16" i="2" s="1"/>
  <c r="J237" i="2"/>
  <c r="O237" i="2" s="1"/>
  <c r="P237" i="2" s="1"/>
  <c r="K16" i="2"/>
  <c r="K1" i="2" s="1"/>
  <c r="T17" i="3"/>
  <c r="U17" i="3" s="1"/>
  <c r="D19" i="12"/>
  <c r="H19" i="12" s="1"/>
  <c r="I19" i="12" s="1"/>
  <c r="O238" i="2"/>
  <c r="P238" i="2" s="1"/>
  <c r="K212" i="2"/>
  <c r="K56" i="2"/>
  <c r="K186" i="2"/>
  <c r="K147" i="2"/>
  <c r="K121" i="2"/>
  <c r="K30" i="2"/>
  <c r="K160" i="2"/>
  <c r="K95" i="2"/>
  <c r="K43" i="2"/>
  <c r="O225" i="2"/>
  <c r="P225" i="2" s="1"/>
  <c r="Q225" i="2" s="1"/>
  <c r="R225" i="2" s="1"/>
  <c r="S225" i="2" s="1"/>
  <c r="K108" i="2"/>
  <c r="K82" i="2"/>
  <c r="K134" i="2"/>
  <c r="K173" i="2"/>
  <c r="K69" i="2"/>
  <c r="F29" i="26"/>
  <c r="R17" i="2"/>
  <c r="S17" i="2" s="1"/>
  <c r="K159" i="2"/>
  <c r="K29" i="2"/>
  <c r="K94" i="2"/>
  <c r="K81" i="2"/>
  <c r="K133" i="2"/>
  <c r="K120" i="2"/>
  <c r="O224" i="2"/>
  <c r="P224" i="2" s="1"/>
  <c r="Q224" i="2" s="1"/>
  <c r="R224" i="2" s="1"/>
  <c r="S224" i="2" s="1"/>
  <c r="K185" i="2"/>
  <c r="K42" i="2"/>
  <c r="K146" i="2"/>
  <c r="K211" i="2"/>
  <c r="K55" i="2"/>
  <c r="K107" i="2"/>
  <c r="K68" i="2"/>
  <c r="K172" i="2"/>
  <c r="F28" i="26"/>
  <c r="M16" i="3"/>
  <c r="U18" i="26" s="1"/>
  <c r="M27" i="3"/>
  <c r="U29" i="26" s="1"/>
  <c r="M26" i="3"/>
  <c r="U28" i="26" s="1"/>
  <c r="L19" i="3"/>
  <c r="J19" i="3"/>
  <c r="M8" i="3"/>
  <c r="M9" i="3"/>
  <c r="M19" i="3"/>
  <c r="U21" i="26" s="1"/>
  <c r="M11" i="3"/>
  <c r="M13" i="3"/>
  <c r="M14" i="3"/>
  <c r="M21" i="3"/>
  <c r="U23" i="26" s="1"/>
  <c r="M23" i="3"/>
  <c r="U25" i="26" s="1"/>
  <c r="M25" i="3"/>
  <c r="U27" i="26" s="1"/>
  <c r="M24" i="3"/>
  <c r="U26" i="26" s="1"/>
  <c r="M6" i="3"/>
  <c r="M17" i="3"/>
  <c r="U19" i="26" s="1"/>
  <c r="M10" i="3"/>
  <c r="M15" i="3"/>
  <c r="U17" i="26" s="1"/>
  <c r="M20" i="3"/>
  <c r="U22" i="26" s="1"/>
  <c r="M7" i="3"/>
  <c r="M18" i="3"/>
  <c r="U20" i="26" s="1"/>
  <c r="M22" i="3"/>
  <c r="U24" i="26" s="1"/>
  <c r="M12" i="3"/>
  <c r="T18" i="3" l="1"/>
  <c r="U18" i="3" s="1"/>
  <c r="R16" i="2"/>
  <c r="S16" i="2" s="1"/>
  <c r="C83" i="2"/>
  <c r="C84" i="2" s="1"/>
  <c r="C85" i="2" s="1"/>
  <c r="C86" i="2" s="1"/>
  <c r="C87" i="2" s="1"/>
  <c r="C88" i="2" s="1"/>
  <c r="C89" i="2" s="1"/>
  <c r="C90" i="2" s="1"/>
  <c r="C91" i="2" s="1"/>
  <c r="C92" i="2" s="1"/>
  <c r="C93" i="2" s="1"/>
  <c r="C94" i="2" s="1"/>
  <c r="C95" i="2" s="1"/>
  <c r="L1" i="26"/>
  <c r="K225" i="2"/>
  <c r="K224" i="2"/>
  <c r="D18" i="12"/>
  <c r="H18" i="12" s="1"/>
  <c r="I18" i="12" s="1"/>
  <c r="C56" i="12" s="1"/>
  <c r="Q237" i="2"/>
  <c r="Q238" i="2"/>
  <c r="R238" i="2" s="1"/>
  <c r="S238" i="2" s="1"/>
  <c r="T238" i="2" s="1"/>
  <c r="J19" i="12"/>
  <c r="C57" i="12"/>
  <c r="K238" i="2"/>
  <c r="K237" i="2"/>
  <c r="J20" i="3"/>
  <c r="T19" i="3"/>
  <c r="U19" i="3" s="1"/>
  <c r="L20" i="3"/>
  <c r="E7" i="12"/>
  <c r="D26" i="12" s="1"/>
  <c r="N16" i="3"/>
  <c r="O16" i="3" s="1"/>
  <c r="C96" i="2" l="1"/>
  <c r="C97" i="2" s="1"/>
  <c r="C98" i="2" s="1"/>
  <c r="C99" i="2" s="1"/>
  <c r="C100" i="2" s="1"/>
  <c r="C101" i="2" s="1"/>
  <c r="C102" i="2" s="1"/>
  <c r="C103" i="2" s="1"/>
  <c r="C104" i="2" s="1"/>
  <c r="C105" i="2" s="1"/>
  <c r="C106" i="2" s="1"/>
  <c r="C107" i="2" s="1"/>
  <c r="C108" i="2" s="1"/>
  <c r="L2" i="26"/>
  <c r="O29" i="26" s="1"/>
  <c r="R237" i="2"/>
  <c r="S237" i="2" s="1"/>
  <c r="T237" i="2" s="1"/>
  <c r="I57" i="12"/>
  <c r="J18" i="12"/>
  <c r="T20" i="3"/>
  <c r="U20" i="3" s="1"/>
  <c r="L21" i="3"/>
  <c r="J21" i="3"/>
  <c r="T6" i="2"/>
  <c r="D18" i="26"/>
  <c r="D46" i="26" s="1"/>
  <c r="N17" i="3"/>
  <c r="O17" i="3" s="1"/>
  <c r="C109" i="2" l="1"/>
  <c r="C110" i="2" s="1"/>
  <c r="C111" i="2" s="1"/>
  <c r="C112" i="2" s="1"/>
  <c r="C113" i="2" s="1"/>
  <c r="C114" i="2" s="1"/>
  <c r="C115" i="2" s="1"/>
  <c r="C116" i="2" s="1"/>
  <c r="C117" i="2" s="1"/>
  <c r="C118" i="2" s="1"/>
  <c r="C119" i="2" s="1"/>
  <c r="C120" i="2" s="1"/>
  <c r="C121" i="2" s="1"/>
  <c r="P24" i="26"/>
  <c r="P28" i="26"/>
  <c r="P19" i="26"/>
  <c r="N28" i="26"/>
  <c r="N20" i="26"/>
  <c r="P26" i="26"/>
  <c r="N21" i="26"/>
  <c r="O28" i="26"/>
  <c r="N29" i="26"/>
  <c r="N27" i="26"/>
  <c r="P29" i="26"/>
  <c r="N26" i="26"/>
  <c r="P25" i="26"/>
  <c r="O21" i="26"/>
  <c r="O22" i="26"/>
  <c r="N23" i="26"/>
  <c r="P22" i="26"/>
  <c r="N18" i="26"/>
  <c r="I18" i="26" s="1"/>
  <c r="N19" i="26"/>
  <c r="O24" i="26"/>
  <c r="P21" i="26"/>
  <c r="O26" i="26"/>
  <c r="N25" i="26"/>
  <c r="O18" i="26"/>
  <c r="J18" i="26" s="1"/>
  <c r="N22" i="26"/>
  <c r="P23" i="26"/>
  <c r="P20" i="26"/>
  <c r="O25" i="26"/>
  <c r="N17" i="26"/>
  <c r="O17" i="26"/>
  <c r="O19" i="26"/>
  <c r="O20" i="26"/>
  <c r="N24" i="26"/>
  <c r="P17" i="26"/>
  <c r="P18" i="26"/>
  <c r="K18" i="26" s="1"/>
  <c r="C18" i="26" s="1"/>
  <c r="C46" i="26" s="1"/>
  <c r="O23" i="26"/>
  <c r="O27" i="26"/>
  <c r="P27" i="26"/>
  <c r="T7" i="2"/>
  <c r="D19" i="26"/>
  <c r="D47" i="26" s="1"/>
  <c r="L22" i="3"/>
  <c r="J22" i="3"/>
  <c r="T21" i="3"/>
  <c r="U21" i="3" s="1"/>
  <c r="N18" i="3"/>
  <c r="O18" i="3" s="1"/>
  <c r="C122" i="2" l="1"/>
  <c r="C123" i="2" s="1"/>
  <c r="C124" i="2" s="1"/>
  <c r="C125" i="2" s="1"/>
  <c r="C126" i="2" s="1"/>
  <c r="C127" i="2" s="1"/>
  <c r="C128" i="2" s="1"/>
  <c r="C129" i="2" s="1"/>
  <c r="C130" i="2" s="1"/>
  <c r="C131" i="2" s="1"/>
  <c r="C132" i="2" s="1"/>
  <c r="C133" i="2" s="1"/>
  <c r="C134" i="2" s="1"/>
  <c r="I19" i="26"/>
  <c r="I20" i="26" s="1"/>
  <c r="I21" i="26" s="1"/>
  <c r="I22" i="26" s="1"/>
  <c r="I23" i="26" s="1"/>
  <c r="I24" i="26" s="1"/>
  <c r="I25" i="26" s="1"/>
  <c r="I26" i="26" s="1"/>
  <c r="I27" i="26" s="1"/>
  <c r="I28" i="26" s="1"/>
  <c r="I29" i="26" s="1"/>
  <c r="J19" i="26"/>
  <c r="J20" i="26" s="1"/>
  <c r="J21" i="26" s="1"/>
  <c r="J22" i="26" s="1"/>
  <c r="J23" i="26" s="1"/>
  <c r="J24" i="26" s="1"/>
  <c r="J25" i="26" s="1"/>
  <c r="J26" i="26" s="1"/>
  <c r="J27" i="26" s="1"/>
  <c r="J28" i="26" s="1"/>
  <c r="J29" i="26" s="1"/>
  <c r="K19" i="26"/>
  <c r="E8" i="12"/>
  <c r="L23" i="3"/>
  <c r="J23" i="3"/>
  <c r="T8" i="2"/>
  <c r="D20" i="26"/>
  <c r="D48" i="26" s="1"/>
  <c r="T22" i="3"/>
  <c r="U22" i="3" s="1"/>
  <c r="N19" i="3"/>
  <c r="O19" i="3" s="1"/>
  <c r="C135" i="2" l="1"/>
  <c r="C136" i="2" s="1"/>
  <c r="C137" i="2" s="1"/>
  <c r="C138" i="2" s="1"/>
  <c r="C139" i="2" s="1"/>
  <c r="C140" i="2" s="1"/>
  <c r="C141" i="2" s="1"/>
  <c r="C142" i="2" s="1"/>
  <c r="C143" i="2" s="1"/>
  <c r="C144" i="2" s="1"/>
  <c r="C145" i="2" s="1"/>
  <c r="C146" i="2" s="1"/>
  <c r="C147" i="2" s="1"/>
  <c r="K20" i="26"/>
  <c r="C19" i="26"/>
  <c r="C47" i="26" s="1"/>
  <c r="D27" i="12"/>
  <c r="T9" i="2"/>
  <c r="D21" i="26"/>
  <c r="D49" i="26" s="1"/>
  <c r="J24" i="3"/>
  <c r="T23" i="3"/>
  <c r="U23" i="3" s="1"/>
  <c r="L24" i="3"/>
  <c r="N20" i="3"/>
  <c r="O20" i="3" s="1"/>
  <c r="C148" i="2" l="1"/>
  <c r="C149" i="2" s="1"/>
  <c r="C150" i="2" s="1"/>
  <c r="C151" i="2" s="1"/>
  <c r="C152" i="2" s="1"/>
  <c r="C153" i="2" s="1"/>
  <c r="C154" i="2" s="1"/>
  <c r="C155" i="2" s="1"/>
  <c r="C156" i="2" s="1"/>
  <c r="C157" i="2" s="1"/>
  <c r="C158" i="2" s="1"/>
  <c r="C159" i="2" s="1"/>
  <c r="C160" i="2" s="1"/>
  <c r="E9" i="12"/>
  <c r="D28" i="12" s="1"/>
  <c r="K21" i="26"/>
  <c r="C20" i="26"/>
  <c r="C48" i="26" s="1"/>
  <c r="J27" i="12"/>
  <c r="E10" i="12"/>
  <c r="D29" i="12" s="1"/>
  <c r="L25" i="3"/>
  <c r="L26" i="3" s="1"/>
  <c r="L27" i="3" s="1"/>
  <c r="J25" i="3"/>
  <c r="J26" i="3" s="1"/>
  <c r="J27" i="3" s="1"/>
  <c r="T10" i="2"/>
  <c r="D22" i="26"/>
  <c r="D50" i="26" s="1"/>
  <c r="T24" i="3"/>
  <c r="U24" i="3" s="1"/>
  <c r="N21" i="3"/>
  <c r="O21" i="3" s="1"/>
  <c r="C161" i="2" l="1"/>
  <c r="C162" i="2" s="1"/>
  <c r="C163" i="2" s="1"/>
  <c r="C164" i="2" s="1"/>
  <c r="C165" i="2" s="1"/>
  <c r="C166" i="2" s="1"/>
  <c r="C167" i="2" s="1"/>
  <c r="C168" i="2" s="1"/>
  <c r="C169" i="2" s="1"/>
  <c r="C170" i="2" s="1"/>
  <c r="C171" i="2" s="1"/>
  <c r="C172" i="2" s="1"/>
  <c r="C173" i="2" s="1"/>
  <c r="C21" i="26"/>
  <c r="C49" i="26" s="1"/>
  <c r="K22" i="26"/>
  <c r="J28" i="12"/>
  <c r="J29" i="12"/>
  <c r="E11" i="12"/>
  <c r="D30" i="12" s="1"/>
  <c r="T25" i="3"/>
  <c r="T26" i="3" s="1"/>
  <c r="T11" i="2"/>
  <c r="D23" i="26"/>
  <c r="D51" i="26" s="1"/>
  <c r="N22" i="3"/>
  <c r="O22" i="3" s="1"/>
  <c r="C174" i="2" l="1"/>
  <c r="C175" i="2" s="1"/>
  <c r="C176" i="2" s="1"/>
  <c r="C177" i="2" s="1"/>
  <c r="C178" i="2" s="1"/>
  <c r="C179" i="2" s="1"/>
  <c r="C180" i="2" s="1"/>
  <c r="C181" i="2" s="1"/>
  <c r="C182" i="2" s="1"/>
  <c r="C183" i="2" s="1"/>
  <c r="C184" i="2" s="1"/>
  <c r="C185" i="2" s="1"/>
  <c r="C186" i="2" s="1"/>
  <c r="K23" i="26"/>
  <c r="C22" i="26"/>
  <c r="C50" i="26" s="1"/>
  <c r="J30" i="12"/>
  <c r="U26" i="3"/>
  <c r="T27" i="3"/>
  <c r="U27" i="3" s="1"/>
  <c r="U25" i="3"/>
  <c r="T12" i="2"/>
  <c r="D24" i="26"/>
  <c r="D52" i="26" s="1"/>
  <c r="N23" i="3"/>
  <c r="O23" i="3" s="1"/>
  <c r="E12" i="12" l="1"/>
  <c r="D31" i="12" s="1"/>
  <c r="J31" i="12" s="1"/>
  <c r="C187" i="2"/>
  <c r="C188" i="2" s="1"/>
  <c r="C189" i="2" s="1"/>
  <c r="C190" i="2" s="1"/>
  <c r="C191" i="2" s="1"/>
  <c r="C192" i="2" s="1"/>
  <c r="C193" i="2" s="1"/>
  <c r="C194" i="2" s="1"/>
  <c r="C195" i="2" s="1"/>
  <c r="C196" i="2" s="1"/>
  <c r="C197" i="2" s="1"/>
  <c r="C198" i="2" s="1"/>
  <c r="C199" i="2" s="1"/>
  <c r="K24" i="26"/>
  <c r="C23" i="26"/>
  <c r="C51" i="26" s="1"/>
  <c r="U28" i="3"/>
  <c r="E13" i="12"/>
  <c r="D32" i="12" s="1"/>
  <c r="T13" i="2"/>
  <c r="D25" i="26"/>
  <c r="D53" i="26" s="1"/>
  <c r="N24" i="3"/>
  <c r="O24" i="3" s="1"/>
  <c r="C200" i="2" l="1"/>
  <c r="C201" i="2" s="1"/>
  <c r="C202" i="2" s="1"/>
  <c r="C203" i="2" s="1"/>
  <c r="C204" i="2" s="1"/>
  <c r="C205" i="2" s="1"/>
  <c r="C206" i="2" s="1"/>
  <c r="C207" i="2" s="1"/>
  <c r="C208" i="2" s="1"/>
  <c r="C209" i="2" s="1"/>
  <c r="C210" i="2" s="1"/>
  <c r="C211" i="2" s="1"/>
  <c r="C212" i="2" s="1"/>
  <c r="K25" i="26"/>
  <c r="C24" i="26"/>
  <c r="C52" i="26" s="1"/>
  <c r="J32" i="12"/>
  <c r="T14" i="2"/>
  <c r="D26" i="26"/>
  <c r="D54" i="26" s="1"/>
  <c r="N25" i="3"/>
  <c r="C213" i="2" l="1"/>
  <c r="C214" i="2" s="1"/>
  <c r="C215" i="2" s="1"/>
  <c r="C216" i="2" s="1"/>
  <c r="C217" i="2" s="1"/>
  <c r="C218" i="2" s="1"/>
  <c r="C219" i="2" s="1"/>
  <c r="C220" i="2" s="1"/>
  <c r="C221" i="2" s="1"/>
  <c r="C222" i="2" s="1"/>
  <c r="C223" i="2" s="1"/>
  <c r="C224" i="2" s="1"/>
  <c r="C225" i="2" s="1"/>
  <c r="E14" i="12"/>
  <c r="D33" i="12" s="1"/>
  <c r="J33" i="12" s="1"/>
  <c r="K26" i="26"/>
  <c r="C25" i="26"/>
  <c r="C53" i="26" s="1"/>
  <c r="O25" i="3"/>
  <c r="N26" i="3"/>
  <c r="E15" i="12"/>
  <c r="D34" i="12" s="1"/>
  <c r="T15" i="2"/>
  <c r="D27" i="26"/>
  <c r="C226" i="2" l="1"/>
  <c r="C227" i="2" s="1"/>
  <c r="C228" i="2" s="1"/>
  <c r="C229" i="2" s="1"/>
  <c r="C230" i="2" s="1"/>
  <c r="C231" i="2" s="1"/>
  <c r="C232" i="2" s="1"/>
  <c r="C233" i="2" s="1"/>
  <c r="C234" i="2" s="1"/>
  <c r="C235" i="2" s="1"/>
  <c r="C236" i="2" s="1"/>
  <c r="C237" i="2" s="1"/>
  <c r="C238" i="2" s="1"/>
  <c r="K27" i="26"/>
  <c r="C26" i="26"/>
  <c r="C54" i="26" s="1"/>
  <c r="D28" i="26"/>
  <c r="D56" i="26" s="1"/>
  <c r="T16" i="2"/>
  <c r="J34" i="12"/>
  <c r="O26" i="3"/>
  <c r="N27" i="3"/>
  <c r="T17" i="2" s="1"/>
  <c r="D55" i="26"/>
  <c r="E16" i="12"/>
  <c r="D35" i="12" s="1"/>
  <c r="K28" i="26" l="1"/>
  <c r="C27" i="26"/>
  <c r="C55" i="26" s="1"/>
  <c r="J35" i="12"/>
  <c r="O27" i="3"/>
  <c r="O28" i="3" s="1"/>
  <c r="D29" i="26"/>
  <c r="D57" i="26" s="1"/>
  <c r="D58" i="26" s="1"/>
  <c r="D30" i="26" s="1"/>
  <c r="E17" i="12"/>
  <c r="O229" i="2"/>
  <c r="P229" i="2" s="1"/>
  <c r="O235" i="2"/>
  <c r="P235" i="2" s="1"/>
  <c r="K29" i="26" l="1"/>
  <c r="C29" i="26" s="1"/>
  <c r="C28" i="26"/>
  <c r="Q235" i="2"/>
  <c r="Q229" i="2"/>
  <c r="R229" i="2" s="1"/>
  <c r="S229" i="2" s="1"/>
  <c r="D36" i="12"/>
  <c r="P226" i="2"/>
  <c r="O228" i="2"/>
  <c r="P228" i="2" s="1"/>
  <c r="O227" i="2"/>
  <c r="P227" i="2" s="1"/>
  <c r="O231" i="2"/>
  <c r="P231" i="2" s="1"/>
  <c r="O230" i="2"/>
  <c r="P230" i="2" s="1"/>
  <c r="O232" i="2"/>
  <c r="P232" i="2" s="1"/>
  <c r="E51" i="12"/>
  <c r="O234" i="2"/>
  <c r="P234" i="2" s="1"/>
  <c r="E48" i="12"/>
  <c r="E54" i="12"/>
  <c r="O233" i="2"/>
  <c r="P233" i="2" s="1"/>
  <c r="E18" i="12" l="1"/>
  <c r="D37" i="12" s="1"/>
  <c r="D56" i="12" s="1"/>
  <c r="C56" i="26"/>
  <c r="E19" i="12"/>
  <c r="D38" i="12" s="1"/>
  <c r="D57" i="12" s="1"/>
  <c r="C57" i="26"/>
  <c r="Q234" i="2"/>
  <c r="R234" i="2" s="1"/>
  <c r="Q231" i="2"/>
  <c r="R231" i="2" s="1"/>
  <c r="Q228" i="2"/>
  <c r="J36" i="12"/>
  <c r="Q233" i="2"/>
  <c r="R235" i="2"/>
  <c r="S235" i="2" s="1"/>
  <c r="T235" i="2" s="1"/>
  <c r="Q226" i="2"/>
  <c r="Q232" i="2"/>
  <c r="R232" i="2" s="1"/>
  <c r="Q230" i="2"/>
  <c r="Q227" i="2"/>
  <c r="O236" i="2"/>
  <c r="P236" i="2" s="1"/>
  <c r="H11" i="12"/>
  <c r="I11" i="12" s="1"/>
  <c r="J11" i="12" s="1"/>
  <c r="D49" i="12" s="1"/>
  <c r="E49" i="12"/>
  <c r="H7" i="12"/>
  <c r="I7" i="12" s="1"/>
  <c r="E45" i="12"/>
  <c r="D65" i="12" s="1"/>
  <c r="D83" i="12" s="1"/>
  <c r="D100" i="12" s="1"/>
  <c r="H8" i="12"/>
  <c r="I8" i="12" s="1"/>
  <c r="J8" i="12" s="1"/>
  <c r="D46" i="12" s="1"/>
  <c r="E46" i="12"/>
  <c r="E52" i="12"/>
  <c r="E50" i="12"/>
  <c r="E53" i="12"/>
  <c r="H16" i="12"/>
  <c r="I16" i="12" s="1"/>
  <c r="J16" i="12" s="1"/>
  <c r="D54" i="12" s="1"/>
  <c r="H13" i="12"/>
  <c r="I13" i="12" s="1"/>
  <c r="J13" i="12" s="1"/>
  <c r="D51" i="12" s="1"/>
  <c r="H10" i="12"/>
  <c r="I10" i="12" s="1"/>
  <c r="J10" i="12" s="1"/>
  <c r="D48" i="12" s="1"/>
  <c r="T229" i="2"/>
  <c r="J37" i="12" l="1"/>
  <c r="E76" i="12"/>
  <c r="C58" i="26"/>
  <c r="C30" i="26" s="1"/>
  <c r="J38" i="12"/>
  <c r="J57" i="12"/>
  <c r="J7" i="12"/>
  <c r="D45" i="12" s="1"/>
  <c r="J46" i="12" s="1"/>
  <c r="C45" i="12"/>
  <c r="R228" i="2"/>
  <c r="R226" i="2"/>
  <c r="S226" i="2" s="1"/>
  <c r="T226" i="2" s="1"/>
  <c r="R230" i="2"/>
  <c r="S230" i="2" s="1"/>
  <c r="Q236" i="2"/>
  <c r="R233" i="2"/>
  <c r="S233" i="2" s="1"/>
  <c r="R227" i="2"/>
  <c r="S227" i="2" s="1"/>
  <c r="T227" i="2" s="1"/>
  <c r="E75" i="12"/>
  <c r="C76" i="12"/>
  <c r="C49" i="12"/>
  <c r="C46" i="12"/>
  <c r="H9" i="12"/>
  <c r="I9" i="12" s="1"/>
  <c r="J9" i="12" s="1"/>
  <c r="D47" i="12" s="1"/>
  <c r="J47" i="12" s="1"/>
  <c r="E47" i="12"/>
  <c r="K47" i="12" s="1"/>
  <c r="H17" i="12"/>
  <c r="I17" i="12" s="1"/>
  <c r="J17" i="12" s="1"/>
  <c r="D55" i="12" s="1"/>
  <c r="E55" i="12"/>
  <c r="D75" i="12" s="1"/>
  <c r="H75" i="12" s="1"/>
  <c r="D66" i="12"/>
  <c r="D84" i="12" s="1"/>
  <c r="D101" i="12" s="1"/>
  <c r="K46" i="12"/>
  <c r="K50" i="12"/>
  <c r="K51" i="12"/>
  <c r="J49" i="12"/>
  <c r="F68" i="12"/>
  <c r="K49" i="12"/>
  <c r="H12" i="12"/>
  <c r="I12" i="12" s="1"/>
  <c r="J12" i="12" s="1"/>
  <c r="D50" i="12" s="1"/>
  <c r="J50" i="12" s="1"/>
  <c r="D69" i="12"/>
  <c r="F65" i="12"/>
  <c r="H65" i="12" s="1"/>
  <c r="H83" i="12" s="1"/>
  <c r="G118" i="12" s="1"/>
  <c r="H14" i="12"/>
  <c r="I14" i="12" s="1"/>
  <c r="J14" i="12" s="1"/>
  <c r="D52" i="12" s="1"/>
  <c r="J52" i="12" s="1"/>
  <c r="K52" i="12"/>
  <c r="H15" i="12"/>
  <c r="I15" i="12" s="1"/>
  <c r="J15" i="12" s="1"/>
  <c r="D53" i="12" s="1"/>
  <c r="C48" i="12"/>
  <c r="C51" i="12"/>
  <c r="C71" i="12" s="1"/>
  <c r="F67" i="12"/>
  <c r="D68" i="12"/>
  <c r="D74" i="12"/>
  <c r="F73" i="12"/>
  <c r="S232" i="2"/>
  <c r="T232" i="2" s="1"/>
  <c r="F70" i="12"/>
  <c r="D71" i="12"/>
  <c r="S234" i="2"/>
  <c r="T234" i="2" s="1"/>
  <c r="S231" i="2"/>
  <c r="T231" i="2" s="1"/>
  <c r="F69" i="12"/>
  <c r="D70" i="12"/>
  <c r="C54" i="12"/>
  <c r="J39" i="12" l="1"/>
  <c r="G76" i="12"/>
  <c r="C65" i="12"/>
  <c r="C83" i="12" s="1"/>
  <c r="C100" i="12" s="1"/>
  <c r="T233" i="2"/>
  <c r="T230" i="2"/>
  <c r="R236" i="2"/>
  <c r="S236" i="2" s="1"/>
  <c r="T236" i="2" s="1"/>
  <c r="S228" i="2"/>
  <c r="T228" i="2" s="1"/>
  <c r="K55" i="12"/>
  <c r="K56" i="12"/>
  <c r="J55" i="12"/>
  <c r="J56" i="12"/>
  <c r="C69" i="12"/>
  <c r="I49" i="12"/>
  <c r="C66" i="12"/>
  <c r="I46" i="12"/>
  <c r="E65" i="12"/>
  <c r="E68" i="12"/>
  <c r="C55" i="12"/>
  <c r="J48" i="12"/>
  <c r="C47" i="12"/>
  <c r="I47" i="12" s="1"/>
  <c r="H100" i="12"/>
  <c r="C52" i="12"/>
  <c r="K53" i="12"/>
  <c r="C50" i="12"/>
  <c r="I50" i="12" s="1"/>
  <c r="K48" i="12"/>
  <c r="H68" i="12"/>
  <c r="J53" i="12"/>
  <c r="J54" i="12"/>
  <c r="J51" i="12"/>
  <c r="K54" i="12"/>
  <c r="H69" i="12"/>
  <c r="F74" i="12"/>
  <c r="H74" i="12" s="1"/>
  <c r="C68" i="12"/>
  <c r="F83" i="12"/>
  <c r="F100" i="12" s="1"/>
  <c r="F66" i="12"/>
  <c r="H66" i="12" s="1"/>
  <c r="H84" i="12" s="1"/>
  <c r="G119" i="12" s="1"/>
  <c r="D72" i="12"/>
  <c r="F71" i="12"/>
  <c r="H71" i="12" s="1"/>
  <c r="D73" i="12"/>
  <c r="H73" i="12" s="1"/>
  <c r="F72" i="12"/>
  <c r="D67" i="12"/>
  <c r="D85" i="12" s="1"/>
  <c r="D102" i="12" s="1"/>
  <c r="C53" i="12"/>
  <c r="E67" i="12"/>
  <c r="E70" i="12"/>
  <c r="H70" i="12"/>
  <c r="E73" i="12"/>
  <c r="C74" i="12"/>
  <c r="C84" i="12" l="1"/>
  <c r="C101" i="12" s="1"/>
  <c r="G65" i="12"/>
  <c r="G83" i="12" s="1"/>
  <c r="E118" i="12" s="1"/>
  <c r="I53" i="12"/>
  <c r="C75" i="12"/>
  <c r="G75" i="12" s="1"/>
  <c r="K58" i="12"/>
  <c r="J58" i="12"/>
  <c r="I55" i="12"/>
  <c r="I56" i="12"/>
  <c r="I54" i="12"/>
  <c r="E83" i="12"/>
  <c r="E100" i="12" s="1"/>
  <c r="I48" i="12"/>
  <c r="C72" i="12"/>
  <c r="I52" i="12"/>
  <c r="I51" i="12"/>
  <c r="E74" i="12"/>
  <c r="G74" i="12" s="1"/>
  <c r="G68" i="12"/>
  <c r="E66" i="12"/>
  <c r="G66" i="12" s="1"/>
  <c r="C67" i="12"/>
  <c r="G67" i="12" s="1"/>
  <c r="H101" i="12"/>
  <c r="E71" i="12"/>
  <c r="G71" i="12" s="1"/>
  <c r="E69" i="12"/>
  <c r="G69" i="12" s="1"/>
  <c r="C70" i="12"/>
  <c r="G70" i="12" s="1"/>
  <c r="F84" i="12"/>
  <c r="F101" i="12" s="1"/>
  <c r="D86" i="12"/>
  <c r="D103" i="12" s="1"/>
  <c r="H67" i="12"/>
  <c r="H85" i="12" s="1"/>
  <c r="G120" i="12" s="1"/>
  <c r="C73" i="12"/>
  <c r="G73" i="12" s="1"/>
  <c r="E72" i="12"/>
  <c r="H72" i="12"/>
  <c r="G100" i="12" l="1"/>
  <c r="I83" i="12"/>
  <c r="I100" i="12" s="1"/>
  <c r="G84" i="12"/>
  <c r="E119" i="12" s="1"/>
  <c r="I58" i="12"/>
  <c r="G72" i="12"/>
  <c r="C85" i="12"/>
  <c r="C102" i="12" s="1"/>
  <c r="E84" i="12"/>
  <c r="E101" i="12" s="1"/>
  <c r="H102" i="12"/>
  <c r="F85" i="12"/>
  <c r="F102" i="12" s="1"/>
  <c r="D87" i="12"/>
  <c r="D104" i="12" s="1"/>
  <c r="H86" i="12"/>
  <c r="G121" i="12" s="1"/>
  <c r="C118" i="12" l="1"/>
  <c r="G101" i="12"/>
  <c r="I84" i="12"/>
  <c r="J84" i="12" s="1"/>
  <c r="G85" i="12"/>
  <c r="E120" i="12" s="1"/>
  <c r="J83" i="12"/>
  <c r="E85" i="12"/>
  <c r="E102" i="12" s="1"/>
  <c r="C86" i="12"/>
  <c r="C103" i="12" s="1"/>
  <c r="H103" i="12"/>
  <c r="F86" i="12"/>
  <c r="F103" i="12" s="1"/>
  <c r="D88" i="12"/>
  <c r="D105" i="12" s="1"/>
  <c r="H87" i="12"/>
  <c r="G122" i="12" s="1"/>
  <c r="I85" i="12" l="1"/>
  <c r="I102" i="12" s="1"/>
  <c r="G86" i="12"/>
  <c r="E121" i="12" s="1"/>
  <c r="G102" i="12"/>
  <c r="C119" i="12"/>
  <c r="I101" i="12"/>
  <c r="E86" i="12"/>
  <c r="E103" i="12" s="1"/>
  <c r="C87" i="12"/>
  <c r="C104" i="12" s="1"/>
  <c r="H104" i="12"/>
  <c r="F87" i="12"/>
  <c r="F104" i="12" s="1"/>
  <c r="D89" i="12"/>
  <c r="D106" i="12" s="1"/>
  <c r="H88" i="12"/>
  <c r="G123" i="12" s="1"/>
  <c r="I86" i="12" l="1"/>
  <c r="C121" i="12" s="1"/>
  <c r="G87" i="12"/>
  <c r="E122" i="12" s="1"/>
  <c r="J85" i="12"/>
  <c r="C120" i="12"/>
  <c r="G103" i="12"/>
  <c r="E87" i="12"/>
  <c r="E104" i="12" s="1"/>
  <c r="C88" i="12"/>
  <c r="C105" i="12" s="1"/>
  <c r="H105" i="12"/>
  <c r="F88" i="12"/>
  <c r="F105" i="12" s="1"/>
  <c r="D90" i="12"/>
  <c r="D107" i="12" s="1"/>
  <c r="H89" i="12"/>
  <c r="G124" i="12" s="1"/>
  <c r="G104" i="12" l="1"/>
  <c r="J86" i="12"/>
  <c r="I103" i="12"/>
  <c r="G88" i="12"/>
  <c r="E123" i="12" s="1"/>
  <c r="I87" i="12"/>
  <c r="C122" i="12" s="1"/>
  <c r="E88" i="12"/>
  <c r="E105" i="12" s="1"/>
  <c r="C89" i="12"/>
  <c r="C106" i="12" s="1"/>
  <c r="H106" i="12"/>
  <c r="F89" i="12"/>
  <c r="F106" i="12" s="1"/>
  <c r="D91" i="12"/>
  <c r="D108" i="12" s="1"/>
  <c r="H90" i="12"/>
  <c r="G125" i="12" s="1"/>
  <c r="G105" i="12" l="1"/>
  <c r="G89" i="12"/>
  <c r="E124" i="12" s="1"/>
  <c r="I88" i="12"/>
  <c r="J88" i="12" s="1"/>
  <c r="I104" i="12"/>
  <c r="J87" i="12"/>
  <c r="E89" i="12"/>
  <c r="E106" i="12" s="1"/>
  <c r="C90" i="12"/>
  <c r="C107" i="12" s="1"/>
  <c r="H107" i="12"/>
  <c r="F90" i="12"/>
  <c r="F107" i="12" s="1"/>
  <c r="D92" i="12"/>
  <c r="D93" i="12" s="1"/>
  <c r="H91" i="12"/>
  <c r="G126" i="12" s="1"/>
  <c r="I89" i="12" l="1"/>
  <c r="J89" i="12" s="1"/>
  <c r="G106" i="12"/>
  <c r="I105" i="12"/>
  <c r="G90" i="12"/>
  <c r="E125" i="12" s="1"/>
  <c r="C123" i="12"/>
  <c r="D94" i="12"/>
  <c r="D111" i="12" s="1"/>
  <c r="D110" i="12"/>
  <c r="E90" i="12"/>
  <c r="E107" i="12" s="1"/>
  <c r="C91" i="12"/>
  <c r="C108" i="12" s="1"/>
  <c r="H108" i="12"/>
  <c r="F91" i="12"/>
  <c r="F108" i="12" s="1"/>
  <c r="D109" i="12"/>
  <c r="H92" i="12"/>
  <c r="G127" i="12" s="1"/>
  <c r="I106" i="12" l="1"/>
  <c r="C124" i="12"/>
  <c r="G91" i="12"/>
  <c r="E126" i="12" s="1"/>
  <c r="I90" i="12"/>
  <c r="I107" i="12" s="1"/>
  <c r="G107" i="12"/>
  <c r="H93" i="12"/>
  <c r="G128" i="12" s="1"/>
  <c r="D112" i="12"/>
  <c r="C92" i="12"/>
  <c r="E91" i="12"/>
  <c r="E108" i="12" s="1"/>
  <c r="H109" i="12"/>
  <c r="F92" i="12"/>
  <c r="I91" i="12" l="1"/>
  <c r="I108" i="12" s="1"/>
  <c r="J90" i="12"/>
  <c r="G92" i="12"/>
  <c r="E127" i="12" s="1"/>
  <c r="G108" i="12"/>
  <c r="C125" i="12"/>
  <c r="H110" i="12"/>
  <c r="H94" i="12"/>
  <c r="G129" i="12" s="1"/>
  <c r="H117" i="12" s="1"/>
  <c r="C109" i="12"/>
  <c r="C93" i="12"/>
  <c r="F109" i="12"/>
  <c r="F93" i="12"/>
  <c r="E92" i="12"/>
  <c r="C126" i="12"/>
  <c r="J91" i="12"/>
  <c r="I92" i="12" l="1"/>
  <c r="C127" i="12" s="1"/>
  <c r="G93" i="12"/>
  <c r="E128" i="12" s="1"/>
  <c r="G109" i="12"/>
  <c r="H111" i="12"/>
  <c r="I109" i="12"/>
  <c r="F94" i="12"/>
  <c r="F111" i="12" s="1"/>
  <c r="F110" i="12"/>
  <c r="C94" i="12"/>
  <c r="C111" i="12" s="1"/>
  <c r="C110" i="12"/>
  <c r="E109" i="12"/>
  <c r="E93" i="12"/>
  <c r="J92" i="12" l="1"/>
  <c r="G94" i="12"/>
  <c r="E129" i="12" s="1"/>
  <c r="F117" i="12" s="1"/>
  <c r="G110" i="12"/>
  <c r="I93" i="12"/>
  <c r="J93" i="12" s="1"/>
  <c r="H112" i="12"/>
  <c r="F112" i="12"/>
  <c r="C112" i="12"/>
  <c r="E94" i="12"/>
  <c r="E111" i="12" s="1"/>
  <c r="E110" i="12"/>
  <c r="I94" i="12" l="1"/>
  <c r="I111" i="12" s="1"/>
  <c r="G111" i="12"/>
  <c r="G112" i="12" s="1"/>
  <c r="I110" i="12"/>
  <c r="I112" i="12" s="1"/>
  <c r="C128" i="12"/>
  <c r="J94" i="12"/>
  <c r="E112" i="12"/>
  <c r="C129" i="12" l="1"/>
  <c r="D117" i="12" s="1"/>
  <c r="J2" i="12" s="1"/>
  <c r="G2" i="12"/>
</calcChain>
</file>

<file path=xl/comments1.xml><?xml version="1.0" encoding="utf-8"?>
<comments xmlns="http://schemas.openxmlformats.org/spreadsheetml/2006/main">
  <authors>
    <author>Kelima</author>
  </authors>
  <commentList>
    <comment ref="E4" authorId="0">
      <text>
        <r>
          <rPr>
            <b/>
            <sz val="8"/>
            <color indexed="81"/>
            <rFont val="Tahoma"/>
            <family val="2"/>
          </rPr>
          <t>Kelima:</t>
        </r>
        <r>
          <rPr>
            <sz val="8"/>
            <color indexed="81"/>
            <rFont val="Tahoma"/>
            <family val="2"/>
          </rPr>
          <t xml:space="preserve">
Average weekly earnings (SEPH), current dollars, for Ontario, including overtime, seasonally adjusted, for all employees, by selected industries classified using the North American Industry Classification System (NAICS)
Source: StatsCan Cansim Table 281-027 and Table 281-028
</t>
        </r>
      </text>
    </comment>
  </commentList>
</comments>
</file>

<file path=xl/sharedStrings.xml><?xml version="1.0" encoding="utf-8"?>
<sst xmlns="http://schemas.openxmlformats.org/spreadsheetml/2006/main" count="822" uniqueCount="593">
  <si>
    <t>Data</t>
  </si>
  <si>
    <t>I</t>
  </si>
  <si>
    <t>O</t>
  </si>
  <si>
    <t>I share</t>
  </si>
  <si>
    <t>Year</t>
  </si>
  <si>
    <t>K</t>
  </si>
  <si>
    <t>Quantity Sub-indexes</t>
  </si>
  <si>
    <t>Input</t>
  </si>
  <si>
    <t>Output</t>
  </si>
  <si>
    <t>Net_generation (MWh)</t>
  </si>
  <si>
    <t>(Implicit) Price Indexes</t>
  </si>
  <si>
    <t>Year to year changes</t>
  </si>
  <si>
    <t>Laspeyres Index</t>
  </si>
  <si>
    <t>Paasche Index</t>
  </si>
  <si>
    <t>Fisher Index</t>
  </si>
  <si>
    <t>Index</t>
  </si>
  <si>
    <t>TFP</t>
  </si>
  <si>
    <t>Growth</t>
  </si>
  <si>
    <t>MW</t>
  </si>
  <si>
    <t>K$</t>
  </si>
  <si>
    <t>%</t>
  </si>
  <si>
    <t>MWh</t>
  </si>
  <si>
    <t>LEI_ID</t>
  </si>
  <si>
    <t>Company Name</t>
  </si>
  <si>
    <t>MCR</t>
  </si>
  <si>
    <t>Labour_OM&amp;A share</t>
  </si>
  <si>
    <t>Net_generation</t>
  </si>
  <si>
    <t>Revenue</t>
  </si>
  <si>
    <t>Capital</t>
  </si>
  <si>
    <t>Capital Share</t>
  </si>
  <si>
    <t>OM&amp;A Share</t>
  </si>
  <si>
    <t>OPG</t>
  </si>
  <si>
    <t>Note: Indices are for Canada</t>
  </si>
  <si>
    <t>Share of Labour</t>
  </si>
  <si>
    <t>Share of Non-labour</t>
  </si>
  <si>
    <t>GDP-IPI FDD</t>
  </si>
  <si>
    <t>StatsCan Tables: http://www5.statcan.gc.ca/cansim/a29?lang=eng&amp;groupid=All&amp;p2=17</t>
  </si>
  <si>
    <t xml:space="preserve">     See lower for GDP-IPI FDD</t>
  </si>
  <si>
    <t>Labour Price Indices</t>
  </si>
  <si>
    <r>
      <t>Table</t>
    </r>
    <r>
      <rPr>
        <b/>
        <sz val="10"/>
        <color rgb="FF333333"/>
        <rFont val="Arial"/>
        <family val="2"/>
      </rPr>
      <t> 281-0027</t>
    </r>
    <r>
      <rPr>
        <b/>
        <vertAlign val="superscript"/>
        <sz val="10"/>
        <color rgb="FF333333"/>
        <rFont val="Arial"/>
        <family val="2"/>
      </rPr>
      <t> </t>
    </r>
    <r>
      <rPr>
        <b/>
        <vertAlign val="superscript"/>
        <sz val="10"/>
        <color rgb="FF5A306B"/>
        <rFont val="Verdana"/>
        <family val="2"/>
      </rPr>
      <t>4</t>
    </r>
    <r>
      <rPr>
        <b/>
        <vertAlign val="superscript"/>
        <sz val="10"/>
        <color rgb="FF333333"/>
        <rFont val="Arial"/>
        <family val="2"/>
      </rPr>
      <t>, </t>
    </r>
    <r>
      <rPr>
        <b/>
        <vertAlign val="superscript"/>
        <sz val="10"/>
        <color rgb="FF5A306B"/>
        <rFont val="Verdana"/>
        <family val="2"/>
      </rPr>
      <t>14</t>
    </r>
    <r>
      <rPr>
        <b/>
        <vertAlign val="superscript"/>
        <sz val="10"/>
        <color rgb="FF333333"/>
        <rFont val="Arial"/>
        <family val="2"/>
      </rPr>
      <t>, </t>
    </r>
    <r>
      <rPr>
        <b/>
        <vertAlign val="superscript"/>
        <sz val="10"/>
        <color rgb="FF5A306B"/>
        <rFont val="Verdana"/>
        <family val="2"/>
      </rPr>
      <t>15</t>
    </r>
    <r>
      <rPr>
        <b/>
        <vertAlign val="superscript"/>
        <sz val="10"/>
        <color rgb="FF333333"/>
        <rFont val="Arial"/>
        <family val="2"/>
      </rPr>
      <t>, </t>
    </r>
    <r>
      <rPr>
        <b/>
        <vertAlign val="superscript"/>
        <sz val="10"/>
        <color rgb="FF5A306B"/>
        <rFont val="Verdana"/>
        <family val="2"/>
      </rPr>
      <t>16</t>
    </r>
    <r>
      <rPr>
        <b/>
        <vertAlign val="superscript"/>
        <sz val="10"/>
        <color rgb="FF333333"/>
        <rFont val="Arial"/>
        <family val="2"/>
      </rPr>
      <t>, </t>
    </r>
    <r>
      <rPr>
        <b/>
        <vertAlign val="superscript"/>
        <sz val="10"/>
        <color rgb="FF5A306B"/>
        <rFont val="Verdana"/>
        <family val="2"/>
      </rPr>
      <t>18</t>
    </r>
    <r>
      <rPr>
        <b/>
        <sz val="10"/>
        <color rgb="FF333333"/>
        <rFont val="Arial"/>
        <family val="2"/>
      </rPr>
      <t> </t>
    </r>
  </si>
  <si>
    <r>
      <t>Table</t>
    </r>
    <r>
      <rPr>
        <b/>
        <sz val="15"/>
        <color rgb="FF333333"/>
        <rFont val="Arial"/>
        <family val="2"/>
      </rPr>
      <t> </t>
    </r>
    <r>
      <rPr>
        <b/>
        <sz val="11"/>
        <color rgb="FF333333"/>
        <rFont val="Arial"/>
        <family val="2"/>
      </rPr>
      <t>281-0028</t>
    </r>
    <r>
      <rPr>
        <b/>
        <vertAlign val="superscript"/>
        <sz val="12"/>
        <color rgb="FF333333"/>
        <rFont val="Arial"/>
        <family val="2"/>
      </rPr>
      <t> </t>
    </r>
    <r>
      <rPr>
        <b/>
        <vertAlign val="superscript"/>
        <sz val="12"/>
        <color rgb="FF5A306B"/>
        <rFont val="Verdana"/>
        <family val="2"/>
      </rPr>
      <t>3</t>
    </r>
    <r>
      <rPr>
        <b/>
        <vertAlign val="superscript"/>
        <sz val="12"/>
        <color rgb="FF333333"/>
        <rFont val="Arial"/>
        <family val="2"/>
      </rPr>
      <t>, </t>
    </r>
    <r>
      <rPr>
        <b/>
        <vertAlign val="superscript"/>
        <sz val="12"/>
        <color rgb="FF5A306B"/>
        <rFont val="Verdana"/>
        <family val="2"/>
      </rPr>
      <t>12</t>
    </r>
    <r>
      <rPr>
        <b/>
        <vertAlign val="superscript"/>
        <sz val="12"/>
        <color rgb="FF333333"/>
        <rFont val="Arial"/>
        <family val="2"/>
      </rPr>
      <t>, </t>
    </r>
    <r>
      <rPr>
        <b/>
        <vertAlign val="superscript"/>
        <sz val="12"/>
        <color rgb="FF5A306B"/>
        <rFont val="Verdana"/>
        <family val="2"/>
      </rPr>
      <t>13</t>
    </r>
    <r>
      <rPr>
        <b/>
        <vertAlign val="superscript"/>
        <sz val="12"/>
        <color rgb="FF333333"/>
        <rFont val="Arial"/>
        <family val="2"/>
      </rPr>
      <t>, </t>
    </r>
    <r>
      <rPr>
        <b/>
        <vertAlign val="superscript"/>
        <sz val="12"/>
        <color rgb="FF5A306B"/>
        <rFont val="Verdana"/>
        <family val="2"/>
      </rPr>
      <t>14</t>
    </r>
    <r>
      <rPr>
        <b/>
        <vertAlign val="superscript"/>
        <sz val="12"/>
        <color rgb="FF333333"/>
        <rFont val="Arial"/>
        <family val="2"/>
      </rPr>
      <t>, </t>
    </r>
    <r>
      <rPr>
        <b/>
        <vertAlign val="superscript"/>
        <sz val="12"/>
        <color rgb="FF5A306B"/>
        <rFont val="Verdana"/>
        <family val="2"/>
      </rPr>
      <t>15</t>
    </r>
    <r>
      <rPr>
        <b/>
        <vertAlign val="superscript"/>
        <sz val="12"/>
        <color rgb="FF333333"/>
        <rFont val="Arial"/>
        <family val="2"/>
      </rPr>
      <t>, </t>
    </r>
    <r>
      <rPr>
        <b/>
        <vertAlign val="superscript"/>
        <sz val="12"/>
        <color rgb="FF5A306B"/>
        <rFont val="Verdana"/>
        <family val="2"/>
      </rPr>
      <t>16</t>
    </r>
    <r>
      <rPr>
        <b/>
        <vertAlign val="superscript"/>
        <sz val="12"/>
        <color rgb="FF333333"/>
        <rFont val="Arial"/>
        <family val="2"/>
      </rPr>
      <t>, </t>
    </r>
    <r>
      <rPr>
        <b/>
        <vertAlign val="superscript"/>
        <sz val="12"/>
        <color rgb="FF5A306B"/>
        <rFont val="Verdana"/>
        <family val="2"/>
      </rPr>
      <t>17</t>
    </r>
    <r>
      <rPr>
        <b/>
        <vertAlign val="superscript"/>
        <sz val="12"/>
        <color rgb="FF333333"/>
        <rFont val="Arial"/>
        <family val="2"/>
      </rPr>
      <t>, </t>
    </r>
    <r>
      <rPr>
        <b/>
        <vertAlign val="superscript"/>
        <sz val="12"/>
        <color rgb="FF5A306B"/>
        <rFont val="Verdana"/>
        <family val="2"/>
      </rPr>
      <t>18</t>
    </r>
    <r>
      <rPr>
        <b/>
        <vertAlign val="superscript"/>
        <sz val="12"/>
        <color rgb="FF333333"/>
        <rFont val="Arial"/>
        <family val="2"/>
      </rPr>
      <t>, </t>
    </r>
    <r>
      <rPr>
        <b/>
        <vertAlign val="superscript"/>
        <sz val="12"/>
        <color rgb="FF5A306B"/>
        <rFont val="Verdana"/>
        <family val="2"/>
      </rPr>
      <t>19</t>
    </r>
    <r>
      <rPr>
        <b/>
        <sz val="15"/>
        <color rgb="FF333333"/>
        <rFont val="Arial"/>
        <family val="2"/>
      </rPr>
      <t> </t>
    </r>
  </si>
  <si>
    <t>Average weekly earnings (SEPH), by type of employee for selected industries classified using the North American Industry Classification System (NAICS)</t>
  </si>
  <si>
    <t>Average weekly earnings (SEPH), including overtime, seasonally adjusted, for all employees, by selected industries classified using the North American Industry Classification System (NAICS), *Terminated*</t>
  </si>
  <si>
    <t>annual (current dollars)</t>
  </si>
  <si>
    <t>monthly (current dollars)</t>
  </si>
  <si>
    <t>Type of employees = All employees</t>
  </si>
  <si>
    <t>Overtime = Including overtime</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</si>
  <si>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</si>
  <si>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r>
      <t>Industrial aggregate excluding unclassified businesses [11-91N]</t>
    </r>
    <r>
      <rPr>
        <b/>
        <i/>
        <vertAlign val="superscript"/>
        <sz val="8"/>
        <color rgb="FF222222"/>
        <rFont val="Verdana"/>
        <family val="2"/>
      </rPr>
      <t> </t>
    </r>
    <r>
      <rPr>
        <b/>
        <i/>
        <vertAlign val="superscript"/>
        <sz val="8"/>
        <color rgb="FF5A306B"/>
        <rFont val="Verdana"/>
        <family val="2"/>
      </rPr>
      <t>4</t>
    </r>
    <r>
      <rPr>
        <b/>
        <i/>
        <vertAlign val="superscript"/>
        <sz val="8"/>
        <color rgb="FF222222"/>
        <rFont val="Verdana"/>
        <family val="2"/>
      </rPr>
      <t>, </t>
    </r>
    <r>
      <rPr>
        <b/>
        <i/>
        <vertAlign val="superscript"/>
        <sz val="8"/>
        <color rgb="FF5A306B"/>
        <rFont val="Verdana"/>
        <family val="2"/>
      </rPr>
      <t>5</t>
    </r>
  </si>
  <si>
    <t>orig</t>
  </si>
  <si>
    <t>Utilities [22, 221]</t>
  </si>
  <si>
    <t>Utilities [22]</t>
  </si>
  <si>
    <t>NAICS [18]</t>
  </si>
  <si>
    <r>
      <t>Industrial aggregate excluding unclassified businesses [11-91N]</t>
    </r>
    <r>
      <rPr>
        <b/>
        <vertAlign val="superscript"/>
        <sz val="8"/>
        <color rgb="FF222222"/>
        <rFont val="Verdana"/>
        <family val="2"/>
      </rPr>
      <t> </t>
    </r>
    <r>
      <rPr>
        <b/>
        <vertAlign val="superscript"/>
        <sz val="8"/>
        <color rgb="FF5A306B"/>
        <rFont val="Verdana"/>
        <family val="2"/>
      </rPr>
      <t>5</t>
    </r>
    <r>
      <rPr>
        <b/>
        <vertAlign val="superscript"/>
        <sz val="8"/>
        <color rgb="FF222222"/>
        <rFont val="Verdana"/>
        <family val="2"/>
      </rPr>
      <t>, </t>
    </r>
    <r>
      <rPr>
        <b/>
        <vertAlign val="superscript"/>
        <sz val="8"/>
        <color rgb="FF5A306B"/>
        <rFont val="Verdana"/>
        <family val="2"/>
      </rPr>
      <t>6</t>
    </r>
  </si>
  <si>
    <r>
      <t>Utilities [</t>
    </r>
    <r>
      <rPr>
        <b/>
        <sz val="10"/>
        <color rgb="FF5A306B"/>
        <rFont val="Verdana"/>
        <family val="2"/>
      </rPr>
      <t>22</t>
    </r>
    <r>
      <rPr>
        <b/>
        <sz val="10"/>
        <color rgb="FF222222"/>
        <rFont val="Verdana"/>
        <family val="2"/>
      </rPr>
      <t>, </t>
    </r>
    <r>
      <rPr>
        <b/>
        <sz val="10"/>
        <color rgb="FF5A306B"/>
        <rFont val="Verdana"/>
        <family val="2"/>
      </rPr>
      <t>221</t>
    </r>
    <r>
      <rPr>
        <b/>
        <sz val="10"/>
        <color rgb="FF222222"/>
        <rFont val="Verdana"/>
        <family val="2"/>
      </rPr>
      <t>]</t>
    </r>
  </si>
  <si>
    <r>
      <t>Industrial aggregate excluding unclassified businesses [11-91N]</t>
    </r>
    <r>
      <rPr>
        <b/>
        <vertAlign val="superscript"/>
        <sz val="8"/>
        <color rgb="FF222222"/>
        <rFont val="Verdana"/>
        <family val="2"/>
      </rPr>
      <t> 4, 5</t>
    </r>
  </si>
  <si>
    <r>
      <t>Utilities [</t>
    </r>
    <r>
      <rPr>
        <b/>
        <sz val="10"/>
        <color rgb="FF5A306B"/>
        <rFont val="Verdana"/>
        <family val="2"/>
      </rPr>
      <t>22</t>
    </r>
    <r>
      <rPr>
        <b/>
        <sz val="10"/>
        <color rgb="FF222222"/>
        <rFont val="Verdana"/>
        <family val="2"/>
      </rPr>
      <t>]</t>
    </r>
  </si>
  <si>
    <t>Footnotes:</t>
  </si>
  <si>
    <t>Although the creation of Nunavut officially took place in April 1999, the Survey of employment, payrolls and hours (SEPH) was only able to begin publishing separate estimates for Northwest Territories and Nunavut with the release of the January 2001 data. Efforts were undertaken to estimate the employment for Nunavut back to April 1999. These are available upon request by contacting Client Services at 1-866-873-8788 (toll-free) or 613-951-4090 (labour@statcan.gc.ca).</t>
  </si>
  <si>
    <t xml:space="preserve"> </t>
  </si>
  <si>
    <t>Industrial aggregate covers all industrial sectors except those primarily involved in agriculture, fishing and trapping, private household services, religious organisations and the military personnel of the defence services.</t>
  </si>
  <si>
    <t>Since January 2001, the Survey of employment, payrolls and hours (SEPH) program no longer combines Northwest Territories and Nunavut. They are produced as two separate territories.</t>
  </si>
  <si>
    <t>Le regroupement « ensemble des industries » comprend tous les secteurs industriels sauf ceux dont les activités relèvent des secteurs de l'agriculture, de la pêche et du piégeage, des services domestiques aux ménages privés, des organismes religieux et du personnel militaire des services de la défense.</t>
  </si>
  <si>
    <t>These terminated series are based on the North American Industry Classification System (NAICS) 2002.</t>
  </si>
  <si>
    <t>Unclassified businesses (00) are business for which the industrial classification (North American Industry Classification System (NAICS) 2012) has yet to be determined.</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</si>
  <si>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</si>
  <si>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</si>
  <si>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to forestry (1153).</t>
  </si>
  <si>
    <t>Non-durable goods (311N) of the manufacturing sector includes the following industries: food manufacturing (311), beverage and tobacco products manufacturing (312), textiles mills (313), textile products mills (314), clothing manufacturing (315), leather and allied products manufacturing (316), paper manufacturing (322), printing and related support activities (323), petroleum and coal products manufacturing (324), chemical manufacturing (325) and plastics and rubber products manufacturing (326).</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</si>
  <si>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products manufacturing (337) and miscellaneous manufacturing (339).</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</si>
  <si>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</si>
  <si>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</si>
  <si>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 manufacturing (337) and miscellaneous manufacturing (339).</t>
  </si>
  <si>
    <t>Source: Labour Statistics Division, Statistics Canada</t>
  </si>
  <si>
    <t>Some series exhibit no clear seasonal pattern. In such cases the data are not adjusted.</t>
  </si>
  <si>
    <t>The introduction of administrative data in 2001 and the associated change in methodology resulted in level shifts for some series. This affects the comparability of pre- and post-2001 estimates.</t>
  </si>
  <si>
    <t>Education special (611N) industry includes the following industries: elementary and secondary schools (6111), community colleges and CEGEP (6112), universities (6113), business schools and computer management training (6114) and technical and trade schools (6115).</t>
  </si>
  <si>
    <t>Estimates for the latest reference month are preliminary.</t>
  </si>
  <si>
    <t>Earnings data are based on gross payroll before source deductions.</t>
  </si>
  <si>
    <t>Average weekly earnings for the industrial aggregate, excluding unclassified businesses [11-91N] in Alberta; and service producing industries [41-91N] in Alberta as well as trade [41-45N] in Quebec for February 2004, 2008 and 2012 have been corrected.</t>
  </si>
  <si>
    <t>Industry estimates in this table are based on the 2012 North American Industry Classification System (NAICS).</t>
  </si>
  <si>
    <t>These terminated series are based on the North American Industry Classification System (NAICS) 2007.</t>
  </si>
  <si>
    <t>Table 281-0028 has been terminated. For more recent estimates, please see table 281-0063.</t>
  </si>
  <si>
    <r>
      <t>Source:</t>
    </r>
    <r>
      <rPr>
        <sz val="10"/>
        <color rgb="FF000000"/>
        <rFont val="Verdana"/>
        <family val="2"/>
      </rPr>
      <t>  Statistics Canada. </t>
    </r>
    <r>
      <rPr>
        <i/>
        <sz val="10"/>
        <color rgb="FF000000"/>
        <rFont val="Verdana"/>
        <family val="2"/>
      </rPr>
      <t>Table  281-0027 -  Average weekly earnings (SEPH), by type of employee for selected industries classified using the North American Industry Classification System (NAICS), annual (current dollars), </t>
    </r>
    <r>
      <rPr>
        <sz val="10"/>
        <color rgb="FF000000"/>
        <rFont val="Verdana"/>
        <family val="2"/>
      </rPr>
      <t> CANSIM (database). (accessed: 2014-02-26) </t>
    </r>
  </si>
  <si>
    <r>
      <t>Source:</t>
    </r>
    <r>
      <rPr>
        <sz val="10"/>
        <color rgb="FF000000"/>
        <rFont val="Verdana"/>
        <family val="2"/>
      </rPr>
      <t>  Statistics Canada. </t>
    </r>
    <r>
      <rPr>
        <i/>
        <sz val="10"/>
        <color rgb="FF000000"/>
        <rFont val="Verdana"/>
        <family val="2"/>
      </rPr>
      <t>Table  281-0028 -  Average weekly earnings (SEPH), including overtime, seasonally adjusted, for all employees, by selected industries classified using the North American Industry Classification System (NAICS), monthly (current dollars), </t>
    </r>
    <r>
      <rPr>
        <sz val="10"/>
        <color rgb="FF000000"/>
        <rFont val="Verdana"/>
        <family val="2"/>
      </rPr>
      <t> CANSIM (database). (accessed: 2014-02-26) </t>
    </r>
  </si>
  <si>
    <r>
      <t>Table</t>
    </r>
    <r>
      <rPr>
        <b/>
        <sz val="15"/>
        <color rgb="FF333333"/>
        <rFont val="Arial"/>
        <family val="2"/>
      </rPr>
      <t> </t>
    </r>
    <r>
      <rPr>
        <b/>
        <sz val="12"/>
        <color rgb="FF333333"/>
        <rFont val="Arial"/>
        <family val="2"/>
      </rPr>
      <t>384-0039</t>
    </r>
    <r>
      <rPr>
        <b/>
        <vertAlign val="superscript"/>
        <sz val="12"/>
        <color rgb="FF333333"/>
        <rFont val="Arial"/>
        <family val="2"/>
      </rPr>
      <t> </t>
    </r>
    <r>
      <rPr>
        <b/>
        <vertAlign val="superscript"/>
        <sz val="12"/>
        <color rgb="FF5A306B"/>
        <rFont val="Verdana"/>
        <family val="2"/>
      </rPr>
      <t>4</t>
    </r>
    <r>
      <rPr>
        <b/>
        <sz val="15"/>
        <color rgb="FF333333"/>
        <rFont val="Arial"/>
        <family val="2"/>
      </rPr>
      <t> </t>
    </r>
  </si>
  <si>
    <t>Implicit price indexes, gross domestic product, provincial and territorial</t>
  </si>
  <si>
    <t>annual (2007=100)</t>
  </si>
  <si>
    <t>Geography = Canada 1 </t>
  </si>
  <si>
    <t>Index = Implicit price indexes</t>
  </si>
  <si>
    <t>Estimates = Final domestic demand</t>
  </si>
  <si>
    <t>AVERAGE</t>
  </si>
  <si>
    <t>TFP Index</t>
  </si>
  <si>
    <t>Mod_ID</t>
  </si>
  <si>
    <t>Is it in the modeling? 1 = yes; 0 = no</t>
  </si>
  <si>
    <t>Labour Price Index</t>
  </si>
  <si>
    <t>Average</t>
  </si>
  <si>
    <t>Non-Labour Price Index</t>
  </si>
  <si>
    <t>I Price Index</t>
  </si>
  <si>
    <t>Quantity Sub-indexes Growth rates</t>
  </si>
  <si>
    <t>Industries</t>
  </si>
  <si>
    <t>Utilities</t>
  </si>
  <si>
    <t>(Ind) Labour Price Index</t>
  </si>
  <si>
    <t>I and O shares</t>
  </si>
  <si>
    <t>(Implicit) Price Indexes Growth Rates</t>
  </si>
  <si>
    <t>OPG Hydro Total</t>
  </si>
  <si>
    <t xml:space="preserve">OPG Hydro Group: </t>
  </si>
  <si>
    <t>O&amp;M Price Index</t>
  </si>
  <si>
    <t>O&amp;M Price Index Growth</t>
  </si>
  <si>
    <t>Accessed on April 30, 2014</t>
  </si>
  <si>
    <t>Geography = Ontario</t>
  </si>
  <si>
    <t>Canada</t>
  </si>
  <si>
    <t>Ontario</t>
  </si>
  <si>
    <t>Average TFP growth rate 
(2002-2012)</t>
  </si>
  <si>
    <t>Average (across same output specifications)</t>
  </si>
  <si>
    <t>Total O&amp;M and Capital vs MWh</t>
  </si>
  <si>
    <t>Average (across same input specifications)</t>
  </si>
  <si>
    <t>Total O&amp;M and Capital vs 75% MWh and 25% (InverseEFORindexgr)</t>
  </si>
  <si>
    <t>Total O&amp;M and Capital vs 50% MWh and 50% (InverseEFORindexgr)</t>
  </si>
  <si>
    <t>Total O&amp;M and Capital vs 25% MWh and 75% (InverseEFORindexgr)</t>
  </si>
  <si>
    <t>Total O&amp;M and Capital vs (InverseEFORindexgr)</t>
  </si>
  <si>
    <t>PacifiCorp</t>
  </si>
  <si>
    <t>PG&amp;E</t>
  </si>
  <si>
    <t>Duke</t>
  </si>
  <si>
    <t>PACIFIC GAS AND ELECTRIC COMPANY</t>
  </si>
  <si>
    <t>Duke Energy Carolinas, LLC</t>
  </si>
  <si>
    <t>VIRGINIA ELECTRIC AND POWER COMPANY</t>
  </si>
  <si>
    <t>Idaho Power Company</t>
  </si>
  <si>
    <t>ALABAMA POWER COMPANY</t>
  </si>
  <si>
    <t>Southern California Edison Company</t>
  </si>
  <si>
    <t>Georgia Power Company</t>
  </si>
  <si>
    <t>Avista Corporation</t>
  </si>
  <si>
    <t>Portland General Electric Company</t>
  </si>
  <si>
    <t>UNION ELECTRIC COMPANY</t>
  </si>
  <si>
    <t>Appalachian Power Company</t>
  </si>
  <si>
    <t>South Carolina Electric &amp; Gas Company</t>
  </si>
  <si>
    <t>Alcoa Power Generating Inc.</t>
  </si>
  <si>
    <t>Short name</t>
  </si>
  <si>
    <t>VA Electric</t>
  </si>
  <si>
    <t>ID Power</t>
  </si>
  <si>
    <t>AB Power</t>
  </si>
  <si>
    <t>SoCal Edison</t>
  </si>
  <si>
    <t>GA Power</t>
  </si>
  <si>
    <t>Avista</t>
  </si>
  <si>
    <t>Portland</t>
  </si>
  <si>
    <t>Ameren MI - Union</t>
  </si>
  <si>
    <t>Full utility name</t>
  </si>
  <si>
    <t>SCE&amp;G</t>
  </si>
  <si>
    <t>Alcoa</t>
  </si>
  <si>
    <t>AP Power</t>
  </si>
  <si>
    <t>Peer Industry</t>
  </si>
  <si>
    <t>OPG Hydro Peer Industry Total</t>
  </si>
  <si>
    <t>OPG data only (data from OPG)</t>
  </si>
  <si>
    <t>Labor OM&amp;A share combined</t>
  </si>
  <si>
    <t>Other OM&amp;A share combined</t>
  </si>
  <si>
    <t>EUCG data (industry)</t>
  </si>
  <si>
    <t>Labour Share based on 
Total OM&amp;A (Operations+Maintenance+Environment &amp; Regulatory+Land &amp; Water Rental Fees + Administration)</t>
  </si>
  <si>
    <t>Labour Share based on OM&amp;A, less Water Rentals/Fees  and Indirect Admin</t>
  </si>
  <si>
    <t>Labour Share based on O&amp;M</t>
  </si>
  <si>
    <t>O&amp;M_total</t>
  </si>
  <si>
    <t>Non-labour_O&amp;M</t>
  </si>
  <si>
    <t>Labour_O&amp;M</t>
  </si>
  <si>
    <t>O&amp;M Share</t>
  </si>
  <si>
    <t>Labour O&amp;M Share</t>
  </si>
  <si>
    <t>Non-labour O&amp;M Share</t>
  </si>
  <si>
    <t>Capacity Factor</t>
  </si>
  <si>
    <t>O&amp;M price index</t>
  </si>
  <si>
    <t>Sub-index</t>
  </si>
  <si>
    <t>unit</t>
  </si>
  <si>
    <t>(Ontario) 
Average Weekly Earnings, Industrial</t>
  </si>
  <si>
    <t>(Ontario)
Industrial Labour Index Growth</t>
  </si>
  <si>
    <t>(Ontario)
Average Weekly Earnings, Utilities</t>
  </si>
  <si>
    <t>(Ontario) 
Utilities Labour Index Growth</t>
  </si>
  <si>
    <t>(Canada) 
GDP-IPI FDD</t>
  </si>
  <si>
    <t>(Canada)
GDP-IPI FDD Growth</t>
  </si>
  <si>
    <t>On+Can</t>
  </si>
  <si>
    <t>Note: Indices are for United States</t>
  </si>
  <si>
    <t>USA</t>
  </si>
  <si>
    <t>Qtr1</t>
  </si>
  <si>
    <t>Qtr2</t>
  </si>
  <si>
    <t>Qtr3</t>
  </si>
  <si>
    <t>Qtr4</t>
  </si>
  <si>
    <t>Annual</t>
  </si>
  <si>
    <t>(USA)
Employment Cost Index, Utilities</t>
  </si>
  <si>
    <t>(USA)
Labour Index Growth</t>
  </si>
  <si>
    <t>(USA)
GDP Price Index</t>
  </si>
  <si>
    <t>(USA)
GDP-PI Growth</t>
  </si>
  <si>
    <t>Table 1.1.9. Implicit Price Deflators for Gross Domestic Product</t>
  </si>
  <si>
    <t>[Index numbers, 2009=100]</t>
  </si>
  <si>
    <t>Bureau of Economic Analysis</t>
  </si>
  <si>
    <t>Last Revised on: April 30, 2014 - Next Release Date May 29, 2014</t>
  </si>
  <si>
    <t>accessed on May 22, 2014</t>
  </si>
  <si>
    <t xml:space="preserve">source: </t>
  </si>
  <si>
    <t>http://www.bea.gov/iTable/iTable.cfm?ReqID=9&amp;step=1#reqid=9&amp;step=3&amp;isuri=1&amp;910=x&amp;911=0&amp;903=13&amp;904=2000&amp;905=2013&amp;906=a</t>
  </si>
  <si>
    <t>2000</t>
  </si>
  <si>
    <t>2001</t>
  </si>
  <si>
    <t>2002</t>
  </si>
  <si>
    <t>2003</t>
  </si>
  <si>
    <t>2004</t>
  </si>
  <si>
    <t>2005</t>
  </si>
  <si>
    <t>2006</t>
  </si>
  <si>
    <t>2007</t>
  </si>
  <si>
    <t>2008</t>
  </si>
  <si>
    <t>2009</t>
  </si>
  <si>
    <t>2010</t>
  </si>
  <si>
    <t>2011</t>
  </si>
  <si>
    <t>2012</t>
  </si>
  <si>
    <t>2013</t>
  </si>
  <si>
    <t>GDP-PI</t>
  </si>
  <si>
    <t>Note: combined index for North America (based on O&amp;M share)</t>
  </si>
  <si>
    <t>O&amp;M share of Canada</t>
  </si>
  <si>
    <t>O&amp;M share of US</t>
  </si>
  <si>
    <t>O&amp;M industry share</t>
  </si>
  <si>
    <t>CA</t>
  </si>
  <si>
    <t>US</t>
  </si>
  <si>
    <t>NA</t>
  </si>
  <si>
    <t>O&amp;M</t>
  </si>
  <si>
    <t>Model specifications for OPG only</t>
  </si>
  <si>
    <t>Model specifications for OPG hydro FF1 peers</t>
  </si>
  <si>
    <t>Hydroelectric Operations business</t>
  </si>
  <si>
    <t>Input index growth</t>
  </si>
  <si>
    <t>Output index growth</t>
  </si>
  <si>
    <t>TFP index Growth</t>
  </si>
  <si>
    <t>CA/US O&amp;M share</t>
  </si>
  <si>
    <t>EUCG L shares</t>
  </si>
  <si>
    <t>O&amp;M price index growth</t>
  </si>
  <si>
    <t>SEPA</t>
  </si>
  <si>
    <t>Southeastern Power Administration</t>
  </si>
  <si>
    <t>Seattle</t>
  </si>
  <si>
    <t>Seattle City Light</t>
  </si>
  <si>
    <t>Peer Industry less OPG</t>
  </si>
  <si>
    <t>Peer Industry Total (without OPG)</t>
  </si>
  <si>
    <t>2002-2003</t>
  </si>
  <si>
    <t>2003-2004</t>
  </si>
  <si>
    <t>2004-2005</t>
  </si>
  <si>
    <t>2005-2006</t>
  </si>
  <si>
    <t>2006-2007</t>
  </si>
  <si>
    <t>2007-2008</t>
  </si>
  <si>
    <t>2008-2009</t>
  </si>
  <si>
    <t>2009-2010</t>
  </si>
  <si>
    <t>2010-2011</t>
  </si>
  <si>
    <t>2011-2012</t>
  </si>
  <si>
    <t>O&amp;M Price Index Growth Rates</t>
  </si>
  <si>
    <t>O&amp;M Price Index Growth Rates (%)</t>
  </si>
  <si>
    <t>Labour Price Index Growth</t>
  </si>
  <si>
    <t>Non-Labour Price Index Growth</t>
  </si>
  <si>
    <t xml:space="preserve">O&amp;M Price Index </t>
  </si>
  <si>
    <t>Calculating NA L/NL/O&amp;M growths</t>
  </si>
  <si>
    <t>Average GR</t>
  </si>
  <si>
    <t>Prepared by:</t>
  </si>
  <si>
    <t>London Economics International LLC</t>
  </si>
  <si>
    <t>Prepared for:</t>
  </si>
  <si>
    <t>Ontario Power Generation</t>
  </si>
  <si>
    <t>in support of incentive rate-making for OPG’s prescribed assets</t>
  </si>
  <si>
    <t>Total Factor Productivity in North American Hydroelectric Generation</t>
  </si>
  <si>
    <t>T</t>
  </si>
  <si>
    <t>Natural log of TFP index values</t>
  </si>
  <si>
    <r>
      <rPr>
        <b/>
        <sz val="11"/>
        <color theme="1"/>
        <rFont val="Book Antiqua"/>
        <family val="1"/>
      </rPr>
      <t>Note:</t>
    </r>
    <r>
      <rPr>
        <sz val="11"/>
        <color theme="1"/>
        <rFont val="Book Antiqua"/>
        <family val="1"/>
      </rPr>
      <t xml:space="preserve"> Unless otherwise stated, all directions will refer to information contained in the </t>
    </r>
    <r>
      <rPr>
        <b/>
        <sz val="11"/>
        <color theme="1"/>
        <rFont val="Book Antiqua"/>
        <family val="1"/>
      </rPr>
      <t>"TFP_Calcs" worksheet</t>
    </r>
  </si>
  <si>
    <t>The tables illustrate how data from Step 2 is used to calculate the quantity sub-indexes of Input (K), Input (O&amp;M) and Output (MWh), with 2002 as base year</t>
  </si>
  <si>
    <t>Quantity Sub-indexes Growth rates show the growth rates of the quantity sub-index. Average values for all three are highlighted</t>
  </si>
  <si>
    <t>Worksheets:</t>
  </si>
  <si>
    <r>
      <rPr>
        <b/>
        <sz val="11"/>
        <rFont val="Book Antiqua"/>
        <family val="1"/>
      </rPr>
      <t xml:space="preserve">TFP_Calcs: </t>
    </r>
    <r>
      <rPr>
        <sz val="11"/>
        <rFont val="Book Antiqua"/>
        <family val="1"/>
      </rPr>
      <t>Contains the model, provides the method of calculating TFP Index growth</t>
    </r>
  </si>
  <si>
    <r>
      <rPr>
        <b/>
        <sz val="11"/>
        <rFont val="Book Antiqua"/>
        <family val="1"/>
      </rPr>
      <t xml:space="preserve">OPG hydro peers: </t>
    </r>
    <r>
      <rPr>
        <sz val="11"/>
        <rFont val="Book Antiqua"/>
        <family val="1"/>
      </rPr>
      <t>Contains list of all peers and locations (CA or US)</t>
    </r>
  </si>
  <si>
    <r>
      <rPr>
        <b/>
        <sz val="11"/>
        <rFont val="Book Antiqua"/>
        <family val="1"/>
      </rPr>
      <t xml:space="preserve">EUCG L Share: </t>
    </r>
    <r>
      <rPr>
        <sz val="11"/>
        <rFont val="Book Antiqua"/>
        <family val="1"/>
      </rPr>
      <t>Provides industry level labour share of Operations and Maintenance, based on EUCG data</t>
    </r>
  </si>
  <si>
    <t>Step 1: Select peers from dropdown in cell C2 (note TFP results for both methods are visible in cells G2 and J2 respectively)</t>
  </si>
  <si>
    <t>Step 2: Prepare data, including capacity, O&amp;M, net generation, and O&amp;M price index</t>
  </si>
  <si>
    <r>
      <t xml:space="preserve">Step 3: Calculate </t>
    </r>
    <r>
      <rPr>
        <b/>
        <u/>
        <sz val="10"/>
        <color theme="1"/>
        <rFont val="Book Antiqua"/>
        <family val="1"/>
      </rPr>
      <t>quantity</t>
    </r>
    <r>
      <rPr>
        <b/>
        <sz val="10"/>
        <color theme="1"/>
        <rFont val="Book Antiqua"/>
        <family val="1"/>
      </rPr>
      <t xml:space="preserve"> sub-indexes and sub index growth rates</t>
    </r>
  </si>
  <si>
    <r>
      <t xml:space="preserve">Step 4: Calculate </t>
    </r>
    <r>
      <rPr>
        <b/>
        <u/>
        <sz val="10"/>
        <color theme="1"/>
        <rFont val="Book Antiqua"/>
        <family val="1"/>
      </rPr>
      <t>implicit</t>
    </r>
    <r>
      <rPr>
        <b/>
        <sz val="10"/>
        <color theme="1"/>
        <rFont val="Book Antiqua"/>
        <family val="1"/>
      </rPr>
      <t xml:space="preserve"> price indexes and sub index growth rates</t>
    </r>
  </si>
  <si>
    <t>Step 6: Calculate the Laspeyres, Paasche, and Fisher Ideal total Input, total Output, and Total Factor Productivity Indexes</t>
  </si>
  <si>
    <t xml:space="preserve">Step 5: Calculate the year over year changes to Laspeyres, Paasche, and Fisher total Input and total Output Indexes </t>
  </si>
  <si>
    <t>A) Average growth method of measuring TFP</t>
  </si>
  <si>
    <t>B) Trend regression method of measuring TFP</t>
  </si>
  <si>
    <t>Step 7: Calculate TFP growth rates using 'average growth' and 'trend regression' methods</t>
  </si>
  <si>
    <t>Gross domestic product</t>
  </si>
  <si>
    <t>WAPA</t>
  </si>
  <si>
    <t>Western Area Power Administration</t>
  </si>
  <si>
    <t>average 2002-2014</t>
  </si>
  <si>
    <t>2014</t>
  </si>
  <si>
    <t>http://data.bls.gov/timeseries/CIU2024400000000I</t>
  </si>
  <si>
    <t>Employment Cost Index</t>
  </si>
  <si>
    <t>Original Data Value</t>
  </si>
  <si>
    <t>Series Id:</t>
  </si>
  <si>
    <t>CIU2024400000000I</t>
  </si>
  <si>
    <t>Series Title:</t>
  </si>
  <si>
    <t>Wages and salaries for Private industry workers in Utilities, Index</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</si>
  <si>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</si>
  <si>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</si>
  <si>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</si>
  <si>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</si>
  <si>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</si>
  <si>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</si>
  <si>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</si>
  <si>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</si>
  <si>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</si>
  <si>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</si>
  <si>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</si>
  <si>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</si>
  <si>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</si>
  <si>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2015</t>
  </si>
  <si>
    <t>Source:</t>
  </si>
  <si>
    <t>2012-2013</t>
  </si>
  <si>
    <t>2013-2014</t>
  </si>
  <si>
    <t>Average TFP growth (2002-2014)</t>
  </si>
  <si>
    <t>TFP trend growth rate (2002-2014):</t>
  </si>
  <si>
    <t>Accessed on January 5, 2016</t>
  </si>
  <si>
    <r>
      <t>TFP_dataset:</t>
    </r>
    <r>
      <rPr>
        <sz val="11"/>
        <rFont val="Book Antiqua"/>
        <family val="1"/>
      </rPr>
      <t xml:space="preserve"> Contains all the data relevant to OPG and 17 peers</t>
    </r>
  </si>
  <si>
    <t>Step 3: Calculate quantity sub-indexes and sub-index growth rates (Row 23-38):</t>
  </si>
  <si>
    <r>
      <t xml:space="preserve">Step 4: Calculate implicit price indexes and sub-index growth rates (Row 42-57): </t>
    </r>
    <r>
      <rPr>
        <sz val="11"/>
        <color theme="1"/>
        <rFont val="Book Antiqua"/>
        <family val="1"/>
      </rPr>
      <t>This is an implicit calculation step necessary for the calculation of the combined input and output indices</t>
    </r>
  </si>
  <si>
    <t>Step 5: Calculate the year over year changes to Laspeyres, Paasche, and Fisher total Input and total Output indices (Row 61-76)</t>
  </si>
  <si>
    <t>Step 6: Calculate the Laspeyres, Paasche, and Fisher Ideal total Input, total Output, and Total Factor Productivity Indexes (Row 79-94)</t>
  </si>
  <si>
    <t>Julia Frayer, Ian Chow, Barbara Porto, and Jarome Leslie</t>
  </si>
  <si>
    <t>Natural log of TFP input values</t>
  </si>
  <si>
    <t>TFP input index (2002-2014):</t>
  </si>
  <si>
    <t>Natural log of TFP output values</t>
  </si>
  <si>
    <t>TFP output index (2002-2014):</t>
  </si>
  <si>
    <r>
      <rPr>
        <b/>
        <sz val="11"/>
        <rFont val="Book Antiqua"/>
        <family val="1"/>
      </rPr>
      <t>StatsCan CANSIM tables:</t>
    </r>
    <r>
      <rPr>
        <sz val="11"/>
        <rFont val="Book Antiqua"/>
        <family val="1"/>
      </rPr>
      <t xml:space="preserve"> Provides the StatsCan data that is used in the 'Canadian O&amp;M price indexes' worksheet</t>
    </r>
  </si>
  <si>
    <r>
      <t xml:space="preserve">US BLS &amp; BEA tables: </t>
    </r>
    <r>
      <rPr>
        <sz val="11"/>
        <rFont val="Book Antiqua"/>
        <family val="1"/>
      </rPr>
      <t>Provides the Bureau of Labour Statistics and the Bureau of Economic Analysis data used in the US O&amp;M price indexes worksheet</t>
    </r>
  </si>
  <si>
    <r>
      <rPr>
        <b/>
        <sz val="11"/>
        <rFont val="Book Antiqua"/>
        <family val="1"/>
      </rPr>
      <t xml:space="preserve">Can O&amp;M price indexes: </t>
    </r>
    <r>
      <rPr>
        <sz val="11"/>
        <rFont val="Book Antiqua"/>
        <family val="1"/>
      </rPr>
      <t>Provides 2002-2014 price indexes for Canada</t>
    </r>
  </si>
  <si>
    <r>
      <rPr>
        <b/>
        <sz val="11"/>
        <rFont val="Book Antiqua"/>
        <family val="1"/>
      </rPr>
      <t>US O&amp;M price indexes:</t>
    </r>
    <r>
      <rPr>
        <sz val="11"/>
        <rFont val="Book Antiqua"/>
        <family val="1"/>
      </rPr>
      <t xml:space="preserve"> Provides 2002-2014 price indexes for U.S.</t>
    </r>
  </si>
  <si>
    <r>
      <t xml:space="preserve">NA comb O&amp;M price indexes: </t>
    </r>
    <r>
      <rPr>
        <sz val="11"/>
        <rFont val="Book Antiqua"/>
        <family val="1"/>
      </rPr>
      <t>Provides 2002-2014 price indexes for peer group by combining Canadian and US prices indexes</t>
    </r>
  </si>
  <si>
    <r>
      <t>Source:</t>
    </r>
    <r>
      <rPr>
        <sz val="10"/>
        <color rgb="FF000000"/>
        <rFont val="Verdana"/>
        <family val="2"/>
      </rPr>
      <t>  Statistics Canada. </t>
    </r>
    <r>
      <rPr>
        <i/>
        <sz val="10"/>
        <color rgb="FF000000"/>
        <rFont val="Verdana"/>
        <family val="2"/>
      </rPr>
      <t>Table  384-0039 -  Implicit price indexes, gross domestic product, provincial and territorial, annual (2007=100 unless otherwise noted), </t>
    </r>
    <r>
      <rPr>
        <sz val="10"/>
        <color rgb="FF000000"/>
        <rFont val="Verdana"/>
        <family val="2"/>
      </rPr>
      <t> CANSIM (database). (accessed: 2014-02-26) </t>
    </r>
  </si>
  <si>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</si>
  <si>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Terminated with the 1998 data.</t>
  </si>
  <si>
    <t>Prior to 1999, see Northwest Territories including Nunavut.</t>
  </si>
  <si>
    <r>
      <t>848.85</t>
    </r>
    <r>
      <rPr>
        <vertAlign val="superscript"/>
        <sz val="8"/>
        <color rgb="FF00B050"/>
        <rFont val="Verdana"/>
        <family val="2"/>
      </rPr>
      <t>A</t>
    </r>
  </si>
  <si>
    <r>
      <t>881.43</t>
    </r>
    <r>
      <rPr>
        <vertAlign val="superscript"/>
        <sz val="8"/>
        <color rgb="FF00B050"/>
        <rFont val="Verdana"/>
        <family val="2"/>
      </rPr>
      <t>A</t>
    </r>
  </si>
  <si>
    <r>
      <t>893.41</t>
    </r>
    <r>
      <rPr>
        <vertAlign val="superscript"/>
        <sz val="8"/>
        <color rgb="FF00B050"/>
        <rFont val="Verdana"/>
        <family val="2"/>
      </rPr>
      <t>A</t>
    </r>
  </si>
  <si>
    <r>
      <t>906.09</t>
    </r>
    <r>
      <rPr>
        <vertAlign val="superscript"/>
        <sz val="8"/>
        <color rgb="FF00B050"/>
        <rFont val="Verdana"/>
        <family val="2"/>
      </rPr>
      <t>A</t>
    </r>
  </si>
  <si>
    <r>
      <t>920.12</t>
    </r>
    <r>
      <rPr>
        <vertAlign val="superscript"/>
        <sz val="8"/>
        <color rgb="FF00B050"/>
        <rFont val="Verdana"/>
        <family val="2"/>
      </rPr>
      <t>A</t>
    </r>
  </si>
  <si>
    <r>
      <t>938.36</t>
    </r>
    <r>
      <rPr>
        <vertAlign val="superscript"/>
        <sz val="8"/>
        <color rgb="FF00B050"/>
        <rFont val="Verdana"/>
        <family val="2"/>
      </rPr>
      <t>A</t>
    </r>
  </si>
  <si>
    <r>
      <t>1,672.72</t>
    </r>
    <r>
      <rPr>
        <vertAlign val="superscript"/>
        <sz val="8"/>
        <color rgb="FF00B050"/>
        <rFont val="Verdana"/>
        <family val="2"/>
      </rPr>
      <t>A</t>
    </r>
  </si>
  <si>
    <r>
      <t>1,680.01</t>
    </r>
    <r>
      <rPr>
        <vertAlign val="superscript"/>
        <sz val="8"/>
        <color rgb="FF00B050"/>
        <rFont val="Verdana"/>
        <family val="2"/>
      </rPr>
      <t>A</t>
    </r>
  </si>
  <si>
    <r>
      <t>1,714.92</t>
    </r>
    <r>
      <rPr>
        <vertAlign val="superscript"/>
        <sz val="8"/>
        <color rgb="FF00B050"/>
        <rFont val="Verdana"/>
        <family val="2"/>
      </rPr>
      <t>A</t>
    </r>
  </si>
  <si>
    <r>
      <t>1,707.11</t>
    </r>
    <r>
      <rPr>
        <vertAlign val="superscript"/>
        <sz val="8"/>
        <color rgb="FF00B050"/>
        <rFont val="Verdana"/>
        <family val="2"/>
      </rPr>
      <t>A</t>
    </r>
  </si>
  <si>
    <r>
      <t>1,758.79</t>
    </r>
    <r>
      <rPr>
        <vertAlign val="superscript"/>
        <sz val="8"/>
        <color rgb="FF00B050"/>
        <rFont val="Verdana"/>
        <family val="2"/>
      </rPr>
      <t>A</t>
    </r>
  </si>
  <si>
    <r>
      <t>1,915.37</t>
    </r>
    <r>
      <rPr>
        <vertAlign val="superscript"/>
        <sz val="8"/>
        <color rgb="FF00B050"/>
        <rFont val="Verdana"/>
        <family val="2"/>
      </rPr>
      <t>A</t>
    </r>
  </si>
  <si>
    <r>
      <t>560.53</t>
    </r>
    <r>
      <rPr>
        <vertAlign val="superscript"/>
        <sz val="8"/>
        <color rgb="FF00B050"/>
        <rFont val="Verdana"/>
        <family val="2"/>
      </rPr>
      <t>(T)</t>
    </r>
  </si>
  <si>
    <r>
      <t>567.77</t>
    </r>
    <r>
      <rPr>
        <vertAlign val="superscript"/>
        <sz val="8"/>
        <color rgb="FF00B050"/>
        <rFont val="Verdana"/>
        <family val="2"/>
      </rPr>
      <t>(T)</t>
    </r>
  </si>
  <si>
    <r>
      <t>567.83</t>
    </r>
    <r>
      <rPr>
        <vertAlign val="superscript"/>
        <sz val="8"/>
        <color rgb="FF00B050"/>
        <rFont val="Verdana"/>
        <family val="2"/>
      </rPr>
      <t>(T)</t>
    </r>
  </si>
  <si>
    <r>
      <t>570.77</t>
    </r>
    <r>
      <rPr>
        <vertAlign val="superscript"/>
        <sz val="8"/>
        <color rgb="FF00B050"/>
        <rFont val="Verdana"/>
        <family val="2"/>
      </rPr>
      <t>(T)</t>
    </r>
  </si>
  <si>
    <r>
      <t>573.76</t>
    </r>
    <r>
      <rPr>
        <vertAlign val="superscript"/>
        <sz val="8"/>
        <color rgb="FF00B050"/>
        <rFont val="Verdana"/>
        <family val="2"/>
      </rPr>
      <t>(T)</t>
    </r>
  </si>
  <si>
    <r>
      <t>575.57</t>
    </r>
    <r>
      <rPr>
        <vertAlign val="superscript"/>
        <sz val="8"/>
        <color rgb="FF00B050"/>
        <rFont val="Verdana"/>
        <family val="2"/>
      </rPr>
      <t>(T)</t>
    </r>
  </si>
  <si>
    <r>
      <t>576.99</t>
    </r>
    <r>
      <rPr>
        <vertAlign val="superscript"/>
        <sz val="8"/>
        <color rgb="FF00B050"/>
        <rFont val="Verdana"/>
        <family val="2"/>
      </rPr>
      <t>(T)</t>
    </r>
  </si>
  <si>
    <r>
      <t>579.08</t>
    </r>
    <r>
      <rPr>
        <vertAlign val="superscript"/>
        <sz val="8"/>
        <color rgb="FF00B050"/>
        <rFont val="Verdana"/>
        <family val="2"/>
      </rPr>
      <t>(T)</t>
    </r>
  </si>
  <si>
    <r>
      <t>580.44</t>
    </r>
    <r>
      <rPr>
        <vertAlign val="superscript"/>
        <sz val="8"/>
        <color rgb="FF00B050"/>
        <rFont val="Verdana"/>
        <family val="2"/>
      </rPr>
      <t>(T)</t>
    </r>
  </si>
  <si>
    <r>
      <t>584.44</t>
    </r>
    <r>
      <rPr>
        <vertAlign val="superscript"/>
        <sz val="8"/>
        <color rgb="FF00B050"/>
        <rFont val="Verdana"/>
        <family val="2"/>
      </rPr>
      <t>(T)</t>
    </r>
  </si>
  <si>
    <r>
      <t>585.23</t>
    </r>
    <r>
      <rPr>
        <vertAlign val="superscript"/>
        <sz val="8"/>
        <color rgb="FF00B050"/>
        <rFont val="Verdana"/>
        <family val="2"/>
      </rPr>
      <t>(T)</t>
    </r>
  </si>
  <si>
    <r>
      <t>588.43</t>
    </r>
    <r>
      <rPr>
        <vertAlign val="superscript"/>
        <sz val="8"/>
        <color rgb="FF00B050"/>
        <rFont val="Verdana"/>
        <family val="2"/>
      </rPr>
      <t>(T)</t>
    </r>
  </si>
  <si>
    <r>
      <t>589.81</t>
    </r>
    <r>
      <rPr>
        <vertAlign val="superscript"/>
        <sz val="8"/>
        <color rgb="FF00B050"/>
        <rFont val="Verdana"/>
        <family val="2"/>
      </rPr>
      <t>(T)</t>
    </r>
  </si>
  <si>
    <r>
      <t>590.87</t>
    </r>
    <r>
      <rPr>
        <vertAlign val="superscript"/>
        <sz val="8"/>
        <color rgb="FF00B050"/>
        <rFont val="Verdana"/>
        <family val="2"/>
      </rPr>
      <t>(T)</t>
    </r>
  </si>
  <si>
    <r>
      <t>588.05</t>
    </r>
    <r>
      <rPr>
        <vertAlign val="superscript"/>
        <sz val="8"/>
        <color rgb="FF00B050"/>
        <rFont val="Verdana"/>
        <family val="2"/>
      </rPr>
      <t>(T)</t>
    </r>
  </si>
  <si>
    <r>
      <t>593.11</t>
    </r>
    <r>
      <rPr>
        <vertAlign val="superscript"/>
        <sz val="8"/>
        <color rgb="FF00B050"/>
        <rFont val="Verdana"/>
        <family val="2"/>
      </rPr>
      <t>(T)</t>
    </r>
  </si>
  <si>
    <r>
      <t>598.11</t>
    </r>
    <r>
      <rPr>
        <vertAlign val="superscript"/>
        <sz val="8"/>
        <color rgb="FF00B050"/>
        <rFont val="Verdana"/>
        <family val="2"/>
      </rPr>
      <t>(T)</t>
    </r>
  </si>
  <si>
    <r>
      <t>596.75</t>
    </r>
    <r>
      <rPr>
        <vertAlign val="superscript"/>
        <sz val="8"/>
        <color rgb="FF00B050"/>
        <rFont val="Verdana"/>
        <family val="2"/>
      </rPr>
      <t>(T)</t>
    </r>
  </si>
  <si>
    <r>
      <t>599.74</t>
    </r>
    <r>
      <rPr>
        <vertAlign val="superscript"/>
        <sz val="8"/>
        <color rgb="FF00B050"/>
        <rFont val="Verdana"/>
        <family val="2"/>
      </rPr>
      <t>(T)</t>
    </r>
  </si>
  <si>
    <r>
      <t>603.59</t>
    </r>
    <r>
      <rPr>
        <vertAlign val="superscript"/>
        <sz val="8"/>
        <color rgb="FF00B050"/>
        <rFont val="Verdana"/>
        <family val="2"/>
      </rPr>
      <t>(T)</t>
    </r>
  </si>
  <si>
    <r>
      <t>603.43</t>
    </r>
    <r>
      <rPr>
        <vertAlign val="superscript"/>
        <sz val="8"/>
        <color rgb="FF00B050"/>
        <rFont val="Verdana"/>
        <family val="2"/>
      </rPr>
      <t>(T)</t>
    </r>
  </si>
  <si>
    <r>
      <t>606.19</t>
    </r>
    <r>
      <rPr>
        <vertAlign val="superscript"/>
        <sz val="8"/>
        <color rgb="FF00B050"/>
        <rFont val="Verdana"/>
        <family val="2"/>
      </rPr>
      <t>(T)</t>
    </r>
  </si>
  <si>
    <r>
      <t>606.20</t>
    </r>
    <r>
      <rPr>
        <vertAlign val="superscript"/>
        <sz val="8"/>
        <color rgb="FF00B050"/>
        <rFont val="Verdana"/>
        <family val="2"/>
      </rPr>
      <t>(T)</t>
    </r>
  </si>
  <si>
    <r>
      <t>606.98</t>
    </r>
    <r>
      <rPr>
        <vertAlign val="superscript"/>
        <sz val="8"/>
        <color rgb="FF00B050"/>
        <rFont val="Verdana"/>
        <family val="2"/>
      </rPr>
      <t>(T)</t>
    </r>
  </si>
  <si>
    <r>
      <t>608.85</t>
    </r>
    <r>
      <rPr>
        <vertAlign val="superscript"/>
        <sz val="8"/>
        <color rgb="FF00B050"/>
        <rFont val="Verdana"/>
        <family val="2"/>
      </rPr>
      <t>(T)</t>
    </r>
  </si>
  <si>
    <r>
      <t>608.64</t>
    </r>
    <r>
      <rPr>
        <vertAlign val="superscript"/>
        <sz val="8"/>
        <color rgb="FF00B050"/>
        <rFont val="Verdana"/>
        <family val="2"/>
      </rPr>
      <t>(T)</t>
    </r>
  </si>
  <si>
    <r>
      <t>608.37</t>
    </r>
    <r>
      <rPr>
        <vertAlign val="superscript"/>
        <sz val="8"/>
        <color rgb="FF00B050"/>
        <rFont val="Verdana"/>
        <family val="2"/>
      </rPr>
      <t>(T)</t>
    </r>
  </si>
  <si>
    <r>
      <t>611.73</t>
    </r>
    <r>
      <rPr>
        <vertAlign val="superscript"/>
        <sz val="8"/>
        <color rgb="FF00B050"/>
        <rFont val="Verdana"/>
        <family val="2"/>
      </rPr>
      <t>(T)</t>
    </r>
  </si>
  <si>
    <r>
      <t>610.23</t>
    </r>
    <r>
      <rPr>
        <vertAlign val="superscript"/>
        <sz val="8"/>
        <color rgb="FF00B050"/>
        <rFont val="Verdana"/>
        <family val="2"/>
      </rPr>
      <t>(T)</t>
    </r>
  </si>
  <si>
    <r>
      <t>611.22</t>
    </r>
    <r>
      <rPr>
        <vertAlign val="superscript"/>
        <sz val="8"/>
        <color rgb="FF00B050"/>
        <rFont val="Verdana"/>
        <family val="2"/>
      </rPr>
      <t>(T)</t>
    </r>
  </si>
  <si>
    <r>
      <t>613.60</t>
    </r>
    <r>
      <rPr>
        <vertAlign val="superscript"/>
        <sz val="8"/>
        <color rgb="FF00B050"/>
        <rFont val="Verdana"/>
        <family val="2"/>
      </rPr>
      <t>(T)</t>
    </r>
  </si>
  <si>
    <r>
      <t>612.12</t>
    </r>
    <r>
      <rPr>
        <vertAlign val="superscript"/>
        <sz val="8"/>
        <color rgb="FF00B050"/>
        <rFont val="Verdana"/>
        <family val="2"/>
      </rPr>
      <t>(T)</t>
    </r>
  </si>
  <si>
    <r>
      <t>613.91</t>
    </r>
    <r>
      <rPr>
        <vertAlign val="superscript"/>
        <sz val="8"/>
        <color rgb="FF00B050"/>
        <rFont val="Verdana"/>
        <family val="2"/>
      </rPr>
      <t>(T)</t>
    </r>
  </si>
  <si>
    <r>
      <t>614.54</t>
    </r>
    <r>
      <rPr>
        <vertAlign val="superscript"/>
        <sz val="8"/>
        <color rgb="FF00B050"/>
        <rFont val="Verdana"/>
        <family val="2"/>
      </rPr>
      <t>(T)</t>
    </r>
  </si>
  <si>
    <r>
      <t>615.18</t>
    </r>
    <r>
      <rPr>
        <vertAlign val="superscript"/>
        <sz val="8"/>
        <color rgb="FF00B050"/>
        <rFont val="Verdana"/>
        <family val="2"/>
      </rPr>
      <t>(T)</t>
    </r>
  </si>
  <si>
    <r>
      <t>616.91</t>
    </r>
    <r>
      <rPr>
        <vertAlign val="superscript"/>
        <sz val="8"/>
        <color rgb="FF00B050"/>
        <rFont val="Verdana"/>
        <family val="2"/>
      </rPr>
      <t>(T)</t>
    </r>
  </si>
  <si>
    <r>
      <t>617.54</t>
    </r>
    <r>
      <rPr>
        <vertAlign val="superscript"/>
        <sz val="8"/>
        <color rgb="FF00B050"/>
        <rFont val="Verdana"/>
        <family val="2"/>
      </rPr>
      <t>(T)</t>
    </r>
  </si>
  <si>
    <r>
      <t>619.45</t>
    </r>
    <r>
      <rPr>
        <vertAlign val="superscript"/>
        <sz val="8"/>
        <color rgb="FF00B050"/>
        <rFont val="Verdana"/>
        <family val="2"/>
      </rPr>
      <t>(T)</t>
    </r>
  </si>
  <si>
    <r>
      <t>624.42</t>
    </r>
    <r>
      <rPr>
        <vertAlign val="superscript"/>
        <sz val="8"/>
        <color rgb="FF00B050"/>
        <rFont val="Verdana"/>
        <family val="2"/>
      </rPr>
      <t>(T)</t>
    </r>
  </si>
  <si>
    <r>
      <t>627.55</t>
    </r>
    <r>
      <rPr>
        <vertAlign val="superscript"/>
        <sz val="8"/>
        <color rgb="FF00B050"/>
        <rFont val="Verdana"/>
        <family val="2"/>
      </rPr>
      <t>(T)</t>
    </r>
  </si>
  <si>
    <r>
      <t>627.47</t>
    </r>
    <r>
      <rPr>
        <vertAlign val="superscript"/>
        <sz val="8"/>
        <color rgb="FF00B050"/>
        <rFont val="Verdana"/>
        <family val="2"/>
      </rPr>
      <t>(T)</t>
    </r>
  </si>
  <si>
    <r>
      <t>629.79</t>
    </r>
    <r>
      <rPr>
        <vertAlign val="superscript"/>
        <sz val="8"/>
        <color rgb="FF00B050"/>
        <rFont val="Verdana"/>
        <family val="2"/>
      </rPr>
      <t>(T)</t>
    </r>
  </si>
  <si>
    <r>
      <t>631.65</t>
    </r>
    <r>
      <rPr>
        <vertAlign val="superscript"/>
        <sz val="8"/>
        <color rgb="FF00B050"/>
        <rFont val="Verdana"/>
        <family val="2"/>
      </rPr>
      <t>(T)</t>
    </r>
  </si>
  <si>
    <r>
      <t>629.75</t>
    </r>
    <r>
      <rPr>
        <vertAlign val="superscript"/>
        <sz val="8"/>
        <color rgb="FF00B050"/>
        <rFont val="Verdana"/>
        <family val="2"/>
      </rPr>
      <t>(T)</t>
    </r>
  </si>
  <si>
    <r>
      <t>631.92</t>
    </r>
    <r>
      <rPr>
        <vertAlign val="superscript"/>
        <sz val="8"/>
        <color rgb="FF00B050"/>
        <rFont val="Verdana"/>
        <family val="2"/>
      </rPr>
      <t>(T)</t>
    </r>
  </si>
  <si>
    <r>
      <t>631.04</t>
    </r>
    <r>
      <rPr>
        <vertAlign val="superscript"/>
        <sz val="8"/>
        <color rgb="FF00B050"/>
        <rFont val="Verdana"/>
        <family val="2"/>
      </rPr>
      <t>(T)</t>
    </r>
  </si>
  <si>
    <r>
      <t>632.04</t>
    </r>
    <r>
      <rPr>
        <vertAlign val="superscript"/>
        <sz val="8"/>
        <color rgb="FF00B050"/>
        <rFont val="Verdana"/>
        <family val="2"/>
      </rPr>
      <t>(T)</t>
    </r>
  </si>
  <si>
    <r>
      <t>631.85</t>
    </r>
    <r>
      <rPr>
        <vertAlign val="superscript"/>
        <sz val="8"/>
        <color rgb="FF00B050"/>
        <rFont val="Verdana"/>
        <family val="2"/>
      </rPr>
      <t>(T)</t>
    </r>
  </si>
  <si>
    <r>
      <t>632.51</t>
    </r>
    <r>
      <rPr>
        <vertAlign val="superscript"/>
        <sz val="8"/>
        <color rgb="FF00B050"/>
        <rFont val="Verdana"/>
        <family val="2"/>
      </rPr>
      <t>(T)</t>
    </r>
  </si>
  <si>
    <r>
      <t>631.71</t>
    </r>
    <r>
      <rPr>
        <vertAlign val="superscript"/>
        <sz val="8"/>
        <color rgb="FF00B050"/>
        <rFont val="Verdana"/>
        <family val="2"/>
      </rPr>
      <t>(T)</t>
    </r>
  </si>
  <si>
    <r>
      <t>632.52</t>
    </r>
    <r>
      <rPr>
        <vertAlign val="superscript"/>
        <sz val="8"/>
        <color rgb="FF00B050"/>
        <rFont val="Verdana"/>
        <family val="2"/>
      </rPr>
      <t>(T)</t>
    </r>
  </si>
  <si>
    <r>
      <t>628.76</t>
    </r>
    <r>
      <rPr>
        <vertAlign val="superscript"/>
        <sz val="8"/>
        <color rgb="FF00B050"/>
        <rFont val="Verdana"/>
        <family val="2"/>
      </rPr>
      <t>(T)</t>
    </r>
  </si>
  <si>
    <r>
      <t>627.92</t>
    </r>
    <r>
      <rPr>
        <vertAlign val="superscript"/>
        <sz val="8"/>
        <color rgb="FF00B050"/>
        <rFont val="Verdana"/>
        <family val="2"/>
      </rPr>
      <t>(T)</t>
    </r>
  </si>
  <si>
    <r>
      <t>631.46</t>
    </r>
    <r>
      <rPr>
        <vertAlign val="superscript"/>
        <sz val="8"/>
        <color rgb="FF00B050"/>
        <rFont val="Verdana"/>
        <family val="2"/>
      </rPr>
      <t>(T)</t>
    </r>
  </si>
  <si>
    <r>
      <t>631.37</t>
    </r>
    <r>
      <rPr>
        <vertAlign val="superscript"/>
        <sz val="8"/>
        <color rgb="FF00B050"/>
        <rFont val="Verdana"/>
        <family val="2"/>
      </rPr>
      <t>(T)</t>
    </r>
  </si>
  <si>
    <r>
      <t>636.62</t>
    </r>
    <r>
      <rPr>
        <vertAlign val="superscript"/>
        <sz val="8"/>
        <color rgb="FF00B050"/>
        <rFont val="Verdana"/>
        <family val="2"/>
      </rPr>
      <t>(T)</t>
    </r>
  </si>
  <si>
    <r>
      <t>637.87</t>
    </r>
    <r>
      <rPr>
        <vertAlign val="superscript"/>
        <sz val="8"/>
        <color rgb="FF00B050"/>
        <rFont val="Verdana"/>
        <family val="2"/>
      </rPr>
      <t>(T)</t>
    </r>
  </si>
  <si>
    <r>
      <t>634.79</t>
    </r>
    <r>
      <rPr>
        <vertAlign val="superscript"/>
        <sz val="8"/>
        <color rgb="FF00B050"/>
        <rFont val="Verdana"/>
        <family val="2"/>
      </rPr>
      <t>(T)</t>
    </r>
  </si>
  <si>
    <r>
      <t>636.71</t>
    </r>
    <r>
      <rPr>
        <vertAlign val="superscript"/>
        <sz val="8"/>
        <color rgb="FF00B050"/>
        <rFont val="Verdana"/>
        <family val="2"/>
      </rPr>
      <t>(T)</t>
    </r>
  </si>
  <si>
    <r>
      <t>645.52</t>
    </r>
    <r>
      <rPr>
        <vertAlign val="superscript"/>
        <sz val="8"/>
        <color rgb="FF00B050"/>
        <rFont val="Verdana"/>
        <family val="2"/>
      </rPr>
      <t>(T)</t>
    </r>
  </si>
  <si>
    <r>
      <t>636.10</t>
    </r>
    <r>
      <rPr>
        <vertAlign val="superscript"/>
        <sz val="8"/>
        <color rgb="FF00B050"/>
        <rFont val="Verdana"/>
        <family val="2"/>
      </rPr>
      <t>(T)</t>
    </r>
  </si>
  <si>
    <r>
      <t>638.04</t>
    </r>
    <r>
      <rPr>
        <vertAlign val="superscript"/>
        <sz val="8"/>
        <color rgb="FF00B050"/>
        <rFont val="Verdana"/>
        <family val="2"/>
      </rPr>
      <t>(T)</t>
    </r>
  </si>
  <si>
    <r>
      <t>641.65</t>
    </r>
    <r>
      <rPr>
        <vertAlign val="superscript"/>
        <sz val="8"/>
        <color rgb="FF00B050"/>
        <rFont val="Verdana"/>
        <family val="2"/>
      </rPr>
      <t>(T)</t>
    </r>
  </si>
  <si>
    <r>
      <t>641.52</t>
    </r>
    <r>
      <rPr>
        <vertAlign val="superscript"/>
        <sz val="8"/>
        <color rgb="FF00B050"/>
        <rFont val="Verdana"/>
        <family val="2"/>
      </rPr>
      <t>(T)</t>
    </r>
  </si>
  <si>
    <r>
      <t>647.62</t>
    </r>
    <r>
      <rPr>
        <vertAlign val="superscript"/>
        <sz val="8"/>
        <color rgb="FF00B050"/>
        <rFont val="Verdana"/>
        <family val="2"/>
      </rPr>
      <t>(T)</t>
    </r>
  </si>
  <si>
    <r>
      <t>652.29</t>
    </r>
    <r>
      <rPr>
        <vertAlign val="superscript"/>
        <sz val="8"/>
        <color rgb="FF00B050"/>
        <rFont val="Verdana"/>
        <family val="2"/>
      </rPr>
      <t>(T)</t>
    </r>
  </si>
  <si>
    <r>
      <t>652.35</t>
    </r>
    <r>
      <rPr>
        <vertAlign val="superscript"/>
        <sz val="8"/>
        <color rgb="FF00B050"/>
        <rFont val="Verdana"/>
        <family val="2"/>
      </rPr>
      <t>(T)</t>
    </r>
  </si>
  <si>
    <r>
      <t>653.31</t>
    </r>
    <r>
      <rPr>
        <vertAlign val="superscript"/>
        <sz val="8"/>
        <color rgb="FF00B050"/>
        <rFont val="Verdana"/>
        <family val="2"/>
      </rPr>
      <t>(T)</t>
    </r>
  </si>
  <si>
    <r>
      <t>652.52</t>
    </r>
    <r>
      <rPr>
        <vertAlign val="superscript"/>
        <sz val="8"/>
        <color rgb="FF00B050"/>
        <rFont val="Verdana"/>
        <family val="2"/>
      </rPr>
      <t>(T)</t>
    </r>
  </si>
  <si>
    <r>
      <t>658.18</t>
    </r>
    <r>
      <rPr>
        <vertAlign val="superscript"/>
        <sz val="8"/>
        <color rgb="FF00B050"/>
        <rFont val="Verdana"/>
        <family val="2"/>
      </rPr>
      <t>(T)</t>
    </r>
  </si>
  <si>
    <r>
      <t>658.80</t>
    </r>
    <r>
      <rPr>
        <vertAlign val="superscript"/>
        <sz val="8"/>
        <color rgb="FF00B050"/>
        <rFont val="Verdana"/>
        <family val="2"/>
      </rPr>
      <t>(T)</t>
    </r>
  </si>
  <si>
    <r>
      <t>659.12</t>
    </r>
    <r>
      <rPr>
        <vertAlign val="superscript"/>
        <sz val="8"/>
        <color rgb="FF00B050"/>
        <rFont val="Verdana"/>
        <family val="2"/>
      </rPr>
      <t>(T)</t>
    </r>
  </si>
  <si>
    <r>
      <t>661.06</t>
    </r>
    <r>
      <rPr>
        <vertAlign val="superscript"/>
        <sz val="8"/>
        <color rgb="FF00B050"/>
        <rFont val="Verdana"/>
        <family val="2"/>
      </rPr>
      <t>(T)</t>
    </r>
  </si>
  <si>
    <r>
      <t>662.16</t>
    </r>
    <r>
      <rPr>
        <vertAlign val="superscript"/>
        <sz val="8"/>
        <color rgb="FF00B050"/>
        <rFont val="Verdana"/>
        <family val="2"/>
      </rPr>
      <t>(T)</t>
    </r>
  </si>
  <si>
    <r>
      <t>661.00</t>
    </r>
    <r>
      <rPr>
        <vertAlign val="superscript"/>
        <sz val="8"/>
        <color rgb="FF00B050"/>
        <rFont val="Verdana"/>
        <family val="2"/>
      </rPr>
      <t>(T)</t>
    </r>
  </si>
  <si>
    <r>
      <t>661.84</t>
    </r>
    <r>
      <rPr>
        <vertAlign val="superscript"/>
        <sz val="8"/>
        <color rgb="FF00B050"/>
        <rFont val="Verdana"/>
        <family val="2"/>
      </rPr>
      <t>(T)</t>
    </r>
  </si>
  <si>
    <r>
      <t>669.30</t>
    </r>
    <r>
      <rPr>
        <vertAlign val="superscript"/>
        <sz val="8"/>
        <color rgb="FF00B050"/>
        <rFont val="Verdana"/>
        <family val="2"/>
      </rPr>
      <t>(T)</t>
    </r>
  </si>
  <si>
    <r>
      <t>660.14</t>
    </r>
    <r>
      <rPr>
        <vertAlign val="superscript"/>
        <sz val="8"/>
        <color rgb="FF00B050"/>
        <rFont val="Verdana"/>
        <family val="2"/>
      </rPr>
      <t>(T)</t>
    </r>
  </si>
  <si>
    <r>
      <t>660.15</t>
    </r>
    <r>
      <rPr>
        <vertAlign val="superscript"/>
        <sz val="8"/>
        <color rgb="FF00B050"/>
        <rFont val="Verdana"/>
        <family val="2"/>
      </rPr>
      <t>(T)</t>
    </r>
  </si>
  <si>
    <r>
      <t>660.78</t>
    </r>
    <r>
      <rPr>
        <vertAlign val="superscript"/>
        <sz val="8"/>
        <color rgb="FF00B050"/>
        <rFont val="Verdana"/>
        <family val="2"/>
      </rPr>
      <t>(T)</t>
    </r>
  </si>
  <si>
    <r>
      <t>665.70</t>
    </r>
    <r>
      <rPr>
        <vertAlign val="superscript"/>
        <sz val="8"/>
        <color rgb="FF00B050"/>
        <rFont val="Verdana"/>
        <family val="2"/>
      </rPr>
      <t>(T)</t>
    </r>
  </si>
  <si>
    <r>
      <t>663.30</t>
    </r>
    <r>
      <rPr>
        <vertAlign val="superscript"/>
        <sz val="8"/>
        <color rgb="FF00B050"/>
        <rFont val="Verdana"/>
        <family val="2"/>
      </rPr>
      <t>(T)</t>
    </r>
  </si>
  <si>
    <r>
      <t>669.77</t>
    </r>
    <r>
      <rPr>
        <vertAlign val="superscript"/>
        <sz val="8"/>
        <color rgb="FF00B050"/>
        <rFont val="Verdana"/>
        <family val="2"/>
      </rPr>
      <t>(T)</t>
    </r>
  </si>
  <si>
    <r>
      <t>666.89</t>
    </r>
    <r>
      <rPr>
        <vertAlign val="superscript"/>
        <sz val="8"/>
        <color rgb="FF00B050"/>
        <rFont val="Verdana"/>
        <family val="2"/>
      </rPr>
      <t>(T)</t>
    </r>
  </si>
  <si>
    <r>
      <t>673.03</t>
    </r>
    <r>
      <rPr>
        <vertAlign val="superscript"/>
        <sz val="8"/>
        <color rgb="FF00B050"/>
        <rFont val="Verdana"/>
        <family val="2"/>
      </rPr>
      <t>(T)</t>
    </r>
  </si>
  <si>
    <r>
      <t>675.61</t>
    </r>
    <r>
      <rPr>
        <vertAlign val="superscript"/>
        <sz val="8"/>
        <color rgb="FF00B050"/>
        <rFont val="Verdana"/>
        <family val="2"/>
      </rPr>
      <t>(T)</t>
    </r>
  </si>
  <si>
    <r>
      <t>672.84</t>
    </r>
    <r>
      <rPr>
        <vertAlign val="superscript"/>
        <sz val="8"/>
        <color rgb="FF00B050"/>
        <rFont val="Verdana"/>
        <family val="2"/>
      </rPr>
      <t>(T)</t>
    </r>
  </si>
  <si>
    <r>
      <t>674.36</t>
    </r>
    <r>
      <rPr>
        <vertAlign val="superscript"/>
        <sz val="8"/>
        <color rgb="FF00B050"/>
        <rFont val="Verdana"/>
        <family val="2"/>
      </rPr>
      <t>(T)</t>
    </r>
  </si>
  <si>
    <r>
      <t>669.97</t>
    </r>
    <r>
      <rPr>
        <vertAlign val="superscript"/>
        <sz val="8"/>
        <color rgb="FF00B050"/>
        <rFont val="Verdana"/>
        <family val="2"/>
      </rPr>
      <t>(T)</t>
    </r>
  </si>
  <si>
    <r>
      <t>670.05</t>
    </r>
    <r>
      <rPr>
        <vertAlign val="superscript"/>
        <sz val="8"/>
        <color rgb="FF00B050"/>
        <rFont val="Verdana"/>
        <family val="2"/>
      </rPr>
      <t>(T)</t>
    </r>
  </si>
  <si>
    <r>
      <t>667.01</t>
    </r>
    <r>
      <rPr>
        <vertAlign val="superscript"/>
        <sz val="8"/>
        <color rgb="FF00B050"/>
        <rFont val="Verdana"/>
        <family val="2"/>
      </rPr>
      <t>(T)</t>
    </r>
  </si>
  <si>
    <r>
      <t>670.41</t>
    </r>
    <r>
      <rPr>
        <vertAlign val="superscript"/>
        <sz val="8"/>
        <color rgb="FF00B050"/>
        <rFont val="Verdana"/>
        <family val="2"/>
      </rPr>
      <t>(T)</t>
    </r>
  </si>
  <si>
    <r>
      <t>670.32</t>
    </r>
    <r>
      <rPr>
        <vertAlign val="superscript"/>
        <sz val="8"/>
        <color rgb="FF00B050"/>
        <rFont val="Verdana"/>
        <family val="2"/>
      </rPr>
      <t>(T)</t>
    </r>
  </si>
  <si>
    <r>
      <t>675.97</t>
    </r>
    <r>
      <rPr>
        <vertAlign val="superscript"/>
        <sz val="8"/>
        <color rgb="FF00B050"/>
        <rFont val="Verdana"/>
        <family val="2"/>
      </rPr>
      <t>(T)</t>
    </r>
  </si>
  <si>
    <r>
      <t>674.08</t>
    </r>
    <r>
      <rPr>
        <vertAlign val="superscript"/>
        <sz val="8"/>
        <color rgb="FF00B050"/>
        <rFont val="Verdana"/>
        <family val="2"/>
      </rPr>
      <t>(T)</t>
    </r>
  </si>
  <si>
    <r>
      <t>676.71</t>
    </r>
    <r>
      <rPr>
        <vertAlign val="superscript"/>
        <sz val="8"/>
        <color rgb="FF00B050"/>
        <rFont val="Verdana"/>
        <family val="2"/>
      </rPr>
      <t>(T)</t>
    </r>
  </si>
  <si>
    <r>
      <t>675.36</t>
    </r>
    <r>
      <rPr>
        <vertAlign val="superscript"/>
        <sz val="8"/>
        <color rgb="FF00B050"/>
        <rFont val="Verdana"/>
        <family val="2"/>
      </rPr>
      <t>(T)</t>
    </r>
  </si>
  <si>
    <r>
      <t>675.70</t>
    </r>
    <r>
      <rPr>
        <vertAlign val="superscript"/>
        <sz val="8"/>
        <color rgb="FF00B050"/>
        <rFont val="Verdana"/>
        <family val="2"/>
      </rPr>
      <t>(T)</t>
    </r>
  </si>
  <si>
    <r>
      <t>677.45</t>
    </r>
    <r>
      <rPr>
        <vertAlign val="superscript"/>
        <sz val="8"/>
        <color rgb="FF00B050"/>
        <rFont val="Verdana"/>
        <family val="2"/>
      </rPr>
      <t>(T)</t>
    </r>
  </si>
  <si>
    <r>
      <t>679.60</t>
    </r>
    <r>
      <rPr>
        <vertAlign val="superscript"/>
        <sz val="8"/>
        <color rgb="FF00B050"/>
        <rFont val="Verdana"/>
        <family val="2"/>
      </rPr>
      <t>(T)</t>
    </r>
  </si>
  <si>
    <r>
      <t>684.35</t>
    </r>
    <r>
      <rPr>
        <vertAlign val="superscript"/>
        <sz val="8"/>
        <color rgb="FF00B050"/>
        <rFont val="Verdana"/>
        <family val="2"/>
      </rPr>
      <t>(T)</t>
    </r>
  </si>
  <si>
    <r>
      <t>684.20</t>
    </r>
    <r>
      <rPr>
        <vertAlign val="superscript"/>
        <sz val="8"/>
        <color rgb="FF00B050"/>
        <rFont val="Verdana"/>
        <family val="2"/>
      </rPr>
      <t>(T)</t>
    </r>
  </si>
  <si>
    <r>
      <t>687.87</t>
    </r>
    <r>
      <rPr>
        <vertAlign val="superscript"/>
        <sz val="8"/>
        <color rgb="FF00B050"/>
        <rFont val="Verdana"/>
        <family val="2"/>
      </rPr>
      <t>(T)</t>
    </r>
  </si>
  <si>
    <r>
      <t>686.56</t>
    </r>
    <r>
      <rPr>
        <vertAlign val="superscript"/>
        <sz val="8"/>
        <color rgb="FF00B050"/>
        <rFont val="Verdana"/>
        <family val="2"/>
      </rPr>
      <t>(T)</t>
    </r>
  </si>
  <si>
    <r>
      <t>686.46</t>
    </r>
    <r>
      <rPr>
        <vertAlign val="superscript"/>
        <sz val="8"/>
        <color rgb="FF00B050"/>
        <rFont val="Verdana"/>
        <family val="2"/>
      </rPr>
      <t>(T)</t>
    </r>
  </si>
  <si>
    <r>
      <t>687.02</t>
    </r>
    <r>
      <rPr>
        <vertAlign val="superscript"/>
        <sz val="8"/>
        <color rgb="FF00B050"/>
        <rFont val="Verdana"/>
        <family val="2"/>
      </rPr>
      <t>(T)</t>
    </r>
  </si>
  <si>
    <r>
      <t>686.22</t>
    </r>
    <r>
      <rPr>
        <vertAlign val="superscript"/>
        <sz val="8"/>
        <color rgb="FF00B050"/>
        <rFont val="Verdana"/>
        <family val="2"/>
      </rPr>
      <t>(T)</t>
    </r>
  </si>
  <si>
    <r>
      <t>691.02</t>
    </r>
    <r>
      <rPr>
        <vertAlign val="superscript"/>
        <sz val="8"/>
        <color rgb="FF00B050"/>
        <rFont val="Verdana"/>
        <family val="2"/>
      </rPr>
      <t>(T)</t>
    </r>
  </si>
  <si>
    <r>
      <t>692.50</t>
    </r>
    <r>
      <rPr>
        <vertAlign val="superscript"/>
        <sz val="8"/>
        <color rgb="FF00B050"/>
        <rFont val="Verdana"/>
        <family val="2"/>
      </rPr>
      <t>(T)</t>
    </r>
  </si>
  <si>
    <r>
      <t>694.79</t>
    </r>
    <r>
      <rPr>
        <vertAlign val="superscript"/>
        <sz val="8"/>
        <color rgb="FF00B050"/>
        <rFont val="Verdana"/>
        <family val="2"/>
      </rPr>
      <t>(T)</t>
    </r>
  </si>
  <si>
    <r>
      <t>695.61</t>
    </r>
    <r>
      <rPr>
        <vertAlign val="superscript"/>
        <sz val="8"/>
        <color rgb="FF00B050"/>
        <rFont val="Verdana"/>
        <family val="2"/>
      </rPr>
      <t>(T)</t>
    </r>
  </si>
  <si>
    <r>
      <t>697.48</t>
    </r>
    <r>
      <rPr>
        <vertAlign val="superscript"/>
        <sz val="8"/>
        <color rgb="FF00B050"/>
        <rFont val="Verdana"/>
        <family val="2"/>
      </rPr>
      <t>(T)</t>
    </r>
  </si>
  <si>
    <r>
      <t>698.65</t>
    </r>
    <r>
      <rPr>
        <vertAlign val="superscript"/>
        <sz val="8"/>
        <color rgb="FF00B050"/>
        <rFont val="Verdana"/>
        <family val="2"/>
      </rPr>
      <t>(T)</t>
    </r>
  </si>
  <si>
    <r>
      <t>699.54</t>
    </r>
    <r>
      <rPr>
        <vertAlign val="superscript"/>
        <sz val="8"/>
        <color rgb="FF00B050"/>
        <rFont val="Verdana"/>
        <family val="2"/>
      </rPr>
      <t>(T)</t>
    </r>
  </si>
  <si>
    <r>
      <t>701.24</t>
    </r>
    <r>
      <rPr>
        <vertAlign val="superscript"/>
        <sz val="8"/>
        <color rgb="FF00B050"/>
        <rFont val="Verdana"/>
        <family val="2"/>
      </rPr>
      <t>(T)</t>
    </r>
  </si>
  <si>
    <r>
      <t>703.40</t>
    </r>
    <r>
      <rPr>
        <vertAlign val="superscript"/>
        <sz val="8"/>
        <color rgb="FF00B050"/>
        <rFont val="Verdana"/>
        <family val="2"/>
      </rPr>
      <t>(T)</t>
    </r>
  </si>
  <si>
    <r>
      <t>703.73</t>
    </r>
    <r>
      <rPr>
        <vertAlign val="superscript"/>
        <sz val="8"/>
        <color rgb="FF00B050"/>
        <rFont val="Verdana"/>
        <family val="2"/>
      </rPr>
      <t>(T)</t>
    </r>
  </si>
  <si>
    <r>
      <t>702.90</t>
    </r>
    <r>
      <rPr>
        <vertAlign val="superscript"/>
        <sz val="8"/>
        <color rgb="FF00B050"/>
        <rFont val="Verdana"/>
        <family val="2"/>
      </rPr>
      <t>(T)</t>
    </r>
  </si>
  <si>
    <r>
      <t>704.07</t>
    </r>
    <r>
      <rPr>
        <vertAlign val="superscript"/>
        <sz val="8"/>
        <color rgb="FF00B050"/>
        <rFont val="Verdana"/>
        <family val="2"/>
      </rPr>
      <t>(T)</t>
    </r>
  </si>
  <si>
    <r>
      <t>705.23</t>
    </r>
    <r>
      <rPr>
        <vertAlign val="superscript"/>
        <sz val="8"/>
        <color rgb="FF00B050"/>
        <rFont val="Verdana"/>
        <family val="2"/>
      </rPr>
      <t>(T)</t>
    </r>
  </si>
  <si>
    <r>
      <t>783.05</t>
    </r>
    <r>
      <rPr>
        <vertAlign val="superscript"/>
        <sz val="8"/>
        <color rgb="FF00B050"/>
        <rFont val="Verdana"/>
        <family val="2"/>
      </rPr>
      <t>(T)</t>
    </r>
  </si>
  <si>
    <r>
      <t>822.86</t>
    </r>
    <r>
      <rPr>
        <vertAlign val="superscript"/>
        <sz val="8"/>
        <color rgb="FF00B050"/>
        <rFont val="Verdana"/>
        <family val="2"/>
      </rPr>
      <t>(T)</t>
    </r>
  </si>
  <si>
    <r>
      <t>864.12</t>
    </r>
    <r>
      <rPr>
        <vertAlign val="superscript"/>
        <sz val="8"/>
        <color rgb="FF00B050"/>
        <rFont val="Verdana"/>
        <family val="2"/>
      </rPr>
      <t>(T)</t>
    </r>
  </si>
  <si>
    <r>
      <t>860.22</t>
    </r>
    <r>
      <rPr>
        <vertAlign val="superscript"/>
        <sz val="8"/>
        <color rgb="FF00B050"/>
        <rFont val="Verdana"/>
        <family val="2"/>
      </rPr>
      <t>(T)</t>
    </r>
  </si>
  <si>
    <r>
      <t>837.73</t>
    </r>
    <r>
      <rPr>
        <vertAlign val="superscript"/>
        <sz val="8"/>
        <color rgb="FF00B050"/>
        <rFont val="Verdana"/>
        <family val="2"/>
      </rPr>
      <t>(T)</t>
    </r>
  </si>
  <si>
    <r>
      <t>842.40</t>
    </r>
    <r>
      <rPr>
        <vertAlign val="superscript"/>
        <sz val="8"/>
        <color rgb="FF00B050"/>
        <rFont val="Verdana"/>
        <family val="2"/>
      </rPr>
      <t>(T)</t>
    </r>
  </si>
  <si>
    <r>
      <t>834.83</t>
    </r>
    <r>
      <rPr>
        <vertAlign val="superscript"/>
        <sz val="8"/>
        <color rgb="FF00B050"/>
        <rFont val="Verdana"/>
        <family val="2"/>
      </rPr>
      <t>(T)</t>
    </r>
  </si>
  <si>
    <r>
      <t>856.41</t>
    </r>
    <r>
      <rPr>
        <vertAlign val="superscript"/>
        <sz val="8"/>
        <color rgb="FF00B050"/>
        <rFont val="Verdana"/>
        <family val="2"/>
      </rPr>
      <t>(T)</t>
    </r>
  </si>
  <si>
    <r>
      <t>856.11</t>
    </r>
    <r>
      <rPr>
        <vertAlign val="superscript"/>
        <sz val="8"/>
        <color rgb="FF00B050"/>
        <rFont val="Verdana"/>
        <family val="2"/>
      </rPr>
      <t>(T)</t>
    </r>
  </si>
  <si>
    <r>
      <t>876.23</t>
    </r>
    <r>
      <rPr>
        <vertAlign val="superscript"/>
        <sz val="8"/>
        <color rgb="FF00B050"/>
        <rFont val="Verdana"/>
        <family val="2"/>
      </rPr>
      <t>(T)</t>
    </r>
  </si>
  <si>
    <r>
      <t>914.08</t>
    </r>
    <r>
      <rPr>
        <vertAlign val="superscript"/>
        <sz val="8"/>
        <color rgb="FF00B050"/>
        <rFont val="Verdana"/>
        <family val="2"/>
      </rPr>
      <t>(T)</t>
    </r>
  </si>
  <si>
    <r>
      <t>901.16</t>
    </r>
    <r>
      <rPr>
        <vertAlign val="superscript"/>
        <sz val="8"/>
        <color rgb="FF00B050"/>
        <rFont val="Verdana"/>
        <family val="2"/>
      </rPr>
      <t>(T)</t>
    </r>
  </si>
  <si>
    <r>
      <t>884.58</t>
    </r>
    <r>
      <rPr>
        <vertAlign val="superscript"/>
        <sz val="8"/>
        <color rgb="FF00B050"/>
        <rFont val="Verdana"/>
        <family val="2"/>
      </rPr>
      <t>(T)</t>
    </r>
  </si>
  <si>
    <r>
      <t>884.66</t>
    </r>
    <r>
      <rPr>
        <vertAlign val="superscript"/>
        <sz val="8"/>
        <color rgb="FF00B050"/>
        <rFont val="Verdana"/>
        <family val="2"/>
      </rPr>
      <t>(T)</t>
    </r>
  </si>
  <si>
    <r>
      <t>887.55</t>
    </r>
    <r>
      <rPr>
        <vertAlign val="superscript"/>
        <sz val="8"/>
        <color rgb="FF00B050"/>
        <rFont val="Verdana"/>
        <family val="2"/>
      </rPr>
      <t>(T)</t>
    </r>
  </si>
  <si>
    <r>
      <t>904.94</t>
    </r>
    <r>
      <rPr>
        <vertAlign val="superscript"/>
        <sz val="8"/>
        <color rgb="FF00B050"/>
        <rFont val="Verdana"/>
        <family val="2"/>
      </rPr>
      <t>(T)</t>
    </r>
  </si>
  <si>
    <r>
      <t>895.68</t>
    </r>
    <r>
      <rPr>
        <vertAlign val="superscript"/>
        <sz val="8"/>
        <color rgb="FF00B050"/>
        <rFont val="Verdana"/>
        <family val="2"/>
      </rPr>
      <t>(T)</t>
    </r>
  </si>
  <si>
    <r>
      <t>880.16</t>
    </r>
    <r>
      <rPr>
        <vertAlign val="superscript"/>
        <sz val="8"/>
        <color rgb="FF00B050"/>
        <rFont val="Verdana"/>
        <family val="2"/>
      </rPr>
      <t>(T)</t>
    </r>
  </si>
  <si>
    <r>
      <t>878.41</t>
    </r>
    <r>
      <rPr>
        <vertAlign val="superscript"/>
        <sz val="8"/>
        <color rgb="FF00B050"/>
        <rFont val="Verdana"/>
        <family val="2"/>
      </rPr>
      <t>(T)</t>
    </r>
  </si>
  <si>
    <r>
      <t>878.32</t>
    </r>
    <r>
      <rPr>
        <vertAlign val="superscript"/>
        <sz val="8"/>
        <color rgb="FF00B050"/>
        <rFont val="Verdana"/>
        <family val="2"/>
      </rPr>
      <t>(T)</t>
    </r>
  </si>
  <si>
    <r>
      <t>905.61</t>
    </r>
    <r>
      <rPr>
        <vertAlign val="superscript"/>
        <sz val="8"/>
        <color rgb="FF00B050"/>
        <rFont val="Verdana"/>
        <family val="2"/>
      </rPr>
      <t>(T)</t>
    </r>
  </si>
  <si>
    <r>
      <t>904.58</t>
    </r>
    <r>
      <rPr>
        <vertAlign val="superscript"/>
        <sz val="8"/>
        <color rgb="FF00B050"/>
        <rFont val="Verdana"/>
        <family val="2"/>
      </rPr>
      <t>(T)</t>
    </r>
  </si>
  <si>
    <r>
      <t>910.54</t>
    </r>
    <r>
      <rPr>
        <vertAlign val="superscript"/>
        <sz val="8"/>
        <color rgb="FF00B050"/>
        <rFont val="Verdana"/>
        <family val="2"/>
      </rPr>
      <t>(T)</t>
    </r>
  </si>
  <si>
    <r>
      <t>895.45</t>
    </r>
    <r>
      <rPr>
        <vertAlign val="superscript"/>
        <sz val="8"/>
        <color rgb="FF00B050"/>
        <rFont val="Verdana"/>
        <family val="2"/>
      </rPr>
      <t>(T)</t>
    </r>
  </si>
  <si>
    <r>
      <t>897.15</t>
    </r>
    <r>
      <rPr>
        <vertAlign val="superscript"/>
        <sz val="8"/>
        <color rgb="FF00B050"/>
        <rFont val="Verdana"/>
        <family val="2"/>
      </rPr>
      <t>(T)</t>
    </r>
  </si>
  <si>
    <r>
      <t>884.48</t>
    </r>
    <r>
      <rPr>
        <vertAlign val="superscript"/>
        <sz val="8"/>
        <color rgb="FF00B050"/>
        <rFont val="Verdana"/>
        <family val="2"/>
      </rPr>
      <t>(T)</t>
    </r>
  </si>
  <si>
    <r>
      <t>884.07</t>
    </r>
    <r>
      <rPr>
        <vertAlign val="superscript"/>
        <sz val="8"/>
        <color rgb="FF00B050"/>
        <rFont val="Verdana"/>
        <family val="2"/>
      </rPr>
      <t>(T)</t>
    </r>
  </si>
  <si>
    <r>
      <t>907.93</t>
    </r>
    <r>
      <rPr>
        <vertAlign val="superscript"/>
        <sz val="8"/>
        <color rgb="FF00B050"/>
        <rFont val="Verdana"/>
        <family val="2"/>
      </rPr>
      <t>(T)</t>
    </r>
  </si>
  <si>
    <r>
      <t>890.34</t>
    </r>
    <r>
      <rPr>
        <vertAlign val="superscript"/>
        <sz val="8"/>
        <color rgb="FF00B050"/>
        <rFont val="Verdana"/>
        <family val="2"/>
      </rPr>
      <t>(T)</t>
    </r>
  </si>
  <si>
    <r>
      <t>895.79</t>
    </r>
    <r>
      <rPr>
        <vertAlign val="superscript"/>
        <sz val="8"/>
        <color rgb="FF00B050"/>
        <rFont val="Verdana"/>
        <family val="2"/>
      </rPr>
      <t>(T)</t>
    </r>
  </si>
  <si>
    <r>
      <t>886.23</t>
    </r>
    <r>
      <rPr>
        <vertAlign val="superscript"/>
        <sz val="8"/>
        <color rgb="FF00B050"/>
        <rFont val="Verdana"/>
        <family val="2"/>
      </rPr>
      <t>(T)</t>
    </r>
  </si>
  <si>
    <r>
      <t>890.46</t>
    </r>
    <r>
      <rPr>
        <vertAlign val="superscript"/>
        <sz val="8"/>
        <color rgb="FF00B050"/>
        <rFont val="Verdana"/>
        <family val="2"/>
      </rPr>
      <t>(T)</t>
    </r>
  </si>
  <si>
    <r>
      <t>906.11</t>
    </r>
    <r>
      <rPr>
        <vertAlign val="superscript"/>
        <sz val="8"/>
        <color rgb="FF00B050"/>
        <rFont val="Verdana"/>
        <family val="2"/>
      </rPr>
      <t>(T)</t>
    </r>
  </si>
  <si>
    <r>
      <t>913.13</t>
    </r>
    <r>
      <rPr>
        <vertAlign val="superscript"/>
        <sz val="8"/>
        <color rgb="FF00B050"/>
        <rFont val="Verdana"/>
        <family val="2"/>
      </rPr>
      <t>(T)</t>
    </r>
  </si>
  <si>
    <r>
      <t>912.85</t>
    </r>
    <r>
      <rPr>
        <vertAlign val="superscript"/>
        <sz val="8"/>
        <color rgb="FF00B050"/>
        <rFont val="Verdana"/>
        <family val="2"/>
      </rPr>
      <t>(T)</t>
    </r>
  </si>
  <si>
    <r>
      <t>887.11</t>
    </r>
    <r>
      <rPr>
        <vertAlign val="superscript"/>
        <sz val="8"/>
        <color rgb="FF00B050"/>
        <rFont val="Verdana"/>
        <family val="2"/>
      </rPr>
      <t>(T)</t>
    </r>
  </si>
  <si>
    <r>
      <t>915.33</t>
    </r>
    <r>
      <rPr>
        <vertAlign val="superscript"/>
        <sz val="8"/>
        <color rgb="FF00B050"/>
        <rFont val="Verdana"/>
        <family val="2"/>
      </rPr>
      <t>(T)</t>
    </r>
  </si>
  <si>
    <r>
      <t>915.32</t>
    </r>
    <r>
      <rPr>
        <vertAlign val="superscript"/>
        <sz val="8"/>
        <color rgb="FF00B050"/>
        <rFont val="Verdana"/>
        <family val="2"/>
      </rPr>
      <t>(T)</t>
    </r>
  </si>
  <si>
    <r>
      <t>907.78</t>
    </r>
    <r>
      <rPr>
        <vertAlign val="superscript"/>
        <sz val="8"/>
        <color rgb="FF00B050"/>
        <rFont val="Verdana"/>
        <family val="2"/>
      </rPr>
      <t>(T)</t>
    </r>
  </si>
  <si>
    <r>
      <t>924.75</t>
    </r>
    <r>
      <rPr>
        <vertAlign val="superscript"/>
        <sz val="8"/>
        <color rgb="FF00B050"/>
        <rFont val="Verdana"/>
        <family val="2"/>
      </rPr>
      <t>(T)</t>
    </r>
  </si>
  <si>
    <r>
      <t>921.67</t>
    </r>
    <r>
      <rPr>
        <vertAlign val="superscript"/>
        <sz val="8"/>
        <color rgb="FF00B050"/>
        <rFont val="Verdana"/>
        <family val="2"/>
      </rPr>
      <t>(T)</t>
    </r>
  </si>
  <si>
    <r>
      <t>922.05</t>
    </r>
    <r>
      <rPr>
        <vertAlign val="superscript"/>
        <sz val="8"/>
        <color rgb="FF00B050"/>
        <rFont val="Verdana"/>
        <family val="2"/>
      </rPr>
      <t>(T)</t>
    </r>
  </si>
  <si>
    <r>
      <t>919.44</t>
    </r>
    <r>
      <rPr>
        <vertAlign val="superscript"/>
        <sz val="8"/>
        <color rgb="FF00B050"/>
        <rFont val="Verdana"/>
        <family val="2"/>
      </rPr>
      <t>(T)</t>
    </r>
  </si>
  <si>
    <r>
      <t>920.64</t>
    </r>
    <r>
      <rPr>
        <vertAlign val="superscript"/>
        <sz val="8"/>
        <color rgb="FF00B050"/>
        <rFont val="Verdana"/>
        <family val="2"/>
      </rPr>
      <t>(T)</t>
    </r>
  </si>
  <si>
    <r>
      <t>924.74</t>
    </r>
    <r>
      <rPr>
        <vertAlign val="superscript"/>
        <sz val="8"/>
        <color rgb="FF00B050"/>
        <rFont val="Verdana"/>
        <family val="2"/>
      </rPr>
      <t>(T)</t>
    </r>
  </si>
  <si>
    <r>
      <t>932.30</t>
    </r>
    <r>
      <rPr>
        <vertAlign val="superscript"/>
        <sz val="8"/>
        <color rgb="FF00B050"/>
        <rFont val="Verdana"/>
        <family val="2"/>
      </rPr>
      <t>(T)</t>
    </r>
  </si>
  <si>
    <r>
      <t>945.21</t>
    </r>
    <r>
      <rPr>
        <vertAlign val="superscript"/>
        <sz val="8"/>
        <color rgb="FF00B050"/>
        <rFont val="Verdana"/>
        <family val="2"/>
      </rPr>
      <t>(T)</t>
    </r>
  </si>
  <si>
    <r>
      <t>909.36</t>
    </r>
    <r>
      <rPr>
        <vertAlign val="superscript"/>
        <sz val="8"/>
        <color rgb="FF00B050"/>
        <rFont val="Verdana"/>
        <family val="2"/>
      </rPr>
      <t>(T)</t>
    </r>
  </si>
  <si>
    <r>
      <t>912.21</t>
    </r>
    <r>
      <rPr>
        <vertAlign val="superscript"/>
        <sz val="8"/>
        <color rgb="FF00B050"/>
        <rFont val="Verdana"/>
        <family val="2"/>
      </rPr>
      <t>(T)</t>
    </r>
  </si>
  <si>
    <r>
      <t>927.58</t>
    </r>
    <r>
      <rPr>
        <vertAlign val="superscript"/>
        <sz val="8"/>
        <color rgb="FF00B050"/>
        <rFont val="Verdana"/>
        <family val="2"/>
      </rPr>
      <t>(T)</t>
    </r>
  </si>
  <si>
    <r>
      <t>927.85</t>
    </r>
    <r>
      <rPr>
        <vertAlign val="superscript"/>
        <sz val="8"/>
        <color rgb="FF00B050"/>
        <rFont val="Verdana"/>
        <family val="2"/>
      </rPr>
      <t>(T)</t>
    </r>
  </si>
  <si>
    <r>
      <t>935.23</t>
    </r>
    <r>
      <rPr>
        <vertAlign val="superscript"/>
        <sz val="8"/>
        <color rgb="FF00B050"/>
        <rFont val="Verdana"/>
        <family val="2"/>
      </rPr>
      <t>(T)</t>
    </r>
  </si>
  <si>
    <r>
      <t>938.58</t>
    </r>
    <r>
      <rPr>
        <vertAlign val="superscript"/>
        <sz val="8"/>
        <color rgb="FF00B050"/>
        <rFont val="Verdana"/>
        <family val="2"/>
      </rPr>
      <t>(T)</t>
    </r>
  </si>
  <si>
    <r>
      <t>942.74</t>
    </r>
    <r>
      <rPr>
        <vertAlign val="superscript"/>
        <sz val="8"/>
        <color rgb="FF00B050"/>
        <rFont val="Verdana"/>
        <family val="2"/>
      </rPr>
      <t>(T)</t>
    </r>
  </si>
  <si>
    <r>
      <t>936.41</t>
    </r>
    <r>
      <rPr>
        <vertAlign val="superscript"/>
        <sz val="8"/>
        <color rgb="FF00B050"/>
        <rFont val="Verdana"/>
        <family val="2"/>
      </rPr>
      <t>(T)</t>
    </r>
  </si>
  <si>
    <r>
      <t>930.31</t>
    </r>
    <r>
      <rPr>
        <vertAlign val="superscript"/>
        <sz val="8"/>
        <color rgb="FF00B050"/>
        <rFont val="Verdana"/>
        <family val="2"/>
      </rPr>
      <t>(T)</t>
    </r>
  </si>
  <si>
    <r>
      <t>940.20</t>
    </r>
    <r>
      <rPr>
        <vertAlign val="superscript"/>
        <sz val="8"/>
        <color rgb="FF00B050"/>
        <rFont val="Verdana"/>
        <family val="2"/>
      </rPr>
      <t>(T)</t>
    </r>
  </si>
  <si>
    <r>
      <t>955.56</t>
    </r>
    <r>
      <rPr>
        <vertAlign val="superscript"/>
        <sz val="8"/>
        <color rgb="FF00B050"/>
        <rFont val="Verdana"/>
        <family val="2"/>
      </rPr>
      <t>(T)</t>
    </r>
  </si>
  <si>
    <r>
      <t>959.10</t>
    </r>
    <r>
      <rPr>
        <vertAlign val="superscript"/>
        <sz val="8"/>
        <color rgb="FF00B050"/>
        <rFont val="Verdana"/>
        <family val="2"/>
      </rPr>
      <t>(T)</t>
    </r>
  </si>
  <si>
    <r>
      <t>934.63</t>
    </r>
    <r>
      <rPr>
        <vertAlign val="superscript"/>
        <sz val="8"/>
        <color rgb="FF00B050"/>
        <rFont val="Verdana"/>
        <family val="2"/>
      </rPr>
      <t>(T)</t>
    </r>
  </si>
  <si>
    <r>
      <t>919.03</t>
    </r>
    <r>
      <rPr>
        <vertAlign val="superscript"/>
        <sz val="8"/>
        <color rgb="FF00B050"/>
        <rFont val="Verdana"/>
        <family val="2"/>
      </rPr>
      <t>(T)</t>
    </r>
  </si>
  <si>
    <r>
      <t>927.40</t>
    </r>
    <r>
      <rPr>
        <vertAlign val="superscript"/>
        <sz val="8"/>
        <color rgb="FF00B050"/>
        <rFont val="Verdana"/>
        <family val="2"/>
      </rPr>
      <t>(T)</t>
    </r>
  </si>
  <si>
    <r>
      <t>931.97</t>
    </r>
    <r>
      <rPr>
        <vertAlign val="superscript"/>
        <sz val="8"/>
        <color rgb="FF00B050"/>
        <rFont val="Verdana"/>
        <family val="2"/>
      </rPr>
      <t>(T)</t>
    </r>
  </si>
  <si>
    <r>
      <t>940.06</t>
    </r>
    <r>
      <rPr>
        <vertAlign val="superscript"/>
        <sz val="8"/>
        <color rgb="FF00B050"/>
        <rFont val="Verdana"/>
        <family val="2"/>
      </rPr>
      <t>(T)</t>
    </r>
  </si>
  <si>
    <r>
      <t>931.98</t>
    </r>
    <r>
      <rPr>
        <vertAlign val="superscript"/>
        <sz val="8"/>
        <color rgb="FF00B050"/>
        <rFont val="Verdana"/>
        <family val="2"/>
      </rPr>
      <t>(T)</t>
    </r>
  </si>
  <si>
    <r>
      <t>934.57</t>
    </r>
    <r>
      <rPr>
        <vertAlign val="superscript"/>
        <sz val="8"/>
        <color rgb="FF00B050"/>
        <rFont val="Verdana"/>
        <family val="2"/>
      </rPr>
      <t>(T)</t>
    </r>
  </si>
  <si>
    <r>
      <t>935.04</t>
    </r>
    <r>
      <rPr>
        <vertAlign val="superscript"/>
        <sz val="8"/>
        <color rgb="FF00B050"/>
        <rFont val="Verdana"/>
        <family val="2"/>
      </rPr>
      <t>(T)</t>
    </r>
  </si>
  <si>
    <r>
      <t>935.02</t>
    </r>
    <r>
      <rPr>
        <vertAlign val="superscript"/>
        <sz val="8"/>
        <color rgb="FF00B050"/>
        <rFont val="Verdana"/>
        <family val="2"/>
      </rPr>
      <t>(T)</t>
    </r>
  </si>
  <si>
    <r>
      <t>950.50</t>
    </r>
    <r>
      <rPr>
        <vertAlign val="superscript"/>
        <sz val="8"/>
        <color rgb="FF00B050"/>
        <rFont val="Verdana"/>
        <family val="2"/>
      </rPr>
      <t>(T)</t>
    </r>
  </si>
  <si>
    <r>
      <t>958.25</t>
    </r>
    <r>
      <rPr>
        <vertAlign val="superscript"/>
        <sz val="8"/>
        <color rgb="FF00B050"/>
        <rFont val="Verdana"/>
        <family val="2"/>
      </rPr>
      <t>(T)</t>
    </r>
  </si>
  <si>
    <r>
      <t>970.73</t>
    </r>
    <r>
      <rPr>
        <vertAlign val="superscript"/>
        <sz val="8"/>
        <color rgb="FF00B050"/>
        <rFont val="Verdana"/>
        <family val="2"/>
      </rPr>
      <t>(T)</t>
    </r>
  </si>
  <si>
    <r>
      <t>942.46</t>
    </r>
    <r>
      <rPr>
        <vertAlign val="superscript"/>
        <sz val="8"/>
        <color rgb="FF00B050"/>
        <rFont val="Verdana"/>
        <family val="2"/>
      </rPr>
      <t>(T)</t>
    </r>
  </si>
  <si>
    <r>
      <t>967.08</t>
    </r>
    <r>
      <rPr>
        <vertAlign val="superscript"/>
        <sz val="8"/>
        <color rgb="FF00B050"/>
        <rFont val="Verdana"/>
        <family val="2"/>
      </rPr>
      <t>(T)</t>
    </r>
  </si>
  <si>
    <r>
      <t>969.07</t>
    </r>
    <r>
      <rPr>
        <vertAlign val="superscript"/>
        <sz val="8"/>
        <color rgb="FF00B050"/>
        <rFont val="Verdana"/>
        <family val="2"/>
      </rPr>
      <t>(T)</t>
    </r>
  </si>
  <si>
    <r>
      <t>959.15</t>
    </r>
    <r>
      <rPr>
        <vertAlign val="superscript"/>
        <sz val="8"/>
        <color rgb="FF00B050"/>
        <rFont val="Verdana"/>
        <family val="2"/>
      </rPr>
      <t>(T)</t>
    </r>
  </si>
  <si>
    <r>
      <t>993.29</t>
    </r>
    <r>
      <rPr>
        <vertAlign val="superscript"/>
        <sz val="8"/>
        <color rgb="FF00B050"/>
        <rFont val="Verdana"/>
        <family val="2"/>
      </rPr>
      <t>(T)</t>
    </r>
  </si>
  <si>
    <r>
      <t>999.42</t>
    </r>
    <r>
      <rPr>
        <vertAlign val="superscript"/>
        <sz val="8"/>
        <color rgb="FF00B050"/>
        <rFont val="Verdana"/>
        <family val="2"/>
      </rPr>
      <t>(T)</t>
    </r>
  </si>
  <si>
    <r>
      <t>998.34</t>
    </r>
    <r>
      <rPr>
        <vertAlign val="superscript"/>
        <sz val="8"/>
        <color rgb="FF00B050"/>
        <rFont val="Verdana"/>
        <family val="2"/>
      </rPr>
      <t>(T)</t>
    </r>
  </si>
  <si>
    <r>
      <t>969.94</t>
    </r>
    <r>
      <rPr>
        <vertAlign val="superscript"/>
        <sz val="8"/>
        <color rgb="FF00B050"/>
        <rFont val="Verdana"/>
        <family val="2"/>
      </rPr>
      <t>(T)</t>
    </r>
  </si>
  <si>
    <r>
      <t>974.01</t>
    </r>
    <r>
      <rPr>
        <vertAlign val="superscript"/>
        <sz val="8"/>
        <color rgb="FF00B050"/>
        <rFont val="Verdana"/>
        <family val="2"/>
      </rPr>
      <t>(T)</t>
    </r>
  </si>
  <si>
    <r>
      <t>991.88</t>
    </r>
    <r>
      <rPr>
        <vertAlign val="superscript"/>
        <sz val="8"/>
        <color rgb="FF00B050"/>
        <rFont val="Verdana"/>
        <family val="2"/>
      </rPr>
      <t>(T)</t>
    </r>
  </si>
  <si>
    <r>
      <t>1,025.73</t>
    </r>
    <r>
      <rPr>
        <vertAlign val="superscript"/>
        <sz val="8"/>
        <color rgb="FF00B050"/>
        <rFont val="Verdana"/>
        <family val="2"/>
      </rPr>
      <t>(T)</t>
    </r>
  </si>
  <si>
    <r>
      <t>1,016.63</t>
    </r>
    <r>
      <rPr>
        <vertAlign val="superscript"/>
        <sz val="8"/>
        <color rgb="FF00B050"/>
        <rFont val="Verdana"/>
        <family val="2"/>
      </rPr>
      <t>(T)</t>
    </r>
  </si>
  <si>
    <r>
      <t>989.92</t>
    </r>
    <r>
      <rPr>
        <vertAlign val="superscript"/>
        <sz val="8"/>
        <color rgb="FF00B050"/>
        <rFont val="Verdana"/>
        <family val="2"/>
      </rPr>
      <t>(T)</t>
    </r>
  </si>
  <si>
    <r>
      <t>1,064.65</t>
    </r>
    <r>
      <rPr>
        <vertAlign val="superscript"/>
        <sz val="8"/>
        <color rgb="FF00B050"/>
        <rFont val="Verdana"/>
        <family val="2"/>
      </rPr>
      <t>(T)</t>
    </r>
  </si>
  <si>
    <r>
      <t>1,011.82</t>
    </r>
    <r>
      <rPr>
        <vertAlign val="superscript"/>
        <sz val="8"/>
        <color rgb="FF00B050"/>
        <rFont val="Verdana"/>
        <family val="2"/>
      </rPr>
      <t>(T)</t>
    </r>
  </si>
  <si>
    <r>
      <t>1,007.16</t>
    </r>
    <r>
      <rPr>
        <vertAlign val="superscript"/>
        <sz val="8"/>
        <color rgb="FF00B050"/>
        <rFont val="Verdana"/>
        <family val="2"/>
      </rPr>
      <t>(T)</t>
    </r>
  </si>
  <si>
    <r>
      <t>1,011.04</t>
    </r>
    <r>
      <rPr>
        <vertAlign val="superscript"/>
        <sz val="8"/>
        <color rgb="FF00B050"/>
        <rFont val="Verdana"/>
        <family val="2"/>
      </rPr>
      <t>(T)</t>
    </r>
  </si>
  <si>
    <r>
      <t>1,013.18</t>
    </r>
    <r>
      <rPr>
        <vertAlign val="superscript"/>
        <sz val="8"/>
        <color rgb="FF00B050"/>
        <rFont val="Verdana"/>
        <family val="2"/>
      </rPr>
      <t>(T)</t>
    </r>
  </si>
  <si>
    <r>
      <t>1,031.88</t>
    </r>
    <r>
      <rPr>
        <vertAlign val="superscript"/>
        <sz val="8"/>
        <color rgb="FF00B050"/>
        <rFont val="Verdana"/>
        <family val="2"/>
      </rPr>
      <t>(T)</t>
    </r>
  </si>
  <si>
    <r>
      <t>1,041.62</t>
    </r>
    <r>
      <rPr>
        <vertAlign val="superscript"/>
        <sz val="8"/>
        <color rgb="FF00B050"/>
        <rFont val="Verdana"/>
        <family val="2"/>
      </rPr>
      <t>(T)</t>
    </r>
  </si>
  <si>
    <r>
      <t>1,039.00</t>
    </r>
    <r>
      <rPr>
        <vertAlign val="superscript"/>
        <sz val="8"/>
        <color rgb="FF00B050"/>
        <rFont val="Verdana"/>
        <family val="2"/>
      </rPr>
      <t>(T)</t>
    </r>
  </si>
  <si>
    <r>
      <t>1,039.92</t>
    </r>
    <r>
      <rPr>
        <vertAlign val="superscript"/>
        <sz val="8"/>
        <color rgb="FF00B050"/>
        <rFont val="Verdana"/>
        <family val="2"/>
      </rPr>
      <t>(T)</t>
    </r>
  </si>
  <si>
    <r>
      <t>1,044.75</t>
    </r>
    <r>
      <rPr>
        <vertAlign val="superscript"/>
        <sz val="8"/>
        <color rgb="FF00B050"/>
        <rFont val="Verdana"/>
        <family val="2"/>
      </rPr>
      <t>(T)</t>
    </r>
  </si>
  <si>
    <r>
      <t>1,044.54</t>
    </r>
    <r>
      <rPr>
        <vertAlign val="superscript"/>
        <sz val="8"/>
        <color rgb="FF00B050"/>
        <rFont val="Verdana"/>
        <family val="2"/>
      </rPr>
      <t>(T)</t>
    </r>
  </si>
  <si>
    <r>
      <t>1,049.20</t>
    </r>
    <r>
      <rPr>
        <vertAlign val="superscript"/>
        <sz val="8"/>
        <color rgb="FF00B050"/>
        <rFont val="Verdana"/>
        <family val="2"/>
      </rPr>
      <t>(T)</t>
    </r>
  </si>
  <si>
    <r>
      <t>1,043.23</t>
    </r>
    <r>
      <rPr>
        <vertAlign val="superscript"/>
        <sz val="8"/>
        <color rgb="FF00B050"/>
        <rFont val="Verdana"/>
        <family val="2"/>
      </rPr>
      <t>(T)</t>
    </r>
  </si>
  <si>
    <r>
      <t>1,039.50</t>
    </r>
    <r>
      <rPr>
        <vertAlign val="superscript"/>
        <sz val="8"/>
        <color rgb="FF00B050"/>
        <rFont val="Verdana"/>
        <family val="2"/>
      </rPr>
      <t>(T)</t>
    </r>
  </si>
  <si>
    <r>
      <t>1,042.05</t>
    </r>
    <r>
      <rPr>
        <vertAlign val="superscript"/>
        <sz val="8"/>
        <color rgb="FF00B050"/>
        <rFont val="Verdana"/>
        <family val="2"/>
      </rPr>
      <t>(T)</t>
    </r>
  </si>
  <si>
    <r>
      <t>1,062.64</t>
    </r>
    <r>
      <rPr>
        <vertAlign val="superscript"/>
        <sz val="8"/>
        <color rgb="FF00B050"/>
        <rFont val="Verdana"/>
        <family val="2"/>
      </rPr>
      <t>(T)</t>
    </r>
  </si>
  <si>
    <r>
      <t>1,054.36</t>
    </r>
    <r>
      <rPr>
        <vertAlign val="superscript"/>
        <sz val="8"/>
        <color rgb="FF00B050"/>
        <rFont val="Verdana"/>
        <family val="2"/>
      </rPr>
      <t>(T)</t>
    </r>
  </si>
  <si>
    <r>
      <t>1,023.22</t>
    </r>
    <r>
      <rPr>
        <vertAlign val="superscript"/>
        <sz val="8"/>
        <color rgb="FF00B050"/>
        <rFont val="Verdana"/>
        <family val="2"/>
      </rPr>
      <t>(T)</t>
    </r>
  </si>
  <si>
    <r>
      <t>1,049.26</t>
    </r>
    <r>
      <rPr>
        <vertAlign val="superscript"/>
        <sz val="8"/>
        <color rgb="FF00B050"/>
        <rFont val="Verdana"/>
        <family val="2"/>
      </rPr>
      <t>(T)</t>
    </r>
  </si>
  <si>
    <r>
      <t>1,053.32</t>
    </r>
    <r>
      <rPr>
        <vertAlign val="superscript"/>
        <sz val="8"/>
        <color rgb="FF00B050"/>
        <rFont val="Verdana"/>
        <family val="2"/>
      </rPr>
      <t>(T)</t>
    </r>
  </si>
  <si>
    <r>
      <t>1,050.77</t>
    </r>
    <r>
      <rPr>
        <vertAlign val="superscript"/>
        <sz val="8"/>
        <color rgb="FF00B050"/>
        <rFont val="Verdana"/>
        <family val="2"/>
      </rPr>
      <t>(T)</t>
    </r>
  </si>
  <si>
    <r>
      <t>1,057.80</t>
    </r>
    <r>
      <rPr>
        <vertAlign val="superscript"/>
        <sz val="8"/>
        <color rgb="FF00B050"/>
        <rFont val="Verdana"/>
        <family val="2"/>
      </rPr>
      <t>(T)</t>
    </r>
  </si>
  <si>
    <r>
      <t>1,060.68</t>
    </r>
    <r>
      <rPr>
        <vertAlign val="superscript"/>
        <sz val="8"/>
        <color rgb="FF00B050"/>
        <rFont val="Verdana"/>
        <family val="2"/>
      </rPr>
      <t>(T)</t>
    </r>
  </si>
  <si>
    <r>
      <t>1,064.49</t>
    </r>
    <r>
      <rPr>
        <vertAlign val="superscript"/>
        <sz val="8"/>
        <color rgb="FF00B050"/>
        <rFont val="Verdana"/>
        <family val="2"/>
      </rPr>
      <t>(T)</t>
    </r>
  </si>
  <si>
    <r>
      <t>1,064.39</t>
    </r>
    <r>
      <rPr>
        <vertAlign val="superscript"/>
        <sz val="8"/>
        <color rgb="FF00B050"/>
        <rFont val="Verdana"/>
        <family val="2"/>
      </rPr>
      <t>(T)</t>
    </r>
  </si>
  <si>
    <r>
      <t>1,069.17</t>
    </r>
    <r>
      <rPr>
        <vertAlign val="superscript"/>
        <sz val="8"/>
        <color rgb="FF00B050"/>
        <rFont val="Verdana"/>
        <family val="2"/>
      </rPr>
      <t>(T)</t>
    </r>
  </si>
  <si>
    <r>
      <t>1,067.63</t>
    </r>
    <r>
      <rPr>
        <vertAlign val="superscript"/>
        <sz val="8"/>
        <color rgb="FF00B050"/>
        <rFont val="Verdana"/>
        <family val="2"/>
      </rPr>
      <t>(T)</t>
    </r>
  </si>
  <si>
    <r>
      <t>1,065.73</t>
    </r>
    <r>
      <rPr>
        <vertAlign val="superscript"/>
        <sz val="8"/>
        <color rgb="FF00B050"/>
        <rFont val="Verdana"/>
        <family val="2"/>
      </rPr>
      <t>(T)</t>
    </r>
  </si>
  <si>
    <r>
      <t>1,064.43</t>
    </r>
    <r>
      <rPr>
        <vertAlign val="superscript"/>
        <sz val="8"/>
        <color rgb="FF00B050"/>
        <rFont val="Verdana"/>
        <family val="2"/>
      </rPr>
      <t>(T)</t>
    </r>
  </si>
  <si>
    <r>
      <t>1,064.89</t>
    </r>
    <r>
      <rPr>
        <vertAlign val="superscript"/>
        <sz val="8"/>
        <color rgb="FF00B050"/>
        <rFont val="Verdana"/>
        <family val="2"/>
      </rPr>
      <t>(T)</t>
    </r>
  </si>
  <si>
    <r>
      <t>1,067.55</t>
    </r>
    <r>
      <rPr>
        <vertAlign val="superscript"/>
        <sz val="8"/>
        <color rgb="FF00B050"/>
        <rFont val="Verdana"/>
        <family val="2"/>
      </rPr>
      <t>(T)</t>
    </r>
  </si>
  <si>
    <r>
      <t>1,067.93</t>
    </r>
    <r>
      <rPr>
        <vertAlign val="superscript"/>
        <sz val="8"/>
        <color rgb="FF00B050"/>
        <rFont val="Verdana"/>
        <family val="2"/>
      </rPr>
      <t>(T)</t>
    </r>
  </si>
  <si>
    <r>
      <t>1,069.10</t>
    </r>
    <r>
      <rPr>
        <vertAlign val="superscript"/>
        <sz val="8"/>
        <color rgb="FF00B050"/>
        <rFont val="Verdana"/>
        <family val="2"/>
      </rPr>
      <t>(T)</t>
    </r>
  </si>
  <si>
    <r>
      <t>1,071.52</t>
    </r>
    <r>
      <rPr>
        <vertAlign val="superscript"/>
        <sz val="8"/>
        <color rgb="FF00B050"/>
        <rFont val="Verdana"/>
        <family val="2"/>
      </rPr>
      <t>(T)</t>
    </r>
  </si>
  <si>
    <r>
      <t>1,070.48</t>
    </r>
    <r>
      <rPr>
        <vertAlign val="superscript"/>
        <sz val="8"/>
        <color rgb="FF00B050"/>
        <rFont val="Verdana"/>
        <family val="2"/>
      </rPr>
      <t>(T)</t>
    </r>
  </si>
  <si>
    <r>
      <t>1,072.96</t>
    </r>
    <r>
      <rPr>
        <vertAlign val="superscript"/>
        <sz val="8"/>
        <color rgb="FF00B050"/>
        <rFont val="Verdana"/>
        <family val="2"/>
      </rPr>
      <t>(T)</t>
    </r>
  </si>
  <si>
    <t xml:space="preserve"> The peer industry includes OPG, 14 US investor owned firms that filed FERC Form 1, 2 federally regulated firms, and 1 municipal</t>
  </si>
  <si>
    <t>which refers back to "NA comb O&amp;M price indexes"</t>
  </si>
  <si>
    <r>
      <rPr>
        <b/>
        <sz val="11"/>
        <color theme="1"/>
        <rFont val="Book Antiqua"/>
        <family val="1"/>
      </rPr>
      <t>Step 1: Select peer from dropdown menu (Cell C2):</t>
    </r>
    <r>
      <rPr>
        <sz val="11"/>
        <color theme="1"/>
        <rFont val="Book Antiqua"/>
        <family val="1"/>
      </rPr>
      <t xml:space="preserve"> </t>
    </r>
  </si>
  <si>
    <t>The dropdown will show results based on peer or peer group selected. Contains individual information on OPG and 17 peers, as well as 'Peer Industry' and 'Peer Industry less OPG'.</t>
  </si>
  <si>
    <t xml:space="preserve">Step 2: Prepare data for the model (Row 5-19): </t>
  </si>
  <si>
    <t xml:space="preserve">This contains data including capacity, O&amp;M and net generation. All data here refers back to the full dataset in "TFP_dataset" tab, with the exception of O&amp;M Price Index, </t>
  </si>
  <si>
    <t xml:space="preserve">Step 7: Calculate TFP growth rates using 'average growth' and 'trend regression' methods (Row 97-112): </t>
  </si>
  <si>
    <t>Basic model logic:</t>
  </si>
  <si>
    <t>Note:</t>
  </si>
  <si>
    <t>compared on an equal basis. PPP was chosen over exchange rates as it better reflects underlying fundamentals (excluding speculation for example) and is less volatile.</t>
  </si>
  <si>
    <t xml:space="preserve">A PPP of 1.23 Canadian dollars per 1 US dollar was used to convert US peer O&amp;M costs and revenues to Canadian dollars so that that different peers can be </t>
  </si>
  <si>
    <t>Source: See StatsCan CANSIM Tables</t>
  </si>
  <si>
    <t>Source: See US BLS &amp; BEA tables</t>
  </si>
  <si>
    <r>
      <t xml:space="preserve">Note: </t>
    </r>
    <r>
      <rPr>
        <sz val="11"/>
        <rFont val="Book Antiqua"/>
        <family val="1"/>
      </rPr>
      <t xml:space="preserve">This workbook is colour coded as follows: (i) </t>
    </r>
    <r>
      <rPr>
        <sz val="11"/>
        <color rgb="FFFF0000"/>
        <rFont val="Book Antiqua"/>
        <family val="1"/>
      </rPr>
      <t>red for OPG data</t>
    </r>
    <r>
      <rPr>
        <sz val="11"/>
        <rFont val="Book Antiqua"/>
        <family val="1"/>
      </rPr>
      <t xml:space="preserve">; (ii) </t>
    </r>
    <r>
      <rPr>
        <sz val="11"/>
        <color rgb="FF0070C0"/>
        <rFont val="Book Antiqua"/>
        <family val="1"/>
      </rPr>
      <t>blue for US peer data</t>
    </r>
    <r>
      <rPr>
        <sz val="11"/>
        <rFont val="Book Antiqua"/>
        <family val="1"/>
      </rPr>
      <t xml:space="preserve">; (iii) </t>
    </r>
    <r>
      <rPr>
        <sz val="11"/>
        <color rgb="FF00B050"/>
        <rFont val="Book Antiqua"/>
        <family val="1"/>
      </rPr>
      <t>green for other third party data (e.g. EUCG, CANSIM)</t>
    </r>
    <r>
      <rPr>
        <sz val="11"/>
        <rFont val="Book Antiqua"/>
        <family val="1"/>
      </rPr>
      <t>; and (iv) black for calculated values</t>
    </r>
  </si>
  <si>
    <t>Source: OECD (http://stats.oecd.org/Index.aspx?DataSetCode=PPPGDP)</t>
  </si>
  <si>
    <t>Shows growth rates for all the indexes using both methods. Cell I112 highlights the average TFP index growth rate for 2002-2014, while cell D117 highlights the TFP growth rate using the 'trend regression' method</t>
  </si>
  <si>
    <t>Note: LEI derived the above tables from EUCG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</si>
</sst>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_(* \(#,##0\);_(* &quot;-&quot;??_);_(@_)"/>
    <numFmt numFmtId="166" formatCode="0.000"/>
    <numFmt numFmtId="167" formatCode="0.0%"/>
    <numFmt numFmtId="168" formatCode="_(* #,##0.000_);_(* \(#,##0.000\);_(* &quot;-&quot;??_);_(@_)"/>
    <numFmt numFmtId="169" formatCode="_(* #,##0.0000_);_(* \(#,##0.0000\);_(* &quot;-&quot;??_);_(@_)"/>
    <numFmt numFmtId="170" formatCode="[$-409]mmmm\ d\,\ yyyy;@"/>
    <numFmt numFmtId="171" formatCode="#0.0"/>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8"/>
      <color indexed="81"/>
      <name val="Tahoma"/>
      <family val="2"/>
    </font>
    <font>
      <sz val="8"/>
      <color indexed="81"/>
      <name val="Tahoma"/>
      <family val="2"/>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vertAlign val="superscript"/>
      <sz val="10"/>
      <color rgb="FF333333"/>
      <name val="Arial"/>
      <family val="2"/>
    </font>
    <font>
      <b/>
      <vertAlign val="superscript"/>
      <sz val="10"/>
      <color rgb="FF5A306B"/>
      <name val="Verdana"/>
      <family val="2"/>
    </font>
    <font>
      <b/>
      <sz val="15"/>
      <color rgb="FF333333"/>
      <name val="Arial"/>
      <family val="2"/>
    </font>
    <font>
      <b/>
      <sz val="11"/>
      <color rgb="FF333333"/>
      <name val="Arial"/>
      <family val="2"/>
    </font>
    <font>
      <b/>
      <vertAlign val="superscript"/>
      <sz val="12"/>
      <color rgb="FF333333"/>
      <name val="Arial"/>
      <family val="2"/>
    </font>
    <font>
      <b/>
      <vertAlign val="superscript"/>
      <sz val="12"/>
      <color rgb="FF5A306B"/>
      <name val="Verdana"/>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i/>
      <sz val="10"/>
      <color rgb="FF000000"/>
      <name val="Verdana"/>
      <family val="2"/>
    </font>
    <font>
      <b/>
      <vertAlign val="superscript"/>
      <sz val="8"/>
      <color rgb="FF222222"/>
      <name val="Verdana"/>
      <family val="2"/>
    </font>
    <font>
      <b/>
      <vertAlign val="superscript"/>
      <sz val="8"/>
      <color rgb="FF5A306B"/>
      <name val="Verdana"/>
      <family val="2"/>
    </font>
    <font>
      <b/>
      <sz val="10"/>
      <color rgb="FF5A306B"/>
      <name val="Verdana"/>
      <family val="2"/>
    </font>
    <font>
      <b/>
      <u/>
      <sz val="10"/>
      <color rgb="FF666666"/>
      <name val="Verdana"/>
      <family val="2"/>
    </font>
    <font>
      <u/>
      <sz val="10"/>
      <color indexed="12"/>
      <name val="Arial"/>
      <family val="2"/>
    </font>
    <font>
      <i/>
      <sz val="10"/>
      <color rgb="FF000000"/>
      <name val="Verdana"/>
      <family val="2"/>
    </font>
    <font>
      <b/>
      <i/>
      <sz val="11"/>
      <color theme="9" tint="-0.249977111117893"/>
      <name val="Book Antiqua"/>
      <family val="1"/>
    </font>
    <font>
      <b/>
      <sz val="12"/>
      <color rgb="FF333333"/>
      <name val="Arial"/>
      <family val="2"/>
    </font>
    <font>
      <sz val="10"/>
      <color theme="8"/>
      <name val="Arial"/>
      <family val="2"/>
    </font>
    <font>
      <b/>
      <sz val="14"/>
      <color theme="0"/>
      <name val="Lucida Sans"/>
      <family val="2"/>
    </font>
    <font>
      <b/>
      <sz val="12"/>
      <color theme="0"/>
      <name val="Lucida Sans"/>
      <family val="2"/>
    </font>
    <font>
      <b/>
      <i/>
      <sz val="12"/>
      <color theme="0"/>
      <name val="Lucida Sans"/>
      <family val="2"/>
    </font>
    <font>
      <b/>
      <sz val="12"/>
      <name val="Lucida Sans"/>
      <family val="2"/>
    </font>
    <font>
      <i/>
      <sz val="9"/>
      <color theme="1"/>
      <name val="Lucida Sans"/>
      <family val="2"/>
    </font>
    <font>
      <b/>
      <i/>
      <sz val="12"/>
      <name val="Lucida Sans"/>
      <family val="2"/>
    </font>
    <font>
      <b/>
      <sz val="11"/>
      <color theme="1"/>
      <name val="Calibri"/>
      <family val="2"/>
      <scheme val="minor"/>
    </font>
    <font>
      <b/>
      <sz val="10"/>
      <color theme="1"/>
      <name val="Calibri"/>
      <family val="2"/>
      <scheme val="minor"/>
    </font>
    <font>
      <u/>
      <sz val="11"/>
      <color theme="10"/>
      <name val="Calibri"/>
      <family val="2"/>
      <scheme val="minor"/>
    </font>
    <font>
      <b/>
      <sz val="14"/>
      <name val="Arial"/>
      <family val="2"/>
    </font>
    <font>
      <sz val="13"/>
      <name val="Arial"/>
      <family val="2"/>
    </font>
    <font>
      <b/>
      <sz val="11"/>
      <color theme="0"/>
      <name val="Calibri"/>
      <family val="2"/>
      <scheme val="minor"/>
    </font>
    <font>
      <sz val="9"/>
      <color theme="1"/>
      <name val="Lucida Sans"/>
      <family val="2"/>
    </font>
    <font>
      <sz val="10"/>
      <color theme="8"/>
      <name val="Book Antiqua"/>
      <family val="1"/>
    </font>
    <font>
      <b/>
      <sz val="16"/>
      <color theme="1"/>
      <name val="Book Antiqua"/>
      <family val="1"/>
    </font>
    <font>
      <sz val="12"/>
      <color theme="1"/>
      <name val="Book Antiqua"/>
      <family val="1"/>
    </font>
    <font>
      <sz val="11"/>
      <color theme="1"/>
      <name val="Book Antiqua"/>
      <family val="1"/>
    </font>
    <font>
      <b/>
      <sz val="11"/>
      <color theme="1"/>
      <name val="Book Antiqua"/>
      <family val="1"/>
    </font>
    <font>
      <i/>
      <sz val="12"/>
      <color theme="1"/>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1"/>
      <color theme="1"/>
      <name val="Book Antiqua"/>
      <family val="1"/>
    </font>
    <font>
      <sz val="11"/>
      <name val="Book Antiqua"/>
      <family val="1"/>
    </font>
    <font>
      <sz val="11"/>
      <color theme="0"/>
      <name val="Book Antiqua"/>
      <family val="1"/>
    </font>
    <font>
      <sz val="11"/>
      <name val="Calibri"/>
      <family val="2"/>
    </font>
    <font>
      <b/>
      <u/>
      <sz val="11"/>
      <name val="Book Antiqua"/>
      <family val="1"/>
    </font>
    <font>
      <b/>
      <sz val="11"/>
      <name val="Book Antiqua"/>
      <family val="1"/>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b/>
      <sz val="11"/>
      <color indexed="8"/>
      <name val="Calibri"/>
      <family val="2"/>
      <scheme val="minor"/>
    </font>
    <font>
      <i/>
      <sz val="11"/>
      <color theme="1"/>
      <name val="Calibri"/>
      <family val="2"/>
      <scheme val="minor"/>
    </font>
    <font>
      <i/>
      <sz val="10"/>
      <name val="Arial"/>
      <family val="2"/>
    </font>
    <font>
      <b/>
      <i/>
      <sz val="11"/>
      <color theme="1"/>
      <name val="Calibri"/>
      <family val="2"/>
      <scheme val="minor"/>
    </font>
    <font>
      <sz val="10"/>
      <name val="Arial"/>
      <family val="2"/>
    </font>
    <font>
      <b/>
      <sz val="13"/>
      <color rgb="FF666666"/>
      <name val="Verdana"/>
      <family val="2"/>
    </font>
    <font>
      <sz val="10"/>
      <color rgb="FF0070C0"/>
      <name val="Book Antiqua"/>
      <family val="1"/>
    </font>
    <font>
      <sz val="10"/>
      <color rgb="FF00B050"/>
      <name val="Book Antiqua"/>
      <family val="1"/>
    </font>
    <font>
      <sz val="10"/>
      <color rgb="FF00B050"/>
      <name val="Arial"/>
      <family val="2"/>
    </font>
    <font>
      <sz val="10"/>
      <color rgb="FF00B050"/>
      <name val="Verdana"/>
      <family val="2"/>
    </font>
    <font>
      <vertAlign val="superscript"/>
      <sz val="8"/>
      <color rgb="FF00B050"/>
      <name val="Verdana"/>
      <family val="2"/>
    </font>
    <font>
      <sz val="11"/>
      <color rgb="FF00B050"/>
      <name val="Calibri"/>
      <family val="2"/>
      <scheme val="minor"/>
    </font>
    <font>
      <sz val="10"/>
      <color rgb="FFFF0000"/>
      <name val="Book Antiqua"/>
      <family val="1"/>
    </font>
    <font>
      <sz val="10"/>
      <color rgb="FFFF0000"/>
      <name val="Arial"/>
      <family val="2"/>
    </font>
    <font>
      <sz val="11"/>
      <color rgb="FFFF0000"/>
      <name val="Book Antiqua"/>
      <family val="1"/>
    </font>
    <font>
      <sz val="11"/>
      <color rgb="FF0070C0"/>
      <name val="Book Antiqua"/>
      <family val="1"/>
    </font>
    <font>
      <sz val="11"/>
      <color rgb="FF00B050"/>
      <name val="Book Antiqua"/>
      <family val="1"/>
    </font>
    <font>
      <sz val="10"/>
      <name val="Verdana"/>
      <family val="2"/>
    </font>
  </fonts>
  <fills count="59">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CCCCCC"/>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2F2F2"/>
        <bgColor rgb="FF000000"/>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bottom style="thin">
        <color indexed="64"/>
      </bottom>
      <diagonal/>
    </border>
    <border>
      <left/>
      <right style="thin">
        <color indexed="64"/>
      </right>
      <top/>
      <bottom style="thin">
        <color indexed="64"/>
      </bottom>
      <diagonal/>
    </border>
    <border>
      <left/>
      <right style="medium">
        <color rgb="FFD4D4D4"/>
      </right>
      <top style="medium">
        <color rgb="FFD4D4D4"/>
      </top>
      <bottom style="medium">
        <color rgb="FFD4D4D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ck">
        <color auto="1"/>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84">
    <xf numFmtId="0" fontId="0" fillId="0" borderId="0"/>
    <xf numFmtId="164" fontId="8" fillId="0" borderId="0" applyFont="0" applyFill="0" applyBorder="0" applyAlignment="0" applyProtection="0"/>
    <xf numFmtId="9" fontId="8"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164" fontId="5" fillId="0" borderId="0" applyFont="0" applyFill="0" applyBorder="0" applyAlignment="0" applyProtection="0"/>
    <xf numFmtId="9" fontId="5" fillId="0" borderId="0" applyFont="0" applyFill="0" applyBorder="0" applyAlignment="0" applyProtection="0"/>
    <xf numFmtId="0" fontId="49" fillId="0" borderId="0" applyNumberFormat="0" applyFill="0" applyBorder="0" applyAlignment="0" applyProtection="0"/>
    <xf numFmtId="0" fontId="8" fillId="0" borderId="0"/>
    <xf numFmtId="0" fontId="53" fillId="0" borderId="0"/>
    <xf numFmtId="9" fontId="4" fillId="0" borderId="0" applyFont="0" applyFill="0" applyBorder="0" applyAlignment="0" applyProtection="0"/>
    <xf numFmtId="164" fontId="53" fillId="0" borderId="0" applyFont="0" applyFill="0" applyBorder="0" applyAlignment="0" applyProtection="0"/>
    <xf numFmtId="0" fontId="60" fillId="0" borderId="0" applyNumberFormat="0" applyFill="0" applyBorder="0" applyAlignment="0" applyProtection="0"/>
    <xf numFmtId="0" fontId="61" fillId="0" borderId="32" applyNumberFormat="0" applyFill="0" applyAlignment="0" applyProtection="0"/>
    <xf numFmtId="0" fontId="62" fillId="0" borderId="33" applyNumberFormat="0" applyFill="0" applyAlignment="0" applyProtection="0"/>
    <xf numFmtId="0" fontId="63" fillId="0" borderId="34" applyNumberFormat="0" applyFill="0" applyAlignment="0" applyProtection="0"/>
    <xf numFmtId="0" fontId="63" fillId="0" borderId="0" applyNumberFormat="0" applyFill="0" applyBorder="0" applyAlignment="0" applyProtection="0"/>
    <xf numFmtId="0" fontId="64" fillId="20" borderId="0" applyNumberFormat="0" applyBorder="0" applyAlignment="0" applyProtection="0"/>
    <xf numFmtId="0" fontId="65" fillId="21" borderId="0" applyNumberFormat="0" applyBorder="0" applyAlignment="0" applyProtection="0"/>
    <xf numFmtId="0" fontId="66" fillId="22" borderId="0" applyNumberFormat="0" applyBorder="0" applyAlignment="0" applyProtection="0"/>
    <xf numFmtId="0" fontId="67" fillId="23" borderId="35" applyNumberFormat="0" applyAlignment="0" applyProtection="0"/>
    <xf numFmtId="0" fontId="68" fillId="24" borderId="36" applyNumberFormat="0" applyAlignment="0" applyProtection="0"/>
    <xf numFmtId="0" fontId="69" fillId="24" borderId="35" applyNumberFormat="0" applyAlignment="0" applyProtection="0"/>
    <xf numFmtId="0" fontId="70" fillId="0" borderId="37" applyNumberFormat="0" applyFill="0" applyAlignment="0" applyProtection="0"/>
    <xf numFmtId="0" fontId="52" fillId="25" borderId="38"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47" fillId="0" borderId="40" applyNumberFormat="0" applyFill="0" applyAlignment="0" applyProtection="0"/>
    <xf numFmtId="0" fontId="7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73" fillId="50" borderId="0" applyNumberFormat="0" applyBorder="0" applyAlignment="0" applyProtection="0"/>
    <xf numFmtId="0" fontId="3" fillId="0" borderId="0"/>
    <xf numFmtId="164" fontId="3" fillId="0" borderId="0" applyFont="0" applyFill="0" applyBorder="0" applyAlignment="0" applyProtection="0"/>
    <xf numFmtId="0" fontId="3" fillId="26" borderId="39" applyNumberFormat="0" applyFont="0" applyAlignment="0" applyProtection="0"/>
    <xf numFmtId="0" fontId="2" fillId="0" borderId="0"/>
    <xf numFmtId="0" fontId="83" fillId="0" borderId="0"/>
    <xf numFmtId="0" fontId="84" fillId="0" borderId="0"/>
    <xf numFmtId="0" fontId="1" fillId="0" borderId="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92" fillId="0" borderId="0"/>
    <xf numFmtId="164" fontId="8" fillId="0" borderId="0" applyFont="0" applyFill="0" applyBorder="0" applyAlignment="0" applyProtection="0"/>
    <xf numFmtId="9" fontId="8"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26" borderId="39" applyNumberFormat="0" applyFont="0" applyAlignment="0" applyProtection="0"/>
    <xf numFmtId="0" fontId="1" fillId="0" borderId="0"/>
    <xf numFmtId="0" fontId="8" fillId="0" borderId="0"/>
    <xf numFmtId="0" fontId="8" fillId="0" borderId="0"/>
  </cellStyleXfs>
  <cellXfs count="440">
    <xf numFmtId="0" fontId="0" fillId="0" borderId="0" xfId="0"/>
    <xf numFmtId="0" fontId="7" fillId="0" borderId="0" xfId="0" applyFont="1"/>
    <xf numFmtId="0" fontId="7" fillId="0" borderId="0" xfId="0" applyFont="1" applyAlignment="1">
      <alignment horizontal="center" vertical="center"/>
    </xf>
    <xf numFmtId="165" fontId="7" fillId="0" borderId="0" xfId="1" applyNumberFormat="1" applyFont="1" applyAlignment="1">
      <alignment horizontal="center" vertical="center"/>
    </xf>
    <xf numFmtId="164" fontId="7" fillId="0" borderId="0" xfId="0" applyNumberFormat="1" applyFont="1" applyAlignment="1">
      <alignment horizontal="center" vertical="center"/>
    </xf>
    <xf numFmtId="164" fontId="7" fillId="0" borderId="0" xfId="1" applyNumberFormat="1" applyFont="1" applyAlignment="1">
      <alignment horizontal="center" vertical="center"/>
    </xf>
    <xf numFmtId="2" fontId="7" fillId="0" borderId="0" xfId="0" applyNumberFormat="1" applyFont="1"/>
    <xf numFmtId="166" fontId="7" fillId="0" borderId="0" xfId="0" applyNumberFormat="1" applyFont="1"/>
    <xf numFmtId="165" fontId="7" fillId="0" borderId="0" xfId="1" applyNumberFormat="1" applyFont="1"/>
    <xf numFmtId="164" fontId="7" fillId="0" borderId="0" xfId="1" applyFont="1"/>
    <xf numFmtId="2" fontId="7" fillId="0" borderId="4" xfId="0" applyNumberFormat="1" applyFont="1" applyBorder="1"/>
    <xf numFmtId="2" fontId="7" fillId="0" borderId="0" xfId="0" applyNumberFormat="1" applyFont="1" applyBorder="1"/>
    <xf numFmtId="2" fontId="7" fillId="0" borderId="6" xfId="0" applyNumberFormat="1" applyFont="1" applyBorder="1"/>
    <xf numFmtId="2" fontId="7" fillId="0" borderId="7" xfId="0" applyNumberFormat="1" applyFont="1" applyBorder="1"/>
    <xf numFmtId="0" fontId="7" fillId="0" borderId="9" xfId="0" applyFont="1" applyBorder="1" applyAlignment="1">
      <alignment horizontal="center" vertical="center"/>
    </xf>
    <xf numFmtId="0" fontId="0" fillId="0" borderId="0" xfId="0" applyAlignment="1">
      <alignment horizontal="center" vertical="center"/>
    </xf>
    <xf numFmtId="0" fontId="6" fillId="4" borderId="0" xfId="0" applyFont="1" applyFill="1" applyAlignment="1">
      <alignment horizontal="center" vertical="center"/>
    </xf>
    <xf numFmtId="9" fontId="7" fillId="0" borderId="0" xfId="2" applyFont="1" applyAlignment="1">
      <alignment horizontal="center" vertical="center"/>
    </xf>
    <xf numFmtId="0" fontId="8" fillId="0" borderId="0" xfId="0" applyFont="1"/>
    <xf numFmtId="9" fontId="8" fillId="0" borderId="0" xfId="0" applyNumberFormat="1" applyFont="1" applyFill="1"/>
    <xf numFmtId="0" fontId="7" fillId="0" borderId="0" xfId="0" applyFont="1" applyAlignment="1">
      <alignment horizontal="center"/>
    </xf>
    <xf numFmtId="2" fontId="7" fillId="0" borderId="0" xfId="0" applyNumberFormat="1" applyFont="1" applyAlignment="1">
      <alignment horizontal="center"/>
    </xf>
    <xf numFmtId="164" fontId="7" fillId="0" borderId="0" xfId="1" applyFont="1" applyAlignment="1">
      <alignment horizontal="center"/>
    </xf>
    <xf numFmtId="0" fontId="13" fillId="2" borderId="0" xfId="0" applyFont="1" applyFill="1"/>
    <xf numFmtId="0" fontId="13" fillId="2" borderId="9" xfId="0" applyFont="1" applyFill="1" applyBorder="1"/>
    <xf numFmtId="0" fontId="13" fillId="2" borderId="0" xfId="0" applyFont="1" applyFill="1" applyBorder="1"/>
    <xf numFmtId="0" fontId="14" fillId="2" borderId="0" xfId="0" applyFont="1" applyFill="1"/>
    <xf numFmtId="0" fontId="13" fillId="0" borderId="0" xfId="0" applyFont="1" applyFill="1"/>
    <xf numFmtId="0" fontId="13" fillId="0" borderId="9" xfId="0" applyFont="1" applyFill="1" applyBorder="1"/>
    <xf numFmtId="0" fontId="13" fillId="0" borderId="0" xfId="0" applyFont="1" applyFill="1" applyBorder="1"/>
    <xf numFmtId="0" fontId="14" fillId="0" borderId="0" xfId="0" applyFont="1" applyFill="1"/>
    <xf numFmtId="0" fontId="15" fillId="0" borderId="0" xfId="0" applyFont="1" applyFill="1"/>
    <xf numFmtId="0" fontId="0" fillId="0" borderId="9" xfId="0" applyBorder="1"/>
    <xf numFmtId="0" fontId="0" fillId="0" borderId="0" xfId="0" applyBorder="1"/>
    <xf numFmtId="0" fontId="16" fillId="6" borderId="0" xfId="0" applyFont="1" applyFill="1"/>
    <xf numFmtId="0" fontId="0" fillId="6" borderId="0" xfId="0" applyFill="1"/>
    <xf numFmtId="0" fontId="0" fillId="6" borderId="9" xfId="0" applyFill="1" applyBorder="1"/>
    <xf numFmtId="0" fontId="0" fillId="6" borderId="0" xfId="0" applyFill="1" applyBorder="1"/>
    <xf numFmtId="0" fontId="0" fillId="0" borderId="0" xfId="0" applyFill="1"/>
    <xf numFmtId="0" fontId="17" fillId="6" borderId="0" xfId="0" applyFont="1" applyFill="1" applyBorder="1" applyAlignment="1"/>
    <xf numFmtId="0" fontId="18" fillId="6" borderId="0" xfId="0" applyFont="1" applyFill="1" applyBorder="1" applyAlignment="1"/>
    <xf numFmtId="0" fontId="25" fillId="0" borderId="0" xfId="0" applyFont="1" applyBorder="1" applyAlignment="1"/>
    <xf numFmtId="0" fontId="26" fillId="0" borderId="0" xfId="0" applyFont="1"/>
    <xf numFmtId="0" fontId="27" fillId="0" borderId="0" xfId="0" applyFont="1"/>
    <xf numFmtId="0" fontId="30" fillId="7" borderId="10" xfId="0" applyFont="1" applyFill="1" applyBorder="1" applyAlignment="1">
      <alignment horizontal="center" vertical="top"/>
    </xf>
    <xf numFmtId="0" fontId="30" fillId="7" borderId="11" xfId="0" applyFont="1" applyFill="1" applyBorder="1" applyAlignment="1">
      <alignment vertical="top" wrapText="1"/>
    </xf>
    <xf numFmtId="0" fontId="30" fillId="7" borderId="10" xfId="0" applyFont="1" applyFill="1" applyBorder="1" applyAlignment="1">
      <alignment horizontal="center" vertical="top" wrapText="1"/>
    </xf>
    <xf numFmtId="0" fontId="8" fillId="0" borderId="0" xfId="0" applyFont="1" applyBorder="1"/>
    <xf numFmtId="0" fontId="31" fillId="0" borderId="0" xfId="0" applyFont="1"/>
    <xf numFmtId="0" fontId="30" fillId="7" borderId="10" xfId="0" applyFont="1" applyFill="1" applyBorder="1" applyAlignment="1">
      <alignment horizontal="left" vertical="top"/>
    </xf>
    <xf numFmtId="0" fontId="30" fillId="8" borderId="10" xfId="0" applyFont="1" applyFill="1" applyBorder="1" applyAlignment="1">
      <alignment horizontal="left" vertical="center"/>
    </xf>
    <xf numFmtId="0" fontId="35" fillId="0" borderId="0" xfId="0" applyFont="1" applyAlignment="1">
      <alignment horizontal="left"/>
    </xf>
    <xf numFmtId="0" fontId="0" fillId="8" borderId="0" xfId="0" applyFill="1" applyAlignment="1">
      <alignment vertical="center"/>
    </xf>
    <xf numFmtId="0" fontId="17" fillId="0" borderId="0" xfId="0" applyFont="1" applyAlignment="1">
      <alignment horizontal="right" vertical="center"/>
    </xf>
    <xf numFmtId="0" fontId="26" fillId="0" borderId="0" xfId="0" applyFont="1" applyAlignment="1">
      <alignment horizontal="left" vertical="center"/>
    </xf>
    <xf numFmtId="0" fontId="8" fillId="0" borderId="0" xfId="0" applyFont="1" applyFill="1" applyBorder="1"/>
    <xf numFmtId="0" fontId="36" fillId="0" borderId="0" xfId="3" applyAlignment="1" applyProtection="1">
      <alignment horizontal="left" vertical="center"/>
    </xf>
    <xf numFmtId="0" fontId="17" fillId="0" borderId="0" xfId="0" applyFont="1"/>
    <xf numFmtId="0" fontId="17" fillId="0" borderId="0" xfId="0" applyFont="1" applyAlignment="1">
      <alignment vertical="center"/>
    </xf>
    <xf numFmtId="0" fontId="0" fillId="0" borderId="12" xfId="0" applyBorder="1"/>
    <xf numFmtId="0" fontId="0" fillId="0" borderId="13" xfId="0" applyBorder="1"/>
    <xf numFmtId="0" fontId="17" fillId="0" borderId="12" xfId="0" applyFont="1" applyBorder="1" applyAlignment="1">
      <alignment horizontal="right" vertical="center"/>
    </xf>
    <xf numFmtId="0" fontId="38" fillId="6" borderId="0" xfId="0" applyFont="1" applyFill="1"/>
    <xf numFmtId="0" fontId="22" fillId="6" borderId="0" xfId="0" applyFont="1" applyFill="1" applyBorder="1" applyAlignment="1"/>
    <xf numFmtId="0" fontId="30" fillId="7" borderId="11" xfId="0" applyFont="1" applyFill="1" applyBorder="1" applyAlignment="1">
      <alignment horizontal="center" vertical="top" wrapText="1"/>
    </xf>
    <xf numFmtId="0" fontId="30" fillId="7" borderId="14" xfId="0" applyFont="1" applyFill="1" applyBorder="1" applyAlignment="1">
      <alignment horizontal="center" vertical="top" wrapText="1"/>
    </xf>
    <xf numFmtId="167" fontId="7" fillId="0" borderId="0" xfId="2" applyNumberFormat="1" applyFont="1"/>
    <xf numFmtId="0" fontId="6" fillId="10" borderId="0" xfId="0" applyFont="1" applyFill="1"/>
    <xf numFmtId="0" fontId="6" fillId="10" borderId="0" xfId="0" applyFont="1" applyFill="1" applyAlignment="1">
      <alignment horizontal="center" vertical="center"/>
    </xf>
    <xf numFmtId="0" fontId="7" fillId="11" borderId="0" xfId="0" applyFont="1" applyFill="1" applyAlignment="1">
      <alignment horizontal="center" vertical="center"/>
    </xf>
    <xf numFmtId="0" fontId="7" fillId="11" borderId="9" xfId="0" applyFont="1" applyFill="1" applyBorder="1" applyAlignment="1">
      <alignment horizontal="center" vertical="center"/>
    </xf>
    <xf numFmtId="165" fontId="7" fillId="11" borderId="0" xfId="1" applyNumberFormat="1" applyFont="1" applyFill="1" applyAlignment="1">
      <alignment horizontal="center" vertical="center"/>
    </xf>
    <xf numFmtId="0" fontId="7" fillId="12" borderId="0" xfId="0" applyFont="1" applyFill="1" applyAlignment="1">
      <alignment horizontal="center" vertical="center"/>
    </xf>
    <xf numFmtId="0" fontId="7" fillId="12" borderId="9" xfId="0" applyFont="1" applyFill="1" applyBorder="1" applyAlignment="1">
      <alignment horizontal="center" vertical="center"/>
    </xf>
    <xf numFmtId="165" fontId="7" fillId="12" borderId="0" xfId="1" applyNumberFormat="1" applyFont="1" applyFill="1" applyAlignment="1">
      <alignment horizontal="center" vertical="center"/>
    </xf>
    <xf numFmtId="9" fontId="7" fillId="12" borderId="0" xfId="2" applyFont="1" applyFill="1" applyAlignment="1">
      <alignment horizontal="center" vertical="center"/>
    </xf>
    <xf numFmtId="9" fontId="7" fillId="11" borderId="0" xfId="2" applyFont="1" applyFill="1" applyAlignment="1">
      <alignment horizontal="center" vertical="center"/>
    </xf>
    <xf numFmtId="0" fontId="6" fillId="10" borderId="0" xfId="0" applyFont="1" applyFill="1" applyAlignment="1">
      <alignment horizontal="center" vertical="center" wrapText="1"/>
    </xf>
    <xf numFmtId="164" fontId="9" fillId="0" borderId="0" xfId="1" applyFont="1" applyAlignment="1">
      <alignment horizontal="center"/>
    </xf>
    <xf numFmtId="0" fontId="7" fillId="10" borderId="0" xfId="0" applyFont="1" applyFill="1" applyAlignment="1">
      <alignment horizontal="center" vertical="center"/>
    </xf>
    <xf numFmtId="0" fontId="10" fillId="10" borderId="0" xfId="0" applyFont="1" applyFill="1" applyAlignment="1">
      <alignment horizontal="center" vertical="center"/>
    </xf>
    <xf numFmtId="0" fontId="10" fillId="10" borderId="9"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0" xfId="0" applyFont="1" applyFill="1" applyBorder="1" applyAlignment="1">
      <alignment horizontal="center" vertical="center"/>
    </xf>
    <xf numFmtId="9" fontId="40" fillId="5" borderId="0" xfId="0" applyNumberFormat="1" applyFont="1" applyFill="1"/>
    <xf numFmtId="9" fontId="0" fillId="0" borderId="0" xfId="2" applyNumberFormat="1" applyFont="1"/>
    <xf numFmtId="0" fontId="7" fillId="10" borderId="0" xfId="0" applyFont="1" applyFill="1"/>
    <xf numFmtId="0" fontId="9" fillId="0" borderId="20" xfId="0" applyFont="1" applyBorder="1" applyAlignment="1">
      <alignment horizontal="center" vertical="center"/>
    </xf>
    <xf numFmtId="0" fontId="7" fillId="10" borderId="1" xfId="0" applyFont="1" applyFill="1" applyBorder="1" applyAlignment="1">
      <alignment horizontal="center" vertical="center"/>
    </xf>
    <xf numFmtId="0" fontId="7" fillId="10" borderId="2" xfId="0" applyFont="1" applyFill="1" applyBorder="1" applyAlignment="1">
      <alignment horizontal="center" vertical="center"/>
    </xf>
    <xf numFmtId="0" fontId="7" fillId="10" borderId="3"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0" xfId="0" applyFont="1" applyFill="1" applyBorder="1" applyAlignment="1">
      <alignment horizontal="center" vertical="center"/>
    </xf>
    <xf numFmtId="0" fontId="7" fillId="13" borderId="0" xfId="0" applyFont="1" applyFill="1" applyBorder="1" applyAlignment="1">
      <alignment horizontal="left" vertical="center"/>
    </xf>
    <xf numFmtId="0" fontId="7" fillId="13" borderId="5" xfId="0" applyFont="1" applyFill="1" applyBorder="1" applyAlignment="1">
      <alignment horizontal="left" vertical="center"/>
    </xf>
    <xf numFmtId="0" fontId="7" fillId="13" borderId="6" xfId="0" applyFont="1" applyFill="1" applyBorder="1" applyAlignment="1">
      <alignment horizontal="center" vertical="center"/>
    </xf>
    <xf numFmtId="0" fontId="7" fillId="13" borderId="7" xfId="0" applyFont="1" applyFill="1" applyBorder="1" applyAlignment="1">
      <alignment horizontal="center" vertical="center"/>
    </xf>
    <xf numFmtId="0" fontId="7" fillId="13" borderId="7" xfId="0" applyFont="1" applyFill="1" applyBorder="1" applyAlignment="1">
      <alignment horizontal="left" vertical="center"/>
    </xf>
    <xf numFmtId="0" fontId="7" fillId="13" borderId="8" xfId="0" applyFont="1" applyFill="1" applyBorder="1" applyAlignment="1">
      <alignment horizontal="left" vertical="center"/>
    </xf>
    <xf numFmtId="0" fontId="10"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164" fontId="7" fillId="0" borderId="0" xfId="1" applyFont="1" applyFill="1" applyAlignment="1">
      <alignment horizontal="center" vertical="center"/>
    </xf>
    <xf numFmtId="164" fontId="7" fillId="0" borderId="0" xfId="0" applyNumberFormat="1" applyFont="1"/>
    <xf numFmtId="0" fontId="9" fillId="14" borderId="0" xfId="0" applyFont="1" applyFill="1"/>
    <xf numFmtId="0" fontId="7" fillId="0" borderId="0" xfId="0" quotePrefix="1" applyFont="1"/>
    <xf numFmtId="9" fontId="7" fillId="0" borderId="0" xfId="2" applyNumberFormat="1" applyFont="1" applyAlignment="1">
      <alignment horizontal="center" vertical="center"/>
    </xf>
    <xf numFmtId="168" fontId="0" fillId="0" borderId="0" xfId="0" applyNumberFormat="1"/>
    <xf numFmtId="0" fontId="26" fillId="8" borderId="0" xfId="0" applyFont="1" applyFill="1" applyBorder="1" applyAlignment="1">
      <alignment vertical="top"/>
    </xf>
    <xf numFmtId="10" fontId="26" fillId="8" borderId="0" xfId="2" applyNumberFormat="1" applyFont="1" applyFill="1" applyBorder="1" applyAlignment="1">
      <alignment vertical="top"/>
    </xf>
    <xf numFmtId="10" fontId="0" fillId="0" borderId="0" xfId="2" applyNumberFormat="1" applyFont="1"/>
    <xf numFmtId="0" fontId="42" fillId="10" borderId="19" xfId="0" applyFont="1" applyFill="1" applyBorder="1" applyAlignment="1">
      <alignment horizontal="center" vertical="top" wrapText="1"/>
    </xf>
    <xf numFmtId="0" fontId="43" fillId="10" borderId="25" xfId="0" applyFont="1" applyFill="1" applyBorder="1" applyAlignment="1">
      <alignment horizontal="center" vertical="top" wrapText="1"/>
    </xf>
    <xf numFmtId="0" fontId="44" fillId="17" borderId="24" xfId="0" applyFont="1" applyFill="1" applyBorder="1" applyAlignment="1">
      <alignment horizontal="left" vertical="top" wrapText="1"/>
    </xf>
    <xf numFmtId="10" fontId="44" fillId="0" borderId="19" xfId="2" applyNumberFormat="1" applyFont="1" applyBorder="1" applyAlignment="1">
      <alignment vertical="center" wrapText="1"/>
    </xf>
    <xf numFmtId="0" fontId="44" fillId="18" borderId="19" xfId="0" applyFont="1" applyFill="1" applyBorder="1" applyAlignment="1">
      <alignment horizontal="left" vertical="top" wrapText="1"/>
    </xf>
    <xf numFmtId="10" fontId="43" fillId="10" borderId="25" xfId="0" applyNumberFormat="1" applyFont="1" applyFill="1" applyBorder="1" applyAlignment="1">
      <alignment vertical="top" wrapText="1"/>
    </xf>
    <xf numFmtId="0" fontId="45" fillId="0" borderId="0" xfId="0" applyFont="1"/>
    <xf numFmtId="0" fontId="43" fillId="10" borderId="26" xfId="0" applyFont="1" applyFill="1" applyBorder="1" applyAlignment="1">
      <alignment vertical="top" wrapText="1"/>
    </xf>
    <xf numFmtId="10" fontId="43" fillId="10" borderId="27" xfId="0" applyNumberFormat="1" applyFont="1" applyFill="1" applyBorder="1" applyAlignment="1">
      <alignment vertical="center" wrapText="1"/>
    </xf>
    <xf numFmtId="0" fontId="43" fillId="10" borderId="27" xfId="0" applyFont="1" applyFill="1" applyBorder="1" applyAlignment="1">
      <alignment vertical="center" wrapText="1"/>
    </xf>
    <xf numFmtId="10" fontId="46" fillId="0" borderId="19" xfId="2" applyNumberFormat="1" applyFont="1" applyBorder="1" applyAlignment="1">
      <alignment vertical="center" wrapText="1"/>
    </xf>
    <xf numFmtId="9" fontId="7" fillId="0" borderId="0" xfId="0" applyNumberFormat="1" applyFont="1"/>
    <xf numFmtId="9" fontId="7" fillId="12" borderId="0" xfId="2" applyNumberFormat="1" applyFont="1" applyFill="1" applyAlignment="1">
      <alignment horizontal="center" vertical="center"/>
    </xf>
    <xf numFmtId="9" fontId="7" fillId="11" borderId="0" xfId="2" applyNumberFormat="1" applyFont="1" applyFill="1" applyAlignment="1">
      <alignment horizontal="center" vertical="center"/>
    </xf>
    <xf numFmtId="165" fontId="7" fillId="12" borderId="0" xfId="0" applyNumberFormat="1" applyFont="1" applyFill="1" applyAlignment="1">
      <alignment horizontal="center" vertical="center"/>
    </xf>
    <xf numFmtId="0" fontId="47" fillId="0" borderId="0" xfId="0" applyFont="1"/>
    <xf numFmtId="0" fontId="0" fillId="0" borderId="20" xfId="0" applyBorder="1"/>
    <xf numFmtId="0" fontId="47" fillId="0" borderId="20" xfId="0" applyFont="1" applyBorder="1"/>
    <xf numFmtId="0" fontId="9" fillId="0" borderId="28" xfId="0" applyFont="1" applyBorder="1" applyAlignment="1">
      <alignment horizontal="center" vertical="center"/>
    </xf>
    <xf numFmtId="9" fontId="9" fillId="15" borderId="20" xfId="2" applyFont="1" applyFill="1" applyBorder="1" applyAlignment="1">
      <alignment horizontal="center" vertical="center"/>
    </xf>
    <xf numFmtId="9" fontId="9" fillId="0" borderId="20" xfId="2" applyFont="1" applyBorder="1" applyAlignment="1">
      <alignment horizontal="center" vertical="center"/>
    </xf>
    <xf numFmtId="0" fontId="48" fillId="0" borderId="20" xfId="0" applyFont="1" applyBorder="1" applyAlignment="1">
      <alignment horizontal="center" vertical="center" wrapText="1"/>
    </xf>
    <xf numFmtId="164" fontId="7" fillId="0" borderId="0" xfId="2" applyNumberFormat="1" applyFont="1" applyAlignment="1">
      <alignment horizontal="center" vertical="center"/>
    </xf>
    <xf numFmtId="0" fontId="6" fillId="0" borderId="0" xfId="0" applyFont="1" applyFill="1" applyAlignment="1">
      <alignment horizontal="center" vertical="center" wrapText="1"/>
    </xf>
    <xf numFmtId="10" fontId="9" fillId="3" borderId="18" xfId="2" applyNumberFormat="1" applyFont="1" applyFill="1" applyBorder="1"/>
    <xf numFmtId="165" fontId="7" fillId="11" borderId="0" xfId="0" applyNumberFormat="1" applyFont="1" applyFill="1" applyAlignment="1">
      <alignment horizontal="center" vertical="center"/>
    </xf>
    <xf numFmtId="169" fontId="7" fillId="0" borderId="0" xfId="1" applyNumberFormat="1" applyFont="1" applyAlignment="1">
      <alignment horizontal="center" vertical="center"/>
    </xf>
    <xf numFmtId="167" fontId="7" fillId="14" borderId="0" xfId="2" applyNumberFormat="1" applyFont="1" applyFill="1"/>
    <xf numFmtId="167" fontId="7" fillId="14" borderId="0" xfId="2" applyNumberFormat="1" applyFont="1" applyFill="1" applyBorder="1"/>
    <xf numFmtId="167" fontId="7" fillId="14" borderId="5" xfId="2" applyNumberFormat="1" applyFont="1" applyFill="1" applyBorder="1"/>
    <xf numFmtId="167" fontId="9" fillId="14" borderId="0" xfId="2" applyNumberFormat="1" applyFont="1" applyFill="1"/>
    <xf numFmtId="2" fontId="7" fillId="13" borderId="0" xfId="0" applyNumberFormat="1" applyFont="1" applyFill="1" applyBorder="1"/>
    <xf numFmtId="166" fontId="7" fillId="13" borderId="0" xfId="0" applyNumberFormat="1" applyFont="1" applyFill="1" applyBorder="1"/>
    <xf numFmtId="0" fontId="7" fillId="13" borderId="0" xfId="0" applyFont="1" applyFill="1" applyBorder="1"/>
    <xf numFmtId="0" fontId="7" fillId="0" borderId="0" xfId="0" applyFont="1" applyBorder="1"/>
    <xf numFmtId="167" fontId="9" fillId="14" borderId="16" xfId="2" applyNumberFormat="1" applyFont="1" applyFill="1" applyBorder="1"/>
    <xf numFmtId="167" fontId="9" fillId="14" borderId="17" xfId="2" applyNumberFormat="1" applyFont="1" applyFill="1" applyBorder="1"/>
    <xf numFmtId="0" fontId="7" fillId="0" borderId="0" xfId="0" applyFont="1" applyFill="1"/>
    <xf numFmtId="0" fontId="7" fillId="0" borderId="1" xfId="0" applyFont="1" applyBorder="1"/>
    <xf numFmtId="0" fontId="7" fillId="0" borderId="2" xfId="0" applyFont="1" applyBorder="1"/>
    <xf numFmtId="0" fontId="7" fillId="0" borderId="3" xfId="0" applyFont="1" applyBorder="1"/>
    <xf numFmtId="0" fontId="6" fillId="10" borderId="0"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7" fillId="0" borderId="4" xfId="0" applyFont="1" applyBorder="1" applyAlignment="1">
      <alignment horizontal="center"/>
    </xf>
    <xf numFmtId="0" fontId="7" fillId="0" borderId="0" xfId="0" applyFont="1" applyBorder="1" applyAlignment="1">
      <alignment horizontal="center"/>
    </xf>
    <xf numFmtId="2" fontId="7" fillId="0" borderId="0" xfId="0" applyNumberFormat="1" applyFont="1" applyBorder="1" applyAlignment="1">
      <alignment horizontal="center"/>
    </xf>
    <xf numFmtId="164" fontId="7" fillId="0" borderId="0" xfId="1" applyFont="1" applyBorder="1" applyAlignment="1">
      <alignment horizontal="center"/>
    </xf>
    <xf numFmtId="2" fontId="7" fillId="0" borderId="5" xfId="0" applyNumberFormat="1" applyFont="1" applyBorder="1" applyAlignment="1">
      <alignment horizontal="center"/>
    </xf>
    <xf numFmtId="164" fontId="7" fillId="0" borderId="0" xfId="0" applyNumberFormat="1" applyFont="1" applyBorder="1"/>
    <xf numFmtId="0" fontId="8" fillId="0" borderId="1" xfId="0" applyFont="1" applyBorder="1"/>
    <xf numFmtId="0" fontId="8" fillId="0" borderId="3" xfId="0" applyFont="1" applyBorder="1"/>
    <xf numFmtId="0" fontId="8" fillId="0" borderId="4" xfId="0" applyFont="1" applyBorder="1"/>
    <xf numFmtId="0" fontId="8" fillId="0" borderId="5" xfId="0" applyFont="1" applyBorder="1"/>
    <xf numFmtId="0" fontId="6" fillId="10" borderId="4" xfId="0" applyFont="1" applyFill="1" applyBorder="1" applyAlignment="1">
      <alignment horizontal="center" vertical="center" wrapText="1"/>
    </xf>
    <xf numFmtId="164" fontId="7" fillId="0" borderId="4" xfId="1" applyFont="1" applyBorder="1" applyAlignment="1">
      <alignment horizontal="center"/>
    </xf>
    <xf numFmtId="0" fontId="0" fillId="0" borderId="5" xfId="0" applyBorder="1"/>
    <xf numFmtId="164" fontId="9" fillId="0" borderId="4" xfId="1" applyFont="1" applyBorder="1" applyAlignment="1">
      <alignment horizontal="center"/>
    </xf>
    <xf numFmtId="0" fontId="0" fillId="0" borderId="6" xfId="0" applyBorder="1"/>
    <xf numFmtId="167" fontId="9" fillId="14" borderId="8" xfId="2" applyNumberFormat="1" applyFont="1" applyFill="1" applyBorder="1"/>
    <xf numFmtId="0" fontId="7" fillId="0" borderId="7" xfId="0" applyFont="1" applyBorder="1"/>
    <xf numFmtId="0" fontId="7" fillId="0" borderId="8" xfId="0" applyFont="1" applyBorder="1"/>
    <xf numFmtId="9" fontId="7" fillId="14" borderId="0" xfId="2" applyFont="1" applyFill="1" applyBorder="1" applyAlignment="1">
      <alignment horizontal="center"/>
    </xf>
    <xf numFmtId="9" fontId="7" fillId="0" borderId="0" xfId="0" applyNumberFormat="1" applyFont="1" applyBorder="1"/>
    <xf numFmtId="0" fontId="7" fillId="0" borderId="29" xfId="0" applyFont="1" applyBorder="1"/>
    <xf numFmtId="167" fontId="9" fillId="14" borderId="30" xfId="0" applyNumberFormat="1" applyFont="1" applyFill="1" applyBorder="1"/>
    <xf numFmtId="167" fontId="9" fillId="14" borderId="31" xfId="0" applyNumberFormat="1" applyFont="1" applyFill="1" applyBorder="1"/>
    <xf numFmtId="0" fontId="9" fillId="19" borderId="0" xfId="0" applyFont="1" applyFill="1"/>
    <xf numFmtId="10" fontId="9" fillId="19" borderId="0" xfId="0" applyNumberFormat="1" applyFont="1" applyFill="1"/>
    <xf numFmtId="0" fontId="9" fillId="0" borderId="0" xfId="0" applyFont="1"/>
    <xf numFmtId="0" fontId="57" fillId="13" borderId="0" xfId="0" applyFont="1" applyFill="1"/>
    <xf numFmtId="0" fontId="58" fillId="13" borderId="0" xfId="0" applyFont="1" applyFill="1" applyAlignment="1"/>
    <xf numFmtId="0" fontId="7" fillId="0" borderId="43" xfId="0" applyFont="1" applyBorder="1" applyAlignment="1">
      <alignment horizontal="center"/>
    </xf>
    <xf numFmtId="0" fontId="7" fillId="0" borderId="44" xfId="0" applyFont="1" applyBorder="1" applyAlignment="1">
      <alignment horizontal="center"/>
    </xf>
    <xf numFmtId="2" fontId="7" fillId="0" borderId="46" xfId="0" applyNumberFormat="1" applyFont="1" applyBorder="1" applyAlignment="1">
      <alignment horizontal="center"/>
    </xf>
    <xf numFmtId="10" fontId="9" fillId="3" borderId="0" xfId="0" applyNumberFormat="1" applyFont="1" applyFill="1"/>
    <xf numFmtId="10" fontId="9" fillId="14" borderId="20" xfId="2" applyNumberFormat="1" applyFont="1" applyFill="1" applyBorder="1"/>
    <xf numFmtId="0" fontId="59" fillId="13" borderId="0" xfId="0" applyFont="1" applyFill="1" applyAlignment="1">
      <alignment horizontal="center"/>
    </xf>
    <xf numFmtId="15" fontId="7" fillId="0" borderId="0" xfId="0" applyNumberFormat="1" applyFont="1"/>
    <xf numFmtId="0" fontId="74" fillId="14" borderId="1" xfId="55" applyFont="1" applyFill="1" applyBorder="1"/>
    <xf numFmtId="0" fontId="75" fillId="14" borderId="2" xfId="8" applyFont="1" applyFill="1" applyBorder="1"/>
    <xf numFmtId="0" fontId="75" fillId="14" borderId="3" xfId="8" applyFont="1" applyFill="1" applyBorder="1"/>
    <xf numFmtId="0" fontId="75" fillId="0" borderId="0" xfId="8" applyFont="1"/>
    <xf numFmtId="0" fontId="57" fillId="14" borderId="4" xfId="8" applyFont="1" applyFill="1" applyBorder="1"/>
    <xf numFmtId="0" fontId="57" fillId="14" borderId="0" xfId="8" applyFont="1" applyFill="1" applyBorder="1"/>
    <xf numFmtId="0" fontId="75" fillId="14" borderId="0" xfId="8" applyFont="1" applyFill="1" applyBorder="1"/>
    <xf numFmtId="0" fontId="75" fillId="14" borderId="5" xfId="8" applyFont="1" applyFill="1" applyBorder="1"/>
    <xf numFmtId="0" fontId="57" fillId="51" borderId="4" xfId="8" applyFont="1" applyFill="1" applyBorder="1"/>
    <xf numFmtId="0" fontId="57" fillId="51" borderId="0" xfId="8" applyFont="1" applyFill="1" applyBorder="1"/>
    <xf numFmtId="0" fontId="76" fillId="51" borderId="0" xfId="8" applyFont="1" applyFill="1" applyBorder="1"/>
    <xf numFmtId="0" fontId="76" fillId="51" borderId="5" xfId="8" applyFont="1" applyFill="1" applyBorder="1"/>
    <xf numFmtId="0" fontId="57" fillId="52" borderId="4" xfId="8" applyFont="1" applyFill="1" applyBorder="1"/>
    <xf numFmtId="0" fontId="57" fillId="52" borderId="0" xfId="8" applyFont="1" applyFill="1" applyBorder="1"/>
    <xf numFmtId="0" fontId="76" fillId="52" borderId="0" xfId="8" applyFont="1" applyFill="1" applyBorder="1"/>
    <xf numFmtId="0" fontId="76" fillId="52" borderId="5" xfId="8" applyFont="1" applyFill="1" applyBorder="1"/>
    <xf numFmtId="0" fontId="58" fillId="53" borderId="4" xfId="8" applyFont="1" applyFill="1" applyBorder="1"/>
    <xf numFmtId="0" fontId="57" fillId="53" borderId="0" xfId="8" applyFont="1" applyFill="1" applyBorder="1"/>
    <xf numFmtId="0" fontId="75" fillId="53" borderId="0" xfId="8" applyFont="1" applyFill="1" applyBorder="1"/>
    <xf numFmtId="0" fontId="75" fillId="53" borderId="5" xfId="8" applyFont="1" applyFill="1" applyBorder="1"/>
    <xf numFmtId="0" fontId="57" fillId="53" borderId="4" xfId="8" applyFont="1" applyFill="1" applyBorder="1"/>
    <xf numFmtId="0" fontId="58" fillId="54" borderId="4" xfId="8" applyFont="1" applyFill="1" applyBorder="1"/>
    <xf numFmtId="0" fontId="57" fillId="54" borderId="0" xfId="8" applyFont="1" applyFill="1" applyBorder="1"/>
    <xf numFmtId="0" fontId="57" fillId="54" borderId="5" xfId="8" applyFont="1" applyFill="1" applyBorder="1"/>
    <xf numFmtId="0" fontId="58" fillId="55" borderId="4" xfId="8" applyFont="1" applyFill="1" applyBorder="1"/>
    <xf numFmtId="0" fontId="57" fillId="55" borderId="0" xfId="8" applyFont="1" applyFill="1" applyBorder="1"/>
    <xf numFmtId="0" fontId="75" fillId="55" borderId="0" xfId="8" applyFont="1" applyFill="1" applyBorder="1"/>
    <xf numFmtId="0" fontId="75" fillId="55" borderId="5" xfId="8" applyFont="1" applyFill="1" applyBorder="1"/>
    <xf numFmtId="0" fontId="58" fillId="56" borderId="4" xfId="8" applyFont="1" applyFill="1" applyBorder="1"/>
    <xf numFmtId="0" fontId="57" fillId="56" borderId="0" xfId="8" applyFont="1" applyFill="1" applyBorder="1"/>
    <xf numFmtId="0" fontId="75" fillId="56" borderId="0" xfId="8" applyFont="1" applyFill="1" applyBorder="1"/>
    <xf numFmtId="0" fontId="75" fillId="56" borderId="5" xfId="8" applyFont="1" applyFill="1" applyBorder="1"/>
    <xf numFmtId="0" fontId="57" fillId="57" borderId="6" xfId="8" applyFont="1" applyFill="1" applyBorder="1"/>
    <xf numFmtId="0" fontId="57" fillId="57" borderId="7" xfId="8" applyFont="1" applyFill="1" applyBorder="1"/>
    <xf numFmtId="0" fontId="57" fillId="57" borderId="8" xfId="8" applyFont="1" applyFill="1" applyBorder="1"/>
    <xf numFmtId="0" fontId="77" fillId="0" borderId="0" xfId="8" applyFont="1"/>
    <xf numFmtId="0" fontId="78" fillId="13" borderId="1" xfId="8" applyFont="1" applyFill="1" applyBorder="1"/>
    <xf numFmtId="0" fontId="75" fillId="13" borderId="2" xfId="8" applyFont="1" applyFill="1" applyBorder="1"/>
    <xf numFmtId="0" fontId="75" fillId="13" borderId="3" xfId="8" applyFont="1" applyFill="1" applyBorder="1"/>
    <xf numFmtId="0" fontId="75" fillId="13" borderId="4" xfId="8" applyFont="1" applyFill="1" applyBorder="1"/>
    <xf numFmtId="0" fontId="75" fillId="13" borderId="0" xfId="8" applyFont="1" applyFill="1" applyBorder="1"/>
    <xf numFmtId="0" fontId="75" fillId="13" borderId="5" xfId="8" applyFont="1" applyFill="1" applyBorder="1"/>
    <xf numFmtId="0" fontId="79" fillId="13" borderId="4" xfId="8" applyFont="1" applyFill="1" applyBorder="1"/>
    <xf numFmtId="0" fontId="79" fillId="13" borderId="6" xfId="8" applyFont="1" applyFill="1" applyBorder="1"/>
    <xf numFmtId="0" fontId="75" fillId="13" borderId="7" xfId="8" applyFont="1" applyFill="1" applyBorder="1"/>
    <xf numFmtId="0" fontId="75" fillId="13" borderId="8" xfId="8" applyFont="1" applyFill="1" applyBorder="1"/>
    <xf numFmtId="0" fontId="0" fillId="12" borderId="0" xfId="0" applyFill="1"/>
    <xf numFmtId="164" fontId="7" fillId="13" borderId="0" xfId="1" applyFont="1" applyFill="1" applyAlignment="1">
      <alignment horizontal="center" vertical="center"/>
    </xf>
    <xf numFmtId="0" fontId="0" fillId="13" borderId="0" xfId="0" applyFill="1" applyAlignment="1">
      <alignment horizontal="center" vertical="center"/>
    </xf>
    <xf numFmtId="0" fontId="0" fillId="13" borderId="0" xfId="0" applyFill="1"/>
    <xf numFmtId="0" fontId="0" fillId="11" borderId="0" xfId="0" applyFill="1"/>
    <xf numFmtId="0" fontId="10" fillId="51" borderId="0" xfId="0" applyFont="1" applyFill="1"/>
    <xf numFmtId="0" fontId="80" fillId="51" borderId="0" xfId="0" applyFont="1" applyFill="1"/>
    <xf numFmtId="0" fontId="7" fillId="51" borderId="0" xfId="0" applyFont="1" applyFill="1"/>
    <xf numFmtId="0" fontId="7" fillId="13" borderId="0" xfId="0" applyFont="1" applyFill="1"/>
    <xf numFmtId="0" fontId="9" fillId="13" borderId="0" xfId="0" applyFont="1" applyFill="1"/>
    <xf numFmtId="0" fontId="6" fillId="13" borderId="0" xfId="0" applyFont="1" applyFill="1" applyAlignment="1">
      <alignment horizontal="center" vertical="center"/>
    </xf>
    <xf numFmtId="164" fontId="7" fillId="13" borderId="0" xfId="0" applyNumberFormat="1" applyFont="1" applyFill="1"/>
    <xf numFmtId="0" fontId="10" fillId="52" borderId="0" xfId="0" applyFont="1" applyFill="1"/>
    <xf numFmtId="0" fontId="80" fillId="52" borderId="0" xfId="0" applyFont="1" applyFill="1"/>
    <xf numFmtId="0" fontId="7" fillId="53" borderId="0" xfId="0" applyFont="1" applyFill="1"/>
    <xf numFmtId="0" fontId="80" fillId="53" borderId="0" xfId="0" applyFont="1" applyFill="1"/>
    <xf numFmtId="10" fontId="7" fillId="13" borderId="0" xfId="2" applyNumberFormat="1" applyFont="1" applyFill="1" applyBorder="1"/>
    <xf numFmtId="10" fontId="9" fillId="3" borderId="20" xfId="2" applyNumberFormat="1" applyFont="1" applyFill="1" applyBorder="1"/>
    <xf numFmtId="0" fontId="82" fillId="54" borderId="0" xfId="0" applyFont="1" applyFill="1"/>
    <xf numFmtId="0" fontId="80" fillId="54" borderId="0" xfId="0" applyFont="1" applyFill="1"/>
    <xf numFmtId="2" fontId="7" fillId="0" borderId="0" xfId="0" applyNumberFormat="1" applyFont="1" applyFill="1"/>
    <xf numFmtId="166" fontId="7" fillId="0" borderId="0" xfId="0" applyNumberFormat="1" applyFont="1" applyFill="1"/>
    <xf numFmtId="167" fontId="7" fillId="0" borderId="0" xfId="2" applyNumberFormat="1" applyFont="1" applyFill="1" applyBorder="1"/>
    <xf numFmtId="167" fontId="9" fillId="0" borderId="20" xfId="2" applyNumberFormat="1" applyFont="1" applyFill="1" applyBorder="1"/>
    <xf numFmtId="0" fontId="7" fillId="56" borderId="0" xfId="0" applyFont="1" applyFill="1"/>
    <xf numFmtId="0" fontId="80" fillId="56" borderId="0" xfId="0" applyFont="1" applyFill="1"/>
    <xf numFmtId="0" fontId="7" fillId="55" borderId="0" xfId="0" applyFont="1" applyFill="1"/>
    <xf numFmtId="0" fontId="80" fillId="55" borderId="0" xfId="0" applyFont="1" applyFill="1"/>
    <xf numFmtId="0" fontId="82" fillId="57" borderId="0" xfId="0" applyFont="1" applyFill="1"/>
    <xf numFmtId="0" fontId="80" fillId="57" borderId="0" xfId="0" applyFont="1" applyFill="1"/>
    <xf numFmtId="2" fontId="7" fillId="0" borderId="5" xfId="0" applyNumberFormat="1" applyFont="1" applyFill="1" applyBorder="1"/>
    <xf numFmtId="167" fontId="7" fillId="0" borderId="5" xfId="2" applyNumberFormat="1" applyFont="1" applyFill="1" applyBorder="1"/>
    <xf numFmtId="167" fontId="7" fillId="0" borderId="8" xfId="2" applyNumberFormat="1" applyFont="1" applyFill="1" applyBorder="1"/>
    <xf numFmtId="167" fontId="9" fillId="0" borderId="17" xfId="2" applyNumberFormat="1" applyFont="1" applyFill="1" applyBorder="1"/>
    <xf numFmtId="0" fontId="9" fillId="19" borderId="1" xfId="0" applyFont="1" applyFill="1" applyBorder="1"/>
    <xf numFmtId="0" fontId="9" fillId="19" borderId="2" xfId="0" applyFont="1" applyFill="1" applyBorder="1"/>
    <xf numFmtId="0" fontId="9" fillId="19" borderId="3" xfId="0" applyFont="1" applyFill="1" applyBorder="1"/>
    <xf numFmtId="0" fontId="6" fillId="10" borderId="4" xfId="0" applyFont="1" applyFill="1" applyBorder="1"/>
    <xf numFmtId="0" fontId="7" fillId="0" borderId="4" xfId="0" applyFont="1" applyBorder="1" applyAlignment="1">
      <alignment horizontal="center" vertical="center"/>
    </xf>
    <xf numFmtId="0" fontId="9" fillId="0" borderId="16" xfId="0" applyFont="1" applyBorder="1"/>
    <xf numFmtId="10" fontId="7" fillId="15" borderId="47" xfId="2" applyNumberFormat="1" applyFont="1" applyFill="1" applyBorder="1" applyAlignment="1">
      <alignment horizontal="center"/>
    </xf>
    <xf numFmtId="0" fontId="7" fillId="0" borderId="5" xfId="0" applyFont="1" applyBorder="1"/>
    <xf numFmtId="164" fontId="9" fillId="0" borderId="0" xfId="0" applyNumberFormat="1" applyFont="1" applyBorder="1"/>
    <xf numFmtId="0" fontId="7" fillId="0" borderId="41" xfId="0" applyFont="1" applyBorder="1"/>
    <xf numFmtId="0" fontId="7" fillId="0" borderId="15" xfId="0" applyFont="1" applyBorder="1"/>
    <xf numFmtId="0" fontId="7" fillId="0" borderId="42" xfId="0" applyFont="1" applyBorder="1"/>
    <xf numFmtId="2" fontId="7" fillId="0" borderId="43" xfId="0" applyNumberFormat="1" applyFont="1" applyBorder="1" applyAlignment="1">
      <alignment horizontal="center"/>
    </xf>
    <xf numFmtId="164" fontId="7" fillId="0" borderId="9" xfId="1" applyFont="1" applyBorder="1" applyAlignment="1">
      <alignment horizontal="center"/>
    </xf>
    <xf numFmtId="164" fontId="9" fillId="0" borderId="43" xfId="0" applyNumberFormat="1" applyFont="1" applyBorder="1"/>
    <xf numFmtId="164" fontId="9" fillId="0" borderId="9" xfId="0" applyNumberFormat="1" applyFont="1" applyBorder="1"/>
    <xf numFmtId="164" fontId="9" fillId="0" borderId="44" xfId="0" applyNumberFormat="1" applyFont="1" applyBorder="1"/>
    <xf numFmtId="164" fontId="9" fillId="0" borderId="12" xfId="0" applyNumberFormat="1" applyFont="1" applyBorder="1"/>
    <xf numFmtId="164" fontId="9" fillId="0" borderId="13" xfId="0" applyNumberFormat="1" applyFont="1" applyBorder="1"/>
    <xf numFmtId="0" fontId="7" fillId="0" borderId="45" xfId="0" applyFont="1" applyBorder="1"/>
    <xf numFmtId="0" fontId="7" fillId="0" borderId="46" xfId="0" applyFont="1" applyBorder="1"/>
    <xf numFmtId="0" fontId="7" fillId="0" borderId="47" xfId="0" applyFont="1" applyBorder="1"/>
    <xf numFmtId="164" fontId="7" fillId="0" borderId="15" xfId="0" applyNumberFormat="1" applyFont="1" applyBorder="1"/>
    <xf numFmtId="164" fontId="7" fillId="0" borderId="42" xfId="0" applyNumberFormat="1" applyFont="1" applyBorder="1"/>
    <xf numFmtId="164" fontId="7" fillId="0" borderId="9" xfId="0" applyNumberFormat="1" applyFont="1" applyBorder="1"/>
    <xf numFmtId="164" fontId="7" fillId="0" borderId="12" xfId="0" applyNumberFormat="1" applyFont="1" applyBorder="1"/>
    <xf numFmtId="164" fontId="7" fillId="0" borderId="13" xfId="0" applyNumberFormat="1" applyFont="1" applyBorder="1"/>
    <xf numFmtId="0" fontId="6" fillId="10" borderId="49" xfId="0" applyFont="1" applyFill="1" applyBorder="1" applyAlignment="1">
      <alignment horizontal="center" vertical="center" wrapText="1"/>
    </xf>
    <xf numFmtId="0" fontId="6" fillId="10" borderId="20"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6" fillId="10" borderId="41"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42" xfId="0" applyFont="1" applyFill="1" applyBorder="1" applyAlignment="1">
      <alignment horizontal="center" vertical="center" wrapText="1"/>
    </xf>
    <xf numFmtId="164" fontId="7" fillId="0" borderId="43" xfId="1" applyFont="1" applyBorder="1" applyAlignment="1">
      <alignment horizontal="center"/>
    </xf>
    <xf numFmtId="164" fontId="9" fillId="0" borderId="0" xfId="1" applyFont="1" applyBorder="1" applyAlignment="1">
      <alignment horizontal="center"/>
    </xf>
    <xf numFmtId="164" fontId="7" fillId="0" borderId="44" xfId="1" applyFont="1" applyBorder="1" applyAlignment="1">
      <alignment horizontal="center"/>
    </xf>
    <xf numFmtId="164" fontId="7" fillId="0" borderId="12" xfId="1" applyFont="1" applyBorder="1" applyAlignment="1">
      <alignment horizontal="center"/>
    </xf>
    <xf numFmtId="164" fontId="7" fillId="0" borderId="13" xfId="1" applyFont="1" applyBorder="1" applyAlignment="1">
      <alignment horizontal="center"/>
    </xf>
    <xf numFmtId="0" fontId="7" fillId="0" borderId="49" xfId="0" applyFont="1" applyBorder="1"/>
    <xf numFmtId="0" fontId="7" fillId="0" borderId="20" xfId="0" applyFont="1" applyBorder="1"/>
    <xf numFmtId="0" fontId="7" fillId="0" borderId="28" xfId="0" applyFont="1" applyBorder="1"/>
    <xf numFmtId="0" fontId="7" fillId="0" borderId="41" xfId="1" applyNumberFormat="1" applyFont="1" applyBorder="1"/>
    <xf numFmtId="2" fontId="7" fillId="0" borderId="15" xfId="0" applyNumberFormat="1" applyFont="1" applyBorder="1" applyAlignment="1">
      <alignment horizontal="center"/>
    </xf>
    <xf numFmtId="2" fontId="7" fillId="0" borderId="42" xfId="0" applyNumberFormat="1" applyFont="1" applyBorder="1" applyAlignment="1">
      <alignment horizontal="center"/>
    </xf>
    <xf numFmtId="0" fontId="7" fillId="0" borderId="43" xfId="1" applyNumberFormat="1" applyFont="1" applyBorder="1"/>
    <xf numFmtId="2" fontId="7" fillId="0" borderId="9" xfId="0" applyNumberFormat="1" applyFont="1" applyBorder="1" applyAlignment="1">
      <alignment horizontal="center"/>
    </xf>
    <xf numFmtId="0" fontId="7" fillId="0" borderId="44" xfId="1" applyNumberFormat="1" applyFont="1" applyBorder="1"/>
    <xf numFmtId="2" fontId="7" fillId="0" borderId="12" xfId="0" applyNumberFormat="1" applyFont="1" applyBorder="1" applyAlignment="1">
      <alignment horizontal="center"/>
    </xf>
    <xf numFmtId="2" fontId="7" fillId="0" borderId="13" xfId="0" applyNumberFormat="1" applyFont="1" applyBorder="1" applyAlignment="1">
      <alignment horizontal="center"/>
    </xf>
    <xf numFmtId="9" fontId="54" fillId="5" borderId="19" xfId="0" applyNumberFormat="1" applyFont="1" applyFill="1" applyBorder="1"/>
    <xf numFmtId="9" fontId="7" fillId="0" borderId="19" xfId="0" applyNumberFormat="1" applyFont="1" applyFill="1" applyBorder="1"/>
    <xf numFmtId="0" fontId="6" fillId="10" borderId="41" xfId="0" applyFont="1" applyFill="1" applyBorder="1" applyAlignment="1">
      <alignment horizontal="center" vertical="center"/>
    </xf>
    <xf numFmtId="167" fontId="7" fillId="14" borderId="9" xfId="2" applyNumberFormat="1" applyFont="1" applyFill="1" applyBorder="1"/>
    <xf numFmtId="167" fontId="9" fillId="14" borderId="20" xfId="0" applyNumberFormat="1" applyFont="1" applyFill="1" applyBorder="1"/>
    <xf numFmtId="167" fontId="9" fillId="14" borderId="28" xfId="0" applyNumberFormat="1" applyFont="1" applyFill="1" applyBorder="1"/>
    <xf numFmtId="0" fontId="6" fillId="12" borderId="15" xfId="0" applyFont="1" applyFill="1" applyBorder="1" applyAlignment="1">
      <alignment horizontal="center" vertical="center" wrapText="1"/>
    </xf>
    <xf numFmtId="9" fontId="40" fillId="5" borderId="19" xfId="0" applyNumberFormat="1" applyFont="1" applyFill="1" applyBorder="1"/>
    <xf numFmtId="9" fontId="8" fillId="0" borderId="19" xfId="0" applyNumberFormat="1" applyFont="1" applyFill="1" applyBorder="1"/>
    <xf numFmtId="164" fontId="9" fillId="0" borderId="43" xfId="1" applyFont="1" applyBorder="1" applyAlignment="1">
      <alignment horizontal="center"/>
    </xf>
    <xf numFmtId="0" fontId="0" fillId="0" borderId="44" xfId="0" applyBorder="1"/>
    <xf numFmtId="168" fontId="0" fillId="0" borderId="12" xfId="0" applyNumberFormat="1" applyBorder="1"/>
    <xf numFmtId="0" fontId="7" fillId="0" borderId="0" xfId="0" applyFont="1" applyAlignment="1">
      <alignment horizontal="right"/>
    </xf>
    <xf numFmtId="0" fontId="8" fillId="0" borderId="0" xfId="0" applyFont="1" applyAlignment="1">
      <alignment horizontal="right"/>
    </xf>
    <xf numFmtId="0" fontId="87" fillId="0" borderId="50" xfId="57" applyFont="1" applyFill="1" applyBorder="1" applyAlignment="1">
      <alignment horizontal="center" wrapText="1"/>
    </xf>
    <xf numFmtId="0" fontId="87" fillId="0" borderId="0" xfId="57" applyFont="1" applyFill="1" applyAlignment="1">
      <alignment horizontal="left"/>
    </xf>
    <xf numFmtId="0" fontId="0" fillId="0" borderId="0" xfId="0" applyFill="1" applyAlignment="1"/>
    <xf numFmtId="0" fontId="5" fillId="0" borderId="0" xfId="4" applyFill="1" applyAlignment="1"/>
    <xf numFmtId="0" fontId="8" fillId="0" borderId="0" xfId="8" applyFill="1" applyAlignment="1"/>
    <xf numFmtId="0" fontId="36" fillId="0" borderId="0" xfId="3" applyFill="1" applyAlignment="1" applyProtection="1"/>
    <xf numFmtId="0" fontId="36" fillId="0" borderId="0" xfId="3" applyFill="1" applyAlignment="1" applyProtection="1">
      <alignment horizontal="left"/>
    </xf>
    <xf numFmtId="0" fontId="5" fillId="0" borderId="0" xfId="4" applyFill="1" applyAlignment="1">
      <alignment horizontal="left"/>
    </xf>
    <xf numFmtId="0" fontId="30" fillId="0" borderId="10" xfId="0" applyFont="1" applyFill="1" applyBorder="1" applyAlignment="1">
      <alignment horizontal="center" wrapText="1"/>
    </xf>
    <xf numFmtId="164" fontId="5" fillId="0" borderId="0" xfId="5" applyFont="1" applyFill="1" applyAlignment="1"/>
    <xf numFmtId="0" fontId="84" fillId="0" borderId="0" xfId="57" applyFill="1" applyAlignment="1"/>
    <xf numFmtId="0" fontId="86" fillId="0" borderId="0" xfId="57" applyFont="1" applyFill="1" applyAlignment="1"/>
    <xf numFmtId="171" fontId="87" fillId="0" borderId="0" xfId="57" applyNumberFormat="1" applyFont="1" applyFill="1" applyAlignment="1">
      <alignment horizontal="right"/>
    </xf>
    <xf numFmtId="0" fontId="88" fillId="0" borderId="0" xfId="57" applyFont="1" applyFill="1" applyAlignment="1"/>
    <xf numFmtId="167" fontId="89" fillId="0" borderId="0" xfId="6" applyNumberFormat="1" applyFont="1" applyFill="1" applyAlignment="1"/>
    <xf numFmtId="0" fontId="90" fillId="0" borderId="0" xfId="0" applyFont="1" applyFill="1" applyAlignment="1"/>
    <xf numFmtId="167" fontId="91" fillId="0" borderId="0" xfId="6" applyNumberFormat="1" applyFont="1" applyFill="1" applyAlignment="1"/>
    <xf numFmtId="0" fontId="0" fillId="0" borderId="0" xfId="0" applyFill="1" applyAlignment="1">
      <alignment horizontal="center"/>
    </xf>
    <xf numFmtId="0" fontId="91" fillId="0" borderId="0" xfId="4" applyFont="1" applyFill="1" applyAlignment="1">
      <alignment horizontal="center"/>
    </xf>
    <xf numFmtId="0" fontId="5" fillId="0" borderId="0" xfId="4" applyFill="1" applyAlignment="1">
      <alignment horizontal="center"/>
    </xf>
    <xf numFmtId="0" fontId="7" fillId="0" borderId="0" xfId="0" applyFont="1" applyBorder="1" applyAlignment="1">
      <alignment horizontal="center" vertical="center"/>
    </xf>
    <xf numFmtId="0" fontId="10" fillId="0" borderId="0" xfId="0" applyFont="1" applyFill="1"/>
    <xf numFmtId="0" fontId="9" fillId="0" borderId="0" xfId="0" applyFont="1" applyFill="1"/>
    <xf numFmtId="0" fontId="82" fillId="0" borderId="0" xfId="0" applyFont="1" applyFill="1"/>
    <xf numFmtId="0" fontId="6" fillId="0" borderId="0" xfId="0" applyFont="1" applyFill="1" applyAlignment="1">
      <alignment horizontal="center" vertical="center"/>
    </xf>
    <xf numFmtId="0" fontId="7" fillId="0" borderId="0" xfId="0" applyFont="1" applyFill="1" applyBorder="1"/>
    <xf numFmtId="0" fontId="6" fillId="0" borderId="0" xfId="0" applyFont="1" applyFill="1" applyBorder="1" applyAlignment="1">
      <alignment horizontal="center"/>
    </xf>
    <xf numFmtId="0" fontId="7" fillId="0" borderId="0" xfId="0" applyFont="1" applyFill="1" applyBorder="1" applyAlignment="1">
      <alignment horizontal="center"/>
    </xf>
    <xf numFmtId="164" fontId="0" fillId="0" borderId="0" xfId="1" applyFont="1"/>
    <xf numFmtId="2" fontId="7" fillId="0" borderId="51" xfId="0" applyNumberFormat="1" applyFont="1" applyBorder="1" applyAlignment="1">
      <alignment horizontal="center"/>
    </xf>
    <xf numFmtId="0" fontId="9" fillId="3" borderId="1" xfId="0" applyFont="1" applyFill="1" applyBorder="1"/>
    <xf numFmtId="0" fontId="9" fillId="3" borderId="2" xfId="0" applyFont="1" applyFill="1" applyBorder="1"/>
    <xf numFmtId="0" fontId="9" fillId="3" borderId="3" xfId="0" applyFont="1" applyFill="1" applyBorder="1"/>
    <xf numFmtId="10" fontId="7" fillId="15" borderId="52" xfId="2" applyNumberFormat="1" applyFont="1" applyFill="1" applyBorder="1" applyAlignment="1">
      <alignment horizontal="center"/>
    </xf>
    <xf numFmtId="167" fontId="9" fillId="15" borderId="20" xfId="2" applyNumberFormat="1" applyFont="1" applyFill="1" applyBorder="1" applyAlignment="1">
      <alignment horizontal="center" vertical="center"/>
    </xf>
    <xf numFmtId="10" fontId="7" fillId="0" borderId="0" xfId="0" applyNumberFormat="1" applyFont="1"/>
    <xf numFmtId="0" fontId="8" fillId="13" borderId="0" xfId="0" applyFont="1" applyFill="1"/>
    <xf numFmtId="0" fontId="93" fillId="0" borderId="0" xfId="0" applyFont="1" applyAlignment="1">
      <alignment horizontal="left"/>
    </xf>
    <xf numFmtId="0" fontId="0" fillId="0" borderId="0" xfId="0" applyAlignment="1"/>
    <xf numFmtId="165" fontId="94" fillId="11" borderId="0" xfId="1" applyNumberFormat="1" applyFont="1" applyFill="1" applyAlignment="1">
      <alignment horizontal="center" vertical="center"/>
    </xf>
    <xf numFmtId="165" fontId="94" fillId="12" borderId="0" xfId="1" applyNumberFormat="1" applyFont="1" applyFill="1" applyAlignment="1">
      <alignment horizontal="center" vertical="center"/>
    </xf>
    <xf numFmtId="165" fontId="94" fillId="12" borderId="0" xfId="0" applyNumberFormat="1" applyFont="1" applyFill="1" applyAlignment="1">
      <alignment horizontal="center" vertical="center"/>
    </xf>
    <xf numFmtId="165" fontId="94" fillId="58" borderId="0" xfId="1" applyNumberFormat="1" applyFont="1" applyFill="1" applyBorder="1" applyAlignment="1">
      <alignment horizontal="center" vertical="center"/>
    </xf>
    <xf numFmtId="9" fontId="95" fillId="0" borderId="0" xfId="2" applyFont="1" applyAlignment="1">
      <alignment horizontal="center" vertical="center"/>
    </xf>
    <xf numFmtId="9" fontId="95" fillId="13" borderId="0" xfId="2" applyFont="1" applyFill="1" applyAlignment="1">
      <alignment horizontal="center" vertical="center"/>
    </xf>
    <xf numFmtId="9" fontId="96" fillId="0" borderId="0" xfId="2" applyFont="1" applyAlignment="1">
      <alignment horizontal="center"/>
    </xf>
    <xf numFmtId="0" fontId="97" fillId="8" borderId="10" xfId="0" applyFont="1" applyFill="1" applyBorder="1" applyAlignment="1">
      <alignment vertical="top"/>
    </xf>
    <xf numFmtId="4" fontId="97" fillId="8" borderId="10" xfId="0" applyNumberFormat="1" applyFont="1" applyFill="1" applyBorder="1" applyAlignment="1">
      <alignment vertical="top"/>
    </xf>
    <xf numFmtId="0" fontId="97" fillId="9" borderId="10" xfId="0" applyFont="1" applyFill="1" applyBorder="1" applyAlignment="1">
      <alignment vertical="top"/>
    </xf>
    <xf numFmtId="0" fontId="97" fillId="9" borderId="0" xfId="0" applyNumberFormat="1" applyFont="1" applyFill="1" applyBorder="1" applyAlignment="1">
      <alignment vertical="top"/>
    </xf>
    <xf numFmtId="4" fontId="97" fillId="9" borderId="0" xfId="0" applyNumberFormat="1" applyFont="1" applyFill="1" applyBorder="1" applyAlignment="1">
      <alignment vertical="top"/>
    </xf>
    <xf numFmtId="0" fontId="97" fillId="8" borderId="11" xfId="0" applyFont="1" applyFill="1" applyBorder="1" applyAlignment="1">
      <alignment vertical="top"/>
    </xf>
    <xf numFmtId="0" fontId="97" fillId="8" borderId="14" xfId="0" applyFont="1" applyFill="1" applyBorder="1" applyAlignment="1">
      <alignment vertical="top"/>
    </xf>
    <xf numFmtId="171" fontId="96" fillId="0" borderId="0" xfId="57" applyNumberFormat="1" applyFont="1" applyFill="1" applyAlignment="1">
      <alignment horizontal="right"/>
    </xf>
    <xf numFmtId="0" fontId="99" fillId="0" borderId="0" xfId="57" applyFont="1" applyFill="1" applyAlignment="1"/>
    <xf numFmtId="2" fontId="97" fillId="0" borderId="10" xfId="0" applyNumberFormat="1" applyFont="1" applyFill="1" applyBorder="1" applyAlignment="1">
      <alignment horizontal="center"/>
    </xf>
    <xf numFmtId="2" fontId="97" fillId="13" borderId="10" xfId="0" applyNumberFormat="1" applyFont="1" applyFill="1" applyBorder="1" applyAlignment="1">
      <alignment horizontal="center"/>
    </xf>
    <xf numFmtId="0" fontId="75" fillId="0" borderId="0" xfId="8" applyFont="1" applyBorder="1"/>
    <xf numFmtId="0" fontId="57" fillId="57" borderId="0" xfId="8" applyFont="1" applyFill="1" applyBorder="1"/>
    <xf numFmtId="0" fontId="58" fillId="52" borderId="4" xfId="8" applyFont="1" applyFill="1" applyBorder="1"/>
    <xf numFmtId="0" fontId="58" fillId="57" borderId="4" xfId="8" applyFont="1" applyFill="1" applyBorder="1"/>
    <xf numFmtId="0" fontId="57" fillId="57" borderId="5" xfId="8" applyFont="1" applyFill="1" applyBorder="1"/>
    <xf numFmtId="0" fontId="75" fillId="13" borderId="0" xfId="8" applyFont="1" applyFill="1"/>
    <xf numFmtId="0" fontId="76" fillId="13" borderId="0" xfId="8" applyFont="1" applyFill="1" applyBorder="1"/>
    <xf numFmtId="0" fontId="57" fillId="13" borderId="0" xfId="8" applyFont="1" applyFill="1" applyBorder="1"/>
    <xf numFmtId="0" fontId="7" fillId="0" borderId="6" xfId="0" applyFont="1" applyBorder="1" applyAlignment="1">
      <alignment horizontal="center"/>
    </xf>
    <xf numFmtId="2" fontId="7" fillId="0" borderId="53" xfId="0" applyNumberFormat="1" applyFont="1" applyBorder="1" applyAlignment="1">
      <alignment horizontal="center"/>
    </xf>
    <xf numFmtId="0" fontId="82" fillId="57" borderId="0" xfId="0" applyFont="1" applyFill="1" applyBorder="1"/>
    <xf numFmtId="0" fontId="10" fillId="13" borderId="0" xfId="0" applyFont="1" applyFill="1"/>
    <xf numFmtId="9" fontId="7" fillId="13" borderId="0" xfId="2" applyFont="1" applyFill="1"/>
    <xf numFmtId="9" fontId="7" fillId="13" borderId="0" xfId="0" applyNumberFormat="1" applyFont="1" applyFill="1"/>
    <xf numFmtId="0" fontId="82" fillId="13" borderId="0" xfId="0" applyFont="1" applyFill="1"/>
    <xf numFmtId="167" fontId="7" fillId="13" borderId="0" xfId="0" applyNumberFormat="1" applyFont="1" applyFill="1"/>
    <xf numFmtId="0" fontId="82" fillId="13" borderId="0" xfId="0" applyFont="1" applyFill="1" applyBorder="1"/>
    <xf numFmtId="165" fontId="100" fillId="13" borderId="0" xfId="1" applyNumberFormat="1" applyFont="1" applyFill="1" applyAlignment="1">
      <alignment horizontal="center" vertical="center"/>
    </xf>
    <xf numFmtId="165" fontId="100" fillId="0" borderId="0" xfId="1" applyNumberFormat="1" applyFont="1" applyAlignment="1">
      <alignment horizontal="center" vertical="center"/>
    </xf>
    <xf numFmtId="9" fontId="100" fillId="0" borderId="0" xfId="2" applyFont="1" applyAlignment="1">
      <alignment horizontal="center" vertical="center"/>
    </xf>
    <xf numFmtId="9" fontId="101" fillId="0" borderId="0" xfId="2" applyFont="1"/>
    <xf numFmtId="9" fontId="101" fillId="0" borderId="0" xfId="0" applyNumberFormat="1" applyFont="1"/>
    <xf numFmtId="0" fontId="79" fillId="13" borderId="4" xfId="8" applyFont="1" applyFill="1" applyBorder="1" applyAlignment="1">
      <alignment horizontal="right"/>
    </xf>
    <xf numFmtId="0" fontId="79" fillId="13" borderId="0" xfId="8" applyFont="1" applyFill="1" applyBorder="1" applyAlignment="1">
      <alignment horizontal="right"/>
    </xf>
    <xf numFmtId="167" fontId="7" fillId="0" borderId="0" xfId="0" applyNumberFormat="1" applyFont="1" applyAlignment="1">
      <alignment horizontal="center" vertical="center"/>
    </xf>
    <xf numFmtId="167" fontId="7" fillId="14" borderId="0" xfId="0" applyNumberFormat="1" applyFont="1" applyFill="1" applyAlignment="1">
      <alignment horizontal="center" vertical="center"/>
    </xf>
    <xf numFmtId="0" fontId="79" fillId="13" borderId="0" xfId="8" applyFont="1" applyFill="1" applyBorder="1" applyAlignment="1">
      <alignment horizontal="left"/>
    </xf>
    <xf numFmtId="2" fontId="105" fillId="8" borderId="10" xfId="0" applyNumberFormat="1" applyFont="1" applyFill="1" applyBorder="1" applyAlignment="1">
      <alignment vertical="top"/>
    </xf>
    <xf numFmtId="0" fontId="105" fillId="9" borderId="10" xfId="0" applyFont="1" applyFill="1" applyBorder="1" applyAlignment="1">
      <alignment vertical="top"/>
    </xf>
    <xf numFmtId="10" fontId="9" fillId="14" borderId="0" xfId="0" applyNumberFormat="1" applyFont="1" applyFill="1"/>
    <xf numFmtId="170" fontId="56" fillId="13" borderId="0" xfId="4" applyNumberFormat="1" applyFont="1" applyFill="1" applyAlignment="1">
      <alignment horizontal="center"/>
    </xf>
    <xf numFmtId="0" fontId="55" fillId="13" borderId="0" xfId="0" applyFont="1" applyFill="1" applyAlignment="1">
      <alignment horizontal="center"/>
    </xf>
    <xf numFmtId="0" fontId="59" fillId="13" borderId="0" xfId="0" applyFont="1" applyFill="1" applyAlignment="1">
      <alignment horizontal="center"/>
    </xf>
    <xf numFmtId="170" fontId="56" fillId="13" borderId="0" xfId="0" applyNumberFormat="1" applyFont="1" applyFill="1" applyAlignment="1">
      <alignment horizontal="center"/>
    </xf>
    <xf numFmtId="15" fontId="56" fillId="13" borderId="0" xfId="0" applyNumberFormat="1" applyFont="1" applyFill="1" applyAlignment="1">
      <alignment horizontal="center"/>
    </xf>
    <xf numFmtId="0" fontId="56" fillId="13" borderId="0" xfId="0" applyFont="1" applyFill="1" applyAlignment="1">
      <alignment horizontal="center"/>
    </xf>
    <xf numFmtId="0" fontId="41" fillId="16" borderId="21" xfId="0" applyFont="1" applyFill="1" applyBorder="1" applyAlignment="1">
      <alignment horizontal="center" vertical="top" wrapText="1"/>
    </xf>
    <xf numFmtId="0" fontId="41" fillId="16" borderId="22" xfId="0" applyFont="1" applyFill="1" applyBorder="1" applyAlignment="1">
      <alignment horizontal="center" vertical="top" wrapText="1"/>
    </xf>
    <xf numFmtId="0" fontId="41" fillId="16" borderId="23" xfId="0" applyFont="1" applyFill="1" applyBorder="1" applyAlignment="1">
      <alignment horizontal="center" vertical="top" wrapText="1"/>
    </xf>
    <xf numFmtId="0" fontId="6" fillId="10" borderId="48" xfId="0" applyFont="1" applyFill="1" applyBorder="1" applyAlignment="1">
      <alignment horizontal="center" vertical="center" wrapText="1"/>
    </xf>
    <xf numFmtId="0" fontId="0" fillId="0" borderId="48" xfId="0" applyBorder="1" applyAlignment="1">
      <alignment horizontal="center" vertical="center" wrapText="1"/>
    </xf>
    <xf numFmtId="0" fontId="7" fillId="14" borderId="0" xfId="0" applyFont="1" applyFill="1" applyAlignment="1">
      <alignment horizontal="center"/>
    </xf>
    <xf numFmtId="0" fontId="85" fillId="0" borderId="0" xfId="57" applyFont="1" applyFill="1" applyAlignment="1">
      <alignment horizontal="left"/>
    </xf>
    <xf numFmtId="0" fontId="84" fillId="0" borderId="0" xfId="57" applyFill="1" applyAlignment="1"/>
    <xf numFmtId="0" fontId="30" fillId="0" borderId="11" xfId="0" applyFont="1" applyFill="1" applyBorder="1" applyAlignment="1">
      <alignment horizontal="center" wrapText="1"/>
    </xf>
    <xf numFmtId="0" fontId="0" fillId="0" borderId="14" xfId="0" applyFill="1" applyBorder="1" applyAlignment="1"/>
    <xf numFmtId="0" fontId="50" fillId="0" borderId="0" xfId="8" applyFont="1" applyFill="1" applyAlignment="1"/>
    <xf numFmtId="0" fontId="8" fillId="0" borderId="0" xfId="8" applyFill="1" applyAlignment="1"/>
    <xf numFmtId="0" fontId="51" fillId="0" borderId="0" xfId="8" applyFont="1" applyFill="1" applyAlignment="1"/>
  </cellXfs>
  <cellStyles count="84">
    <cellStyle name="20% - Accent1" xfId="29" builtinId="30" customBuiltin="1"/>
    <cellStyle name="20% - Accent1 2" xfId="59"/>
    <cellStyle name="20% - Accent2" xfId="33" builtinId="34" customBuiltin="1"/>
    <cellStyle name="20% - Accent2 2" xfId="61"/>
    <cellStyle name="20% - Accent3" xfId="37" builtinId="38" customBuiltin="1"/>
    <cellStyle name="20% - Accent3 2" xfId="63"/>
    <cellStyle name="20% - Accent4" xfId="41" builtinId="42" customBuiltin="1"/>
    <cellStyle name="20% - Accent4 2" xfId="65"/>
    <cellStyle name="20% - Accent5" xfId="45" builtinId="46" customBuiltin="1"/>
    <cellStyle name="20% - Accent5 2" xfId="67"/>
    <cellStyle name="20% - Accent6" xfId="49" builtinId="50" customBuiltin="1"/>
    <cellStyle name="20% - Accent6 2" xfId="69"/>
    <cellStyle name="40% - Accent1" xfId="30" builtinId="31" customBuiltin="1"/>
    <cellStyle name="40% - Accent1 2" xfId="60"/>
    <cellStyle name="40% - Accent2" xfId="34" builtinId="35" customBuiltin="1"/>
    <cellStyle name="40% - Accent2 2" xfId="62"/>
    <cellStyle name="40% - Accent3" xfId="38" builtinId="39" customBuiltin="1"/>
    <cellStyle name="40% - Accent3 2" xfId="64"/>
    <cellStyle name="40% - Accent4" xfId="42" builtinId="43" customBuiltin="1"/>
    <cellStyle name="40% - Accent4 2" xfId="66"/>
    <cellStyle name="40% - Accent5" xfId="46" builtinId="47" customBuiltin="1"/>
    <cellStyle name="40% - Accent5 2" xfId="68"/>
    <cellStyle name="40% - Accent6" xfId="50" builtinId="51" customBuiltin="1"/>
    <cellStyle name="40% - Accent6 2" xfId="7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cellStyle name="Comma 2 2" xfId="75"/>
    <cellStyle name="Comma 3" xfId="11"/>
    <cellStyle name="Comma 4" xfId="53"/>
    <cellStyle name="Comma 4 2" xfId="79"/>
    <cellStyle name="Comma 5" xfId="72"/>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cellStyle name="Input" xfId="20" builtinId="20" customBuiltin="1"/>
    <cellStyle name="Linked Cell" xfId="23" builtinId="24" customBuiltin="1"/>
    <cellStyle name="Neutral" xfId="19" builtinId="28" customBuiltin="1"/>
    <cellStyle name="Normal" xfId="0" builtinId="0"/>
    <cellStyle name="Normal 2" xfId="4"/>
    <cellStyle name="Normal 2 2" xfId="55"/>
    <cellStyle name="Normal 2 2 2" xfId="81"/>
    <cellStyle name="Normal 2 3" xfId="74"/>
    <cellStyle name="Normal 3" xfId="8"/>
    <cellStyle name="Normal 4" xfId="9"/>
    <cellStyle name="Normal 5" xfId="52"/>
    <cellStyle name="Normal 5 2" xfId="78"/>
    <cellStyle name="Normal 5 3" xfId="83"/>
    <cellStyle name="Normal 6" xfId="56"/>
    <cellStyle name="Normal 6 2" xfId="82"/>
    <cellStyle name="Normal 7" xfId="57"/>
    <cellStyle name="Normal 8" xfId="71"/>
    <cellStyle name="Normal 9" xfId="58"/>
    <cellStyle name="Note 2" xfId="54"/>
    <cellStyle name="Note 2 2" xfId="80"/>
    <cellStyle name="Output" xfId="21" builtinId="21" customBuiltin="1"/>
    <cellStyle name="Percent" xfId="2" builtinId="5"/>
    <cellStyle name="Percent 2" xfId="6"/>
    <cellStyle name="Percent 2 2" xfId="76"/>
    <cellStyle name="Percent 3" xfId="10"/>
    <cellStyle name="Percent 3 2" xfId="77"/>
    <cellStyle name="Percent 4" xfId="73"/>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xdr:row>
      <xdr:rowOff>57150</xdr:rowOff>
    </xdr:from>
    <xdr:to>
      <xdr:col>7</xdr:col>
      <xdr:colOff>80102</xdr:colOff>
      <xdr:row>18</xdr:row>
      <xdr:rowOff>81684</xdr:rowOff>
    </xdr:to>
    <xdr:pic>
      <xdr:nvPicPr>
        <xdr:cNvPr id="2" name="Picture 1" descr="LEI Logo.tif"/>
        <xdr:cNvPicPr>
          <a:picLocks noChangeAspect="1"/>
        </xdr:cNvPicPr>
      </xdr:nvPicPr>
      <xdr:blipFill>
        <a:blip xmlns:r="http://schemas.openxmlformats.org/officeDocument/2006/relationships" r:embed="rId1" cstate="print"/>
        <a:stretch>
          <a:fillRect/>
        </a:stretch>
      </xdr:blipFill>
      <xdr:spPr>
        <a:xfrm>
          <a:off x="3429000" y="2676525"/>
          <a:ext cx="651602" cy="929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5.statcan.gc.ca/cansim/a03?searchTypeByValue=1&amp;lang=eng&amp;pattern=2810063"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data.bls.gov/timeseries/CIU2024400000000I" TargetMode="External"/><Relationship Id="rId1" Type="http://schemas.openxmlformats.org/officeDocument/2006/relationships/hyperlink" Target="http://www.bea.gov/iTable/iTable.cfm?ReqID=9&amp;step=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showGridLines="0" tabSelected="1" view="pageLayout" zoomScaleNormal="100" workbookViewId="0">
      <selection activeCell="I31" sqref="I31"/>
    </sheetView>
  </sheetViews>
  <sheetFormatPr defaultRowHeight="13.5"/>
  <cols>
    <col min="1" max="13" width="8.5703125" style="1" customWidth="1"/>
    <col min="14" max="16384" width="9.140625" style="1"/>
  </cols>
  <sheetData>
    <row r="3" spans="1:13" ht="20.25">
      <c r="A3" s="422" t="s">
        <v>254</v>
      </c>
      <c r="B3" s="422"/>
      <c r="C3" s="422"/>
      <c r="D3" s="422"/>
      <c r="E3" s="422"/>
      <c r="F3" s="422"/>
      <c r="G3" s="422"/>
      <c r="H3" s="422"/>
      <c r="I3" s="422"/>
      <c r="J3" s="422"/>
      <c r="K3" s="422"/>
      <c r="L3" s="422"/>
      <c r="M3" s="422"/>
    </row>
    <row r="4" spans="1:13" ht="15.75">
      <c r="A4" s="425"/>
      <c r="B4" s="426"/>
      <c r="C4" s="426"/>
      <c r="D4" s="426"/>
      <c r="E4" s="426"/>
      <c r="F4" s="426"/>
      <c r="G4" s="426"/>
      <c r="H4" s="426"/>
      <c r="I4" s="426"/>
      <c r="J4" s="426"/>
      <c r="K4" s="426"/>
      <c r="L4" s="426"/>
      <c r="M4" s="426"/>
    </row>
    <row r="5" spans="1:13" ht="16.5">
      <c r="A5" s="182"/>
      <c r="B5" s="183"/>
      <c r="C5" s="183"/>
      <c r="D5" s="183"/>
      <c r="E5" s="183"/>
      <c r="F5" s="183"/>
      <c r="G5" s="183"/>
      <c r="H5" s="183"/>
      <c r="I5" s="183"/>
      <c r="J5" s="183"/>
      <c r="K5" s="182"/>
      <c r="L5" s="182"/>
      <c r="M5" s="182"/>
    </row>
    <row r="6" spans="1:13" ht="15.75">
      <c r="A6" s="423" t="s">
        <v>251</v>
      </c>
      <c r="B6" s="423"/>
      <c r="C6" s="423"/>
      <c r="D6" s="423"/>
      <c r="E6" s="423"/>
      <c r="F6" s="423"/>
      <c r="G6" s="423"/>
      <c r="H6" s="423"/>
      <c r="I6" s="423"/>
      <c r="J6" s="423"/>
      <c r="K6" s="423"/>
      <c r="L6" s="423"/>
      <c r="M6" s="423"/>
    </row>
    <row r="7" spans="1:13" ht="15.75">
      <c r="A7" s="423" t="s">
        <v>252</v>
      </c>
      <c r="B7" s="423"/>
      <c r="C7" s="423"/>
      <c r="D7" s="423"/>
      <c r="E7" s="423"/>
      <c r="F7" s="423"/>
      <c r="G7" s="423"/>
      <c r="H7" s="423"/>
      <c r="I7" s="423"/>
      <c r="J7" s="423"/>
      <c r="K7" s="423"/>
      <c r="L7" s="423"/>
      <c r="M7" s="423"/>
    </row>
    <row r="8" spans="1:13" ht="15.75">
      <c r="A8" s="423" t="s">
        <v>253</v>
      </c>
      <c r="B8" s="423"/>
      <c r="C8" s="423"/>
      <c r="D8" s="423"/>
      <c r="E8" s="423"/>
      <c r="F8" s="423"/>
      <c r="G8" s="423"/>
      <c r="H8" s="423"/>
      <c r="I8" s="423"/>
      <c r="J8" s="423"/>
      <c r="K8" s="423"/>
      <c r="L8" s="423"/>
      <c r="M8" s="423"/>
    </row>
    <row r="9" spans="1:13" ht="15.75">
      <c r="A9" s="189"/>
      <c r="B9" s="189"/>
      <c r="C9" s="189"/>
      <c r="D9" s="189"/>
      <c r="E9" s="189"/>
      <c r="F9" s="189"/>
      <c r="G9" s="189"/>
      <c r="H9" s="189"/>
      <c r="I9" s="189"/>
      <c r="J9" s="189"/>
      <c r="K9" s="189"/>
      <c r="L9" s="189"/>
      <c r="M9" s="189"/>
    </row>
    <row r="10" spans="1:13" ht="15.75">
      <c r="A10" s="423" t="s">
        <v>249</v>
      </c>
      <c r="B10" s="423"/>
      <c r="C10" s="423"/>
      <c r="D10" s="423"/>
      <c r="E10" s="423"/>
      <c r="F10" s="423"/>
      <c r="G10" s="423"/>
      <c r="H10" s="423"/>
      <c r="I10" s="423"/>
      <c r="J10" s="423"/>
      <c r="K10" s="423"/>
      <c r="L10" s="423"/>
      <c r="M10" s="423"/>
    </row>
    <row r="11" spans="1:13" ht="15.75">
      <c r="A11" s="423" t="s">
        <v>250</v>
      </c>
      <c r="B11" s="423"/>
      <c r="C11" s="423"/>
      <c r="D11" s="423"/>
      <c r="E11" s="423"/>
      <c r="F11" s="423"/>
      <c r="G11" s="423"/>
      <c r="H11" s="423"/>
      <c r="I11" s="423"/>
      <c r="J11" s="423"/>
      <c r="K11" s="423"/>
      <c r="L11" s="423"/>
      <c r="M11" s="423"/>
    </row>
    <row r="12" spans="1:13" ht="15.75">
      <c r="A12" s="423" t="s">
        <v>310</v>
      </c>
      <c r="B12" s="423"/>
      <c r="C12" s="423"/>
      <c r="D12" s="423"/>
      <c r="E12" s="423"/>
      <c r="F12" s="423"/>
      <c r="G12" s="423"/>
      <c r="H12" s="423"/>
      <c r="I12" s="423"/>
      <c r="J12" s="423"/>
      <c r="K12" s="423"/>
      <c r="L12" s="423"/>
      <c r="M12" s="423"/>
    </row>
    <row r="13" spans="1:13" ht="16.5">
      <c r="A13" s="182"/>
      <c r="B13" s="182"/>
      <c r="C13" s="182"/>
      <c r="D13" s="182"/>
      <c r="E13" s="182"/>
      <c r="F13" s="182"/>
      <c r="G13" s="182"/>
      <c r="H13" s="182"/>
      <c r="I13" s="182"/>
      <c r="J13" s="182"/>
      <c r="K13" s="182"/>
      <c r="L13" s="182"/>
      <c r="M13" s="182"/>
    </row>
    <row r="14" spans="1:13" ht="15.75">
      <c r="A14" s="424"/>
      <c r="B14" s="424"/>
      <c r="C14" s="424"/>
      <c r="D14" s="424"/>
      <c r="E14" s="424"/>
      <c r="F14" s="424"/>
      <c r="G14" s="424"/>
      <c r="H14" s="424"/>
      <c r="I14" s="424"/>
      <c r="J14" s="424"/>
      <c r="K14" s="424"/>
      <c r="L14" s="424"/>
      <c r="M14" s="424"/>
    </row>
    <row r="16" spans="1:13" ht="15">
      <c r="C16" s="181"/>
      <c r="E16" s="181"/>
    </row>
    <row r="20" spans="1:13" ht="15.75">
      <c r="A20" s="421">
        <v>42384</v>
      </c>
      <c r="B20" s="421"/>
      <c r="C20" s="421"/>
      <c r="D20" s="421"/>
      <c r="E20" s="421"/>
      <c r="F20" s="421"/>
      <c r="G20" s="421"/>
      <c r="H20" s="421"/>
      <c r="I20" s="421"/>
      <c r="J20" s="421"/>
      <c r="K20" s="421"/>
      <c r="L20" s="421"/>
      <c r="M20" s="421"/>
    </row>
    <row r="21" spans="1:13">
      <c r="F21" s="190"/>
    </row>
    <row r="24" spans="1:13" ht="15">
      <c r="C24" s="181"/>
    </row>
  </sheetData>
  <mergeCells count="10">
    <mergeCell ref="A20:M20"/>
    <mergeCell ref="A3:M3"/>
    <mergeCell ref="A10:M10"/>
    <mergeCell ref="A14:M14"/>
    <mergeCell ref="A6:M6"/>
    <mergeCell ref="A7:M7"/>
    <mergeCell ref="A8:M8"/>
    <mergeCell ref="A4:M4"/>
    <mergeCell ref="A11:M11"/>
    <mergeCell ref="A12:M12"/>
  </mergeCells>
  <pageMargins left="0.7" right="0.7" top="0.75" bottom="0.75" header="0.3" footer="0.3"/>
  <pageSetup scale="83" orientation="landscape" r:id="rId1"/>
  <headerFooter>
    <oddHeader>&amp;CFiled: 2016-10-26, EB-2016-0152
Exhibit L, Tab 11.1 Schedule 1 Staff-246
Attachment 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G36"/>
  <sheetViews>
    <sheetView showGridLines="0" view="pageLayout" zoomScaleNormal="100" workbookViewId="0">
      <selection activeCell="I31" sqref="I31"/>
    </sheetView>
  </sheetViews>
  <sheetFormatPr defaultRowHeight="12.75"/>
  <cols>
    <col min="1" max="1" width="2.85546875" customWidth="1"/>
    <col min="2" max="2" width="16.7109375" customWidth="1"/>
    <col min="3" max="5" width="23.7109375" customWidth="1"/>
    <col min="6" max="6" width="27.5703125" bestFit="1" customWidth="1"/>
    <col min="7" max="7" width="27" customWidth="1"/>
  </cols>
  <sheetData>
    <row r="2" spans="2:7" ht="15">
      <c r="B2" s="128" t="s">
        <v>152</v>
      </c>
    </row>
    <row r="3" spans="2:7" ht="15">
      <c r="B3" s="129"/>
      <c r="C3" s="130" t="s">
        <v>25</v>
      </c>
      <c r="D3" s="130" t="s">
        <v>29</v>
      </c>
      <c r="E3" s="130" t="s">
        <v>30</v>
      </c>
      <c r="F3" s="130" t="s">
        <v>153</v>
      </c>
      <c r="G3" s="130" t="s">
        <v>154</v>
      </c>
    </row>
    <row r="4" spans="2:7" ht="13.5">
      <c r="B4" s="14">
        <v>2002</v>
      </c>
      <c r="C4" s="410">
        <v>0.66777544865887539</v>
      </c>
      <c r="D4" s="410">
        <v>0.92625556472316284</v>
      </c>
      <c r="E4" s="410">
        <v>7.3744435276837161E-2</v>
      </c>
      <c r="F4" s="411">
        <v>4.9244723353085336E-2</v>
      </c>
      <c r="G4" s="412">
        <v>2.4499711923751825E-2</v>
      </c>
    </row>
    <row r="5" spans="2:7" ht="13.5">
      <c r="B5" s="14">
        <v>2003</v>
      </c>
      <c r="C5" s="410">
        <v>0.64380931674316244</v>
      </c>
      <c r="D5" s="410">
        <v>0.93768893688286992</v>
      </c>
      <c r="E5" s="410">
        <v>6.2311063117130083E-2</v>
      </c>
      <c r="F5" s="411">
        <v>4.0116442970979591E-2</v>
      </c>
      <c r="G5" s="412">
        <v>2.2194620146150493E-2</v>
      </c>
    </row>
    <row r="6" spans="2:7" ht="13.5">
      <c r="B6" s="14">
        <v>2004</v>
      </c>
      <c r="C6" s="410">
        <v>0.66873352371759109</v>
      </c>
      <c r="D6" s="410">
        <v>0.92941067353388684</v>
      </c>
      <c r="E6" s="410">
        <v>7.0589326466113156E-2</v>
      </c>
      <c r="F6" s="411">
        <v>4.7205449024535266E-2</v>
      </c>
      <c r="G6" s="412">
        <v>2.338387744157789E-2</v>
      </c>
    </row>
    <row r="7" spans="2:7" ht="13.5">
      <c r="B7" s="14">
        <v>2005</v>
      </c>
      <c r="C7" s="410">
        <v>0.64248587164757964</v>
      </c>
      <c r="D7" s="410">
        <v>0.92311591150972294</v>
      </c>
      <c r="E7" s="410">
        <v>7.6884088490277058E-2</v>
      </c>
      <c r="F7" s="411">
        <v>4.9396940609505301E-2</v>
      </c>
      <c r="G7" s="412">
        <v>2.7487147880771758E-2</v>
      </c>
    </row>
    <row r="8" spans="2:7" ht="13.5">
      <c r="B8" s="14">
        <v>2006</v>
      </c>
      <c r="C8" s="410">
        <v>0.64289946281338795</v>
      </c>
      <c r="D8" s="410">
        <v>0.88951578051269919</v>
      </c>
      <c r="E8" s="410">
        <v>0.11048421948730081</v>
      </c>
      <c r="F8" s="411">
        <v>7.1030245357742133E-2</v>
      </c>
      <c r="G8" s="412">
        <v>3.9453974129558672E-2</v>
      </c>
    </row>
    <row r="9" spans="2:7" ht="13.5">
      <c r="B9" s="14">
        <v>2007</v>
      </c>
      <c r="C9" s="410">
        <v>0.64393380123538724</v>
      </c>
      <c r="D9" s="410">
        <v>0.88103780657756037</v>
      </c>
      <c r="E9" s="410">
        <v>0.11896219342243963</v>
      </c>
      <c r="F9" s="411">
        <v>7.6603777413810928E-2</v>
      </c>
      <c r="G9" s="412">
        <v>4.2358416008628705E-2</v>
      </c>
    </row>
    <row r="10" spans="2:7" ht="13.5">
      <c r="B10" s="14">
        <v>2008</v>
      </c>
      <c r="C10" s="410">
        <v>0.594935946766188</v>
      </c>
      <c r="D10" s="410">
        <v>0.8859597182500708</v>
      </c>
      <c r="E10" s="410">
        <v>0.1140402817499292</v>
      </c>
      <c r="F10" s="411">
        <v>6.784666299237696E-2</v>
      </c>
      <c r="G10" s="412">
        <v>4.6193618757552235E-2</v>
      </c>
    </row>
    <row r="11" spans="2:7" ht="13.5">
      <c r="B11" s="14">
        <v>2009</v>
      </c>
      <c r="C11" s="410">
        <v>0.61660866967782046</v>
      </c>
      <c r="D11" s="410">
        <v>0.86458828679577437</v>
      </c>
      <c r="E11" s="410">
        <v>0.13541171320422563</v>
      </c>
      <c r="F11" s="411">
        <v>8.3496036337652124E-2</v>
      </c>
      <c r="G11" s="412">
        <v>5.1915676866573501E-2</v>
      </c>
    </row>
    <row r="12" spans="2:7" ht="13.5">
      <c r="B12" s="14">
        <v>2010</v>
      </c>
      <c r="C12" s="410">
        <v>0.58156976235578917</v>
      </c>
      <c r="D12" s="410">
        <v>0.83897354027462345</v>
      </c>
      <c r="E12" s="410">
        <v>0.16102645972537655</v>
      </c>
      <c r="F12" s="411">
        <v>9.364811991548129E-2</v>
      </c>
      <c r="G12" s="412">
        <v>6.7378339809895257E-2</v>
      </c>
    </row>
    <row r="13" spans="2:7" ht="13.5">
      <c r="B13" s="14">
        <v>2011</v>
      </c>
      <c r="C13" s="410">
        <v>0.61737056258631107</v>
      </c>
      <c r="D13" s="410">
        <v>0.83728341584716004</v>
      </c>
      <c r="E13" s="410">
        <v>0.16271658415283996</v>
      </c>
      <c r="F13" s="411">
        <v>0.10045642910056163</v>
      </c>
      <c r="G13" s="412">
        <v>6.2260155052278332E-2</v>
      </c>
    </row>
    <row r="14" spans="2:7" ht="13.5">
      <c r="B14" s="14">
        <v>2012</v>
      </c>
      <c r="C14" s="410">
        <v>0.63640139419158748</v>
      </c>
      <c r="D14" s="410">
        <v>0.80722889888761684</v>
      </c>
      <c r="E14" s="410">
        <v>0.19277110111238316</v>
      </c>
      <c r="F14" s="411">
        <v>0.12267979750776813</v>
      </c>
      <c r="G14" s="412">
        <v>7.0091303604615032E-2</v>
      </c>
    </row>
    <row r="15" spans="2:7" ht="13.5">
      <c r="B15" s="14">
        <v>2013</v>
      </c>
      <c r="C15" s="410">
        <v>0.66702996976733997</v>
      </c>
      <c r="D15" s="410">
        <v>0.83799133100064704</v>
      </c>
      <c r="E15" s="410">
        <v>0.16200866899935296</v>
      </c>
      <c r="F15" s="411">
        <v>0.10806463758468539</v>
      </c>
      <c r="G15" s="412">
        <v>5.3944031414667568E-2</v>
      </c>
    </row>
    <row r="16" spans="2:7" ht="13.5">
      <c r="B16" s="14">
        <v>2014</v>
      </c>
      <c r="C16" s="410">
        <v>0.63773534730347836</v>
      </c>
      <c r="D16" s="410">
        <v>0.85648327835502203</v>
      </c>
      <c r="E16" s="410">
        <v>0.14351672164497797</v>
      </c>
      <c r="F16" s="411">
        <v>9.1525686322116662E-2</v>
      </c>
      <c r="G16" s="412">
        <v>5.1991035322861312E-2</v>
      </c>
    </row>
    <row r="17" spans="2:7" ht="15">
      <c r="B17" s="131" t="s">
        <v>276</v>
      </c>
      <c r="C17" s="368">
        <f>AVERAGE(C4:C16)</f>
        <v>0.63548377518957666</v>
      </c>
      <c r="D17" s="133">
        <f t="shared" ref="D17:G17" si="0">AVERAGE(D4:D16)</f>
        <v>0.87811793408852445</v>
      </c>
      <c r="E17" s="133">
        <f t="shared" si="0"/>
        <v>0.12188206591147564</v>
      </c>
      <c r="F17" s="133">
        <f t="shared" si="0"/>
        <v>7.7024226806946219E-2</v>
      </c>
      <c r="G17" s="133">
        <f t="shared" si="0"/>
        <v>4.4857839104529423E-2</v>
      </c>
    </row>
    <row r="19" spans="2:7" ht="15">
      <c r="B19" s="128" t="s">
        <v>155</v>
      </c>
    </row>
    <row r="20" spans="2:7" ht="89.25">
      <c r="B20" s="129"/>
      <c r="C20" s="134" t="s">
        <v>156</v>
      </c>
      <c r="D20" s="134" t="s">
        <v>157</v>
      </c>
      <c r="E20" s="134" t="s">
        <v>158</v>
      </c>
    </row>
    <row r="21" spans="2:7" ht="13.5">
      <c r="B21" s="14">
        <v>2002</v>
      </c>
      <c r="C21" s="17"/>
      <c r="E21" s="17"/>
    </row>
    <row r="22" spans="2:7" ht="13.5">
      <c r="B22" s="14">
        <v>2003</v>
      </c>
      <c r="C22" s="17"/>
      <c r="E22" s="17"/>
    </row>
    <row r="23" spans="2:7" ht="13.5">
      <c r="B23" s="14">
        <v>2004</v>
      </c>
      <c r="C23" s="377">
        <v>0.41718373239506584</v>
      </c>
      <c r="D23" s="377">
        <v>0.44179837176842579</v>
      </c>
      <c r="E23" s="377">
        <v>0.60445579215659795</v>
      </c>
    </row>
    <row r="24" spans="2:7" ht="13.5">
      <c r="B24" s="14">
        <v>2005</v>
      </c>
      <c r="C24" s="377">
        <v>0.375460379497777</v>
      </c>
      <c r="D24" s="377">
        <v>0.44733446876897659</v>
      </c>
      <c r="E24" s="377">
        <v>0.6299519507624024</v>
      </c>
    </row>
    <row r="25" spans="2:7" ht="13.5">
      <c r="B25" s="14">
        <v>2006</v>
      </c>
      <c r="C25" s="377">
        <v>0.36784439365935206</v>
      </c>
      <c r="D25" s="377">
        <v>0.44176306519639369</v>
      </c>
      <c r="E25" s="377">
        <v>0.60894898592160929</v>
      </c>
    </row>
    <row r="26" spans="2:7" ht="13.5">
      <c r="B26" s="14">
        <v>2007</v>
      </c>
      <c r="C26" s="377">
        <v>0.37070371963555387</v>
      </c>
      <c r="D26" s="377">
        <v>0.46297429401059442</v>
      </c>
      <c r="E26" s="377">
        <v>0.61306700211317211</v>
      </c>
    </row>
    <row r="27" spans="2:7" ht="13.5">
      <c r="B27" s="14">
        <v>2008</v>
      </c>
      <c r="C27" s="377">
        <v>0.3621100553136124</v>
      </c>
      <c r="D27" s="377">
        <v>0.47215289303209385</v>
      </c>
      <c r="E27" s="377">
        <v>0.60069739532944366</v>
      </c>
    </row>
    <row r="28" spans="2:7" ht="13.5">
      <c r="B28" s="14">
        <v>2009</v>
      </c>
      <c r="C28" s="377">
        <v>0.38307467381159549</v>
      </c>
      <c r="D28" s="377">
        <v>0.46812485059343611</v>
      </c>
      <c r="E28" s="377">
        <v>0.62115919688781018</v>
      </c>
    </row>
    <row r="29" spans="2:7" ht="13.5">
      <c r="B29" s="14">
        <v>2010</v>
      </c>
      <c r="C29" s="377">
        <v>0.42271774215187613</v>
      </c>
      <c r="D29" s="377">
        <v>0.51687571921571984</v>
      </c>
      <c r="E29" s="377">
        <v>0.65393733292566514</v>
      </c>
    </row>
    <row r="30" spans="2:7" ht="13.5">
      <c r="B30" s="14">
        <v>2011</v>
      </c>
      <c r="C30" s="377">
        <v>0.41922819849030007</v>
      </c>
      <c r="D30" s="377">
        <v>0.50551187305390499</v>
      </c>
      <c r="E30" s="377">
        <v>0.63266651684835484</v>
      </c>
    </row>
    <row r="31" spans="2:7" ht="13.5">
      <c r="B31" s="14">
        <v>2012</v>
      </c>
      <c r="C31" s="377">
        <v>0.46040267391162965</v>
      </c>
      <c r="D31" s="377">
        <v>0.52994761485958175</v>
      </c>
      <c r="E31" s="377">
        <v>0.65340959143339117</v>
      </c>
      <c r="F31" s="362"/>
    </row>
    <row r="32" spans="2:7" ht="13.5">
      <c r="B32" s="14">
        <v>2013</v>
      </c>
      <c r="C32" s="378">
        <f t="shared" ref="C32:D33" si="1">C31</f>
        <v>0.46040267391162965</v>
      </c>
      <c r="D32" s="378">
        <f t="shared" si="1"/>
        <v>0.52994761485958175</v>
      </c>
      <c r="E32" s="379">
        <v>0.63782007263824037</v>
      </c>
    </row>
    <row r="33" spans="2:5" ht="13.5">
      <c r="B33" s="14">
        <v>2014</v>
      </c>
      <c r="C33" s="378">
        <f t="shared" si="1"/>
        <v>0.46040267391162965</v>
      </c>
      <c r="D33" s="378">
        <f t="shared" si="1"/>
        <v>0.52994761485958175</v>
      </c>
      <c r="E33" s="379">
        <v>0.641921054308773</v>
      </c>
    </row>
    <row r="34" spans="2:5" ht="15">
      <c r="B34" s="131" t="s">
        <v>276</v>
      </c>
      <c r="C34" s="132">
        <f t="shared" ref="C34:D34" si="2">AVERAGE(C23:C33)</f>
        <v>0.40904826515363835</v>
      </c>
      <c r="D34" s="132">
        <f t="shared" si="2"/>
        <v>0.48603439820166283</v>
      </c>
      <c r="E34" s="132">
        <f>AVERAGE(E23:E33)</f>
        <v>0.62709408102958719</v>
      </c>
    </row>
    <row r="36" spans="2:5">
      <c r="B36" s="18" t="s">
        <v>592</v>
      </c>
    </row>
  </sheetData>
  <pageMargins left="0.7" right="0.7" top="0.75" bottom="0.75" header="0.3" footer="0.3"/>
  <pageSetup scale="83" orientation="landscape" r:id="rId1"/>
  <headerFooter>
    <oddHeader>&amp;CFiled: 2016-10-26, EB-2016-0152
Exhibit L, Tab 11.1 Schedule 1 Staff-246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35"/>
  <sheetViews>
    <sheetView showGridLines="0" view="pageLayout" topLeftCell="B1" zoomScaleNormal="70" zoomScaleSheetLayoutView="55" workbookViewId="0">
      <selection activeCell="I31" sqref="I31"/>
    </sheetView>
  </sheetViews>
  <sheetFormatPr defaultRowHeight="12.75"/>
  <cols>
    <col min="2" max="2" width="10.140625" customWidth="1"/>
    <col min="13" max="13" width="10" bestFit="1" customWidth="1"/>
    <col min="17" max="18" width="9.140625" style="33"/>
  </cols>
  <sheetData>
    <row r="1" spans="1:138" s="26" customFormat="1" ht="15.75">
      <c r="A1" s="23"/>
      <c r="B1" s="23" t="s">
        <v>36</v>
      </c>
      <c r="C1" s="23"/>
      <c r="D1" s="23"/>
      <c r="E1" s="23"/>
      <c r="F1" s="23"/>
      <c r="G1" s="23"/>
      <c r="H1" s="23"/>
      <c r="I1" s="23"/>
      <c r="J1" s="23"/>
      <c r="K1" s="23"/>
      <c r="L1" s="23"/>
      <c r="M1" s="23"/>
      <c r="N1" s="23"/>
      <c r="O1" s="23"/>
      <c r="P1" s="23"/>
      <c r="Q1" s="24"/>
      <c r="R1" s="25"/>
      <c r="S1" s="23"/>
      <c r="T1" s="23"/>
      <c r="U1" s="23"/>
    </row>
    <row r="2" spans="1:138" s="30" customFormat="1" ht="15.75">
      <c r="A2" s="27"/>
      <c r="B2" s="27"/>
      <c r="C2" s="27"/>
      <c r="D2" s="27"/>
      <c r="E2" s="27"/>
      <c r="F2" s="27"/>
      <c r="G2" s="27"/>
      <c r="H2" s="27"/>
      <c r="I2" s="27"/>
      <c r="J2" s="27"/>
      <c r="K2" s="27"/>
      <c r="L2" s="27"/>
      <c r="M2" s="27"/>
      <c r="N2" s="27"/>
      <c r="O2" s="27"/>
      <c r="P2" s="27"/>
      <c r="Q2" s="28"/>
      <c r="R2" s="29"/>
      <c r="S2" s="27"/>
      <c r="T2" s="27"/>
      <c r="U2" s="27"/>
    </row>
    <row r="3" spans="1:138">
      <c r="A3" s="31" t="s">
        <v>37</v>
      </c>
      <c r="Q3" s="32"/>
    </row>
    <row r="4" spans="1:138">
      <c r="A4" s="31"/>
      <c r="Q4" s="32"/>
    </row>
    <row r="5" spans="1:138" s="35" customFormat="1" ht="13.5">
      <c r="A5" s="31"/>
      <c r="B5" s="34" t="s">
        <v>38</v>
      </c>
      <c r="Q5" s="36"/>
      <c r="R5" s="37"/>
      <c r="S5" s="34" t="s">
        <v>38</v>
      </c>
    </row>
    <row r="6" spans="1:138" s="35" customFormat="1" ht="19.5">
      <c r="A6" s="38"/>
      <c r="B6" s="39" t="s">
        <v>39</v>
      </c>
      <c r="Q6" s="36"/>
      <c r="R6" s="37"/>
      <c r="S6" s="39" t="s">
        <v>40</v>
      </c>
    </row>
    <row r="7" spans="1:138" s="35" customFormat="1">
      <c r="A7"/>
      <c r="B7" s="40" t="s">
        <v>41</v>
      </c>
      <c r="Q7" s="36"/>
      <c r="R7" s="37"/>
      <c r="S7" s="40" t="s">
        <v>42</v>
      </c>
    </row>
    <row r="8" spans="1:138">
      <c r="B8" s="41" t="s">
        <v>43</v>
      </c>
      <c r="Q8" s="32"/>
      <c r="S8" s="41" t="s">
        <v>44</v>
      </c>
    </row>
    <row r="9" spans="1:138">
      <c r="B9" s="42" t="s">
        <v>110</v>
      </c>
      <c r="Q9" s="32"/>
      <c r="S9" s="42" t="s">
        <v>110</v>
      </c>
    </row>
    <row r="10" spans="1:138">
      <c r="B10" s="42" t="s">
        <v>45</v>
      </c>
      <c r="Q10" s="32"/>
      <c r="S10" s="42" t="s">
        <v>45</v>
      </c>
    </row>
    <row r="11" spans="1:138">
      <c r="B11" s="42" t="s">
        <v>46</v>
      </c>
      <c r="Q11" s="32"/>
      <c r="S11" s="42" t="s">
        <v>46</v>
      </c>
    </row>
    <row r="12" spans="1:138">
      <c r="B12" s="42" t="s">
        <v>304</v>
      </c>
      <c r="Q12" s="32"/>
      <c r="S12" s="42" t="s">
        <v>109</v>
      </c>
    </row>
    <row r="13" spans="1:138">
      <c r="B13" s="42"/>
      <c r="Q13" s="32"/>
      <c r="S13" s="42"/>
    </row>
    <row r="14" spans="1:138" ht="13.5" thickBot="1">
      <c r="B14" s="43" t="s">
        <v>47</v>
      </c>
      <c r="Q14" s="32"/>
      <c r="S14" s="43" t="s">
        <v>48</v>
      </c>
    </row>
    <row r="15" spans="1:138" ht="13.5" thickBot="1">
      <c r="B15" s="44">
        <v>2001</v>
      </c>
      <c r="C15" s="44">
        <v>2002</v>
      </c>
      <c r="D15" s="44">
        <v>2003</v>
      </c>
      <c r="E15" s="44">
        <v>2004</v>
      </c>
      <c r="F15" s="44">
        <v>2005</v>
      </c>
      <c r="G15" s="44">
        <v>2006</v>
      </c>
      <c r="H15" s="44">
        <v>2007</v>
      </c>
      <c r="I15" s="44">
        <v>2008</v>
      </c>
      <c r="J15" s="44">
        <v>2009</v>
      </c>
      <c r="K15" s="44">
        <v>2010</v>
      </c>
      <c r="L15" s="44">
        <v>2011</v>
      </c>
      <c r="M15" s="44">
        <v>2012</v>
      </c>
      <c r="N15" s="44">
        <v>2013</v>
      </c>
      <c r="O15" s="44">
        <v>2014</v>
      </c>
      <c r="Q15" s="32"/>
      <c r="S15" s="45">
        <v>1991</v>
      </c>
      <c r="T15" s="45">
        <v>1991</v>
      </c>
      <c r="U15" s="45">
        <v>1991</v>
      </c>
      <c r="V15" s="45">
        <v>1991</v>
      </c>
      <c r="W15" s="45">
        <v>1991</v>
      </c>
      <c r="X15" s="45">
        <v>1991</v>
      </c>
      <c r="Y15" s="45">
        <v>1991</v>
      </c>
      <c r="Z15" s="45">
        <v>1991</v>
      </c>
      <c r="AA15" s="45">
        <v>1991</v>
      </c>
      <c r="AB15" s="45">
        <v>1991</v>
      </c>
      <c r="AC15" s="45">
        <v>1991</v>
      </c>
      <c r="AD15" s="45">
        <v>1991</v>
      </c>
      <c r="AE15" s="45">
        <v>1992</v>
      </c>
      <c r="AF15" s="45">
        <v>1992</v>
      </c>
      <c r="AG15" s="45">
        <v>1992</v>
      </c>
      <c r="AH15" s="45">
        <v>1992</v>
      </c>
      <c r="AI15" s="45">
        <v>1992</v>
      </c>
      <c r="AJ15" s="45">
        <v>1992</v>
      </c>
      <c r="AK15" s="45">
        <v>1992</v>
      </c>
      <c r="AL15" s="45">
        <v>1992</v>
      </c>
      <c r="AM15" s="45">
        <v>1992</v>
      </c>
      <c r="AN15" s="45">
        <v>1992</v>
      </c>
      <c r="AO15" s="45">
        <v>1992</v>
      </c>
      <c r="AP15" s="45">
        <v>1992</v>
      </c>
      <c r="AQ15" s="45">
        <v>1993</v>
      </c>
      <c r="AR15" s="45">
        <v>1993</v>
      </c>
      <c r="AS15" s="45">
        <v>1993</v>
      </c>
      <c r="AT15" s="45">
        <v>1993</v>
      </c>
      <c r="AU15" s="45">
        <v>1993</v>
      </c>
      <c r="AV15" s="45">
        <v>1993</v>
      </c>
      <c r="AW15" s="45">
        <v>1993</v>
      </c>
      <c r="AX15" s="45">
        <v>1993</v>
      </c>
      <c r="AY15" s="45">
        <v>1993</v>
      </c>
      <c r="AZ15" s="45">
        <v>1993</v>
      </c>
      <c r="BA15" s="45">
        <v>1993</v>
      </c>
      <c r="BB15" s="45">
        <v>1993</v>
      </c>
      <c r="BC15" s="45">
        <v>1994</v>
      </c>
      <c r="BD15" s="45">
        <v>1994</v>
      </c>
      <c r="BE15" s="45">
        <v>1994</v>
      </c>
      <c r="BF15" s="45">
        <v>1994</v>
      </c>
      <c r="BG15" s="45">
        <v>1994</v>
      </c>
      <c r="BH15" s="45">
        <v>1994</v>
      </c>
      <c r="BI15" s="45">
        <v>1994</v>
      </c>
      <c r="BJ15" s="45">
        <v>1994</v>
      </c>
      <c r="BK15" s="45">
        <v>1994</v>
      </c>
      <c r="BL15" s="45">
        <v>1994</v>
      </c>
      <c r="BM15" s="45">
        <v>1994</v>
      </c>
      <c r="BN15" s="45">
        <v>1994</v>
      </c>
      <c r="BO15" s="45">
        <v>1995</v>
      </c>
      <c r="BP15" s="45">
        <v>1995</v>
      </c>
      <c r="BQ15" s="45">
        <v>1995</v>
      </c>
      <c r="BR15" s="45">
        <v>1995</v>
      </c>
      <c r="BS15" s="45">
        <v>1995</v>
      </c>
      <c r="BT15" s="45">
        <v>1995</v>
      </c>
      <c r="BU15" s="45">
        <v>1995</v>
      </c>
      <c r="BV15" s="45">
        <v>1995</v>
      </c>
      <c r="BW15" s="45">
        <v>1995</v>
      </c>
      <c r="BX15" s="45">
        <v>1995</v>
      </c>
      <c r="BY15" s="45">
        <v>1995</v>
      </c>
      <c r="BZ15" s="45">
        <v>1995</v>
      </c>
      <c r="CA15" s="45">
        <v>1996</v>
      </c>
      <c r="CB15" s="45">
        <v>1996</v>
      </c>
      <c r="CC15" s="45">
        <v>1996</v>
      </c>
      <c r="CD15" s="45">
        <v>1996</v>
      </c>
      <c r="CE15" s="45">
        <v>1996</v>
      </c>
      <c r="CF15" s="45">
        <v>1996</v>
      </c>
      <c r="CG15" s="45">
        <v>1996</v>
      </c>
      <c r="CH15" s="45">
        <v>1996</v>
      </c>
      <c r="CI15" s="45">
        <v>1996</v>
      </c>
      <c r="CJ15" s="45">
        <v>1996</v>
      </c>
      <c r="CK15" s="45">
        <v>1996</v>
      </c>
      <c r="CL15" s="45">
        <v>1996</v>
      </c>
      <c r="CM15" s="45">
        <v>1997</v>
      </c>
      <c r="CN15" s="45">
        <v>1997</v>
      </c>
      <c r="CO15" s="45">
        <v>1997</v>
      </c>
      <c r="CP15" s="45">
        <v>1997</v>
      </c>
      <c r="CQ15" s="45">
        <v>1997</v>
      </c>
      <c r="CR15" s="45">
        <v>1997</v>
      </c>
      <c r="CS15" s="45">
        <v>1997</v>
      </c>
      <c r="CT15" s="45">
        <v>1997</v>
      </c>
      <c r="CU15" s="45">
        <v>1997</v>
      </c>
      <c r="CV15" s="45">
        <v>1997</v>
      </c>
      <c r="CW15" s="45">
        <v>1997</v>
      </c>
      <c r="CX15" s="45">
        <v>1997</v>
      </c>
      <c r="CY15" s="45">
        <v>1998</v>
      </c>
      <c r="CZ15" s="45">
        <v>1998</v>
      </c>
      <c r="DA15" s="45">
        <v>1998</v>
      </c>
      <c r="DB15" s="45">
        <v>1998</v>
      </c>
      <c r="DC15" s="45">
        <v>1998</v>
      </c>
      <c r="DD15" s="45">
        <v>1998</v>
      </c>
      <c r="DE15" s="45">
        <v>1998</v>
      </c>
      <c r="DF15" s="45">
        <v>1998</v>
      </c>
      <c r="DG15" s="45">
        <v>1998</v>
      </c>
      <c r="DH15" s="45">
        <v>1998</v>
      </c>
      <c r="DI15" s="45">
        <v>1998</v>
      </c>
      <c r="DJ15" s="45">
        <v>1998</v>
      </c>
      <c r="DK15" s="45">
        <v>1999</v>
      </c>
      <c r="DL15" s="45">
        <v>1999</v>
      </c>
      <c r="DM15" s="45">
        <v>1999</v>
      </c>
      <c r="DN15" s="45">
        <v>1999</v>
      </c>
      <c r="DO15" s="45">
        <v>1999</v>
      </c>
      <c r="DP15" s="45">
        <v>1999</v>
      </c>
      <c r="DQ15" s="45">
        <v>1999</v>
      </c>
      <c r="DR15" s="45">
        <v>1999</v>
      </c>
      <c r="DS15" s="45">
        <v>1999</v>
      </c>
      <c r="DT15" s="45">
        <v>1999</v>
      </c>
      <c r="DU15" s="45">
        <v>1999</v>
      </c>
      <c r="DV15" s="45">
        <v>1999</v>
      </c>
      <c r="DW15" s="45">
        <v>2000</v>
      </c>
      <c r="DX15" s="45">
        <v>2000</v>
      </c>
      <c r="DY15" s="45">
        <v>2000</v>
      </c>
      <c r="DZ15" s="45">
        <v>2000</v>
      </c>
      <c r="EA15" s="45">
        <v>2000</v>
      </c>
      <c r="EB15" s="45">
        <v>2000</v>
      </c>
      <c r="EC15" s="45">
        <v>2000</v>
      </c>
      <c r="ED15" s="45">
        <v>2000</v>
      </c>
      <c r="EE15" s="45">
        <v>2000</v>
      </c>
      <c r="EF15" s="45">
        <v>2000</v>
      </c>
      <c r="EG15" s="45">
        <v>2000</v>
      </c>
      <c r="EH15" s="45">
        <v>2000</v>
      </c>
    </row>
    <row r="16" spans="1:138" ht="13.5" thickBot="1">
      <c r="A16" s="18" t="s">
        <v>49</v>
      </c>
      <c r="B16" s="380">
        <v>695.66</v>
      </c>
      <c r="C16" s="380">
        <v>710.87</v>
      </c>
      <c r="D16" s="380">
        <v>728.38</v>
      </c>
      <c r="E16" s="380">
        <v>748.57</v>
      </c>
      <c r="F16" s="380">
        <v>775.8</v>
      </c>
      <c r="G16" s="380">
        <v>788.25</v>
      </c>
      <c r="H16" s="380">
        <v>818.61</v>
      </c>
      <c r="I16" s="380">
        <v>837.91</v>
      </c>
      <c r="J16" s="380" t="s">
        <v>324</v>
      </c>
      <c r="K16" s="380" t="s">
        <v>325</v>
      </c>
      <c r="L16" s="380" t="s">
        <v>326</v>
      </c>
      <c r="M16" s="380" t="s">
        <v>327</v>
      </c>
      <c r="N16" s="380" t="s">
        <v>328</v>
      </c>
      <c r="O16" s="380" t="s">
        <v>329</v>
      </c>
      <c r="Q16" s="32"/>
      <c r="S16" s="46">
        <v>1</v>
      </c>
      <c r="T16" s="46">
        <v>2</v>
      </c>
      <c r="U16" s="46">
        <v>3</v>
      </c>
      <c r="V16" s="46">
        <v>4</v>
      </c>
      <c r="W16" s="46">
        <v>5</v>
      </c>
      <c r="X16" s="46">
        <v>6</v>
      </c>
      <c r="Y16" s="46">
        <v>7</v>
      </c>
      <c r="Z16" s="46">
        <v>8</v>
      </c>
      <c r="AA16" s="46">
        <v>9</v>
      </c>
      <c r="AB16" s="46">
        <v>10</v>
      </c>
      <c r="AC16" s="46">
        <v>11</v>
      </c>
      <c r="AD16" s="46">
        <v>12</v>
      </c>
      <c r="AE16" s="46">
        <v>1</v>
      </c>
      <c r="AF16" s="46">
        <v>2</v>
      </c>
      <c r="AG16" s="46">
        <v>3</v>
      </c>
      <c r="AH16" s="46">
        <v>4</v>
      </c>
      <c r="AI16" s="46">
        <v>5</v>
      </c>
      <c r="AJ16" s="46">
        <v>6</v>
      </c>
      <c r="AK16" s="46">
        <v>7</v>
      </c>
      <c r="AL16" s="46">
        <v>8</v>
      </c>
      <c r="AM16" s="46">
        <v>9</v>
      </c>
      <c r="AN16" s="46">
        <v>10</v>
      </c>
      <c r="AO16" s="46">
        <v>11</v>
      </c>
      <c r="AP16" s="46">
        <v>12</v>
      </c>
      <c r="AQ16" s="46">
        <v>1</v>
      </c>
      <c r="AR16" s="46">
        <v>2</v>
      </c>
      <c r="AS16" s="46">
        <v>3</v>
      </c>
      <c r="AT16" s="46">
        <v>4</v>
      </c>
      <c r="AU16" s="46">
        <v>5</v>
      </c>
      <c r="AV16" s="46">
        <v>6</v>
      </c>
      <c r="AW16" s="46">
        <v>7</v>
      </c>
      <c r="AX16" s="46">
        <v>8</v>
      </c>
      <c r="AY16" s="46">
        <v>9</v>
      </c>
      <c r="AZ16" s="46">
        <v>10</v>
      </c>
      <c r="BA16" s="46">
        <v>11</v>
      </c>
      <c r="BB16" s="46">
        <v>12</v>
      </c>
      <c r="BC16" s="46">
        <v>1</v>
      </c>
      <c r="BD16" s="46">
        <v>2</v>
      </c>
      <c r="BE16" s="46">
        <v>3</v>
      </c>
      <c r="BF16" s="46">
        <v>4</v>
      </c>
      <c r="BG16" s="46">
        <v>5</v>
      </c>
      <c r="BH16" s="46">
        <v>6</v>
      </c>
      <c r="BI16" s="46">
        <v>7</v>
      </c>
      <c r="BJ16" s="46">
        <v>8</v>
      </c>
      <c r="BK16" s="46">
        <v>9</v>
      </c>
      <c r="BL16" s="46">
        <v>10</v>
      </c>
      <c r="BM16" s="46">
        <v>11</v>
      </c>
      <c r="BN16" s="46">
        <v>12</v>
      </c>
      <c r="BO16" s="46">
        <v>1</v>
      </c>
      <c r="BP16" s="46">
        <v>2</v>
      </c>
      <c r="BQ16" s="46">
        <v>3</v>
      </c>
      <c r="BR16" s="46">
        <v>4</v>
      </c>
      <c r="BS16" s="46">
        <v>5</v>
      </c>
      <c r="BT16" s="46">
        <v>6</v>
      </c>
      <c r="BU16" s="46">
        <v>7</v>
      </c>
      <c r="BV16" s="46">
        <v>8</v>
      </c>
      <c r="BW16" s="46">
        <v>9</v>
      </c>
      <c r="BX16" s="46">
        <v>10</v>
      </c>
      <c r="BY16" s="46">
        <v>11</v>
      </c>
      <c r="BZ16" s="46">
        <v>12</v>
      </c>
      <c r="CA16" s="46">
        <v>1</v>
      </c>
      <c r="CB16" s="46">
        <v>2</v>
      </c>
      <c r="CC16" s="46">
        <v>3</v>
      </c>
      <c r="CD16" s="46">
        <v>4</v>
      </c>
      <c r="CE16" s="46">
        <v>5</v>
      </c>
      <c r="CF16" s="46">
        <v>6</v>
      </c>
      <c r="CG16" s="46">
        <v>7</v>
      </c>
      <c r="CH16" s="46">
        <v>8</v>
      </c>
      <c r="CI16" s="46">
        <v>9</v>
      </c>
      <c r="CJ16" s="46">
        <v>10</v>
      </c>
      <c r="CK16" s="46">
        <v>11</v>
      </c>
      <c r="CL16" s="46">
        <v>12</v>
      </c>
      <c r="CM16" s="46">
        <v>1</v>
      </c>
      <c r="CN16" s="46">
        <v>2</v>
      </c>
      <c r="CO16" s="46">
        <v>3</v>
      </c>
      <c r="CP16" s="46">
        <v>4</v>
      </c>
      <c r="CQ16" s="46">
        <v>5</v>
      </c>
      <c r="CR16" s="46">
        <v>6</v>
      </c>
      <c r="CS16" s="46">
        <v>7</v>
      </c>
      <c r="CT16" s="46">
        <v>8</v>
      </c>
      <c r="CU16" s="46">
        <v>9</v>
      </c>
      <c r="CV16" s="46">
        <v>10</v>
      </c>
      <c r="CW16" s="46">
        <v>11</v>
      </c>
      <c r="CX16" s="46">
        <v>12</v>
      </c>
      <c r="CY16" s="46">
        <v>1</v>
      </c>
      <c r="CZ16" s="46">
        <v>2</v>
      </c>
      <c r="DA16" s="46">
        <v>3</v>
      </c>
      <c r="DB16" s="46">
        <v>4</v>
      </c>
      <c r="DC16" s="46">
        <v>5</v>
      </c>
      <c r="DD16" s="46">
        <v>6</v>
      </c>
      <c r="DE16" s="46">
        <v>7</v>
      </c>
      <c r="DF16" s="46">
        <v>8</v>
      </c>
      <c r="DG16" s="46">
        <v>9</v>
      </c>
      <c r="DH16" s="46">
        <v>10</v>
      </c>
      <c r="DI16" s="46">
        <v>11</v>
      </c>
      <c r="DJ16" s="46">
        <v>12</v>
      </c>
      <c r="DK16" s="46">
        <v>1</v>
      </c>
      <c r="DL16" s="46">
        <v>2</v>
      </c>
      <c r="DM16" s="46">
        <v>3</v>
      </c>
      <c r="DN16" s="46">
        <v>4</v>
      </c>
      <c r="DO16" s="46">
        <v>5</v>
      </c>
      <c r="DP16" s="46">
        <v>6</v>
      </c>
      <c r="DQ16" s="46">
        <v>7</v>
      </c>
      <c r="DR16" s="46">
        <v>8</v>
      </c>
      <c r="DS16" s="46">
        <v>9</v>
      </c>
      <c r="DT16" s="46">
        <v>10</v>
      </c>
      <c r="DU16" s="46">
        <v>11</v>
      </c>
      <c r="DV16" s="46">
        <v>12</v>
      </c>
      <c r="DW16" s="46">
        <v>1</v>
      </c>
      <c r="DX16" s="46">
        <v>2</v>
      </c>
      <c r="DY16" s="46">
        <v>3</v>
      </c>
      <c r="DZ16" s="46">
        <v>4</v>
      </c>
      <c r="EA16" s="46">
        <v>5</v>
      </c>
      <c r="EB16" s="46">
        <v>6</v>
      </c>
      <c r="EC16" s="46">
        <v>7</v>
      </c>
      <c r="ED16" s="46">
        <v>8</v>
      </c>
      <c r="EE16" s="46">
        <v>9</v>
      </c>
      <c r="EF16" s="46">
        <v>10</v>
      </c>
      <c r="EG16" s="46">
        <v>11</v>
      </c>
      <c r="EH16" s="46">
        <v>12</v>
      </c>
    </row>
    <row r="17" spans="1:138" ht="13.5" thickBot="1">
      <c r="B17" s="380">
        <v>695.66</v>
      </c>
      <c r="C17" s="380">
        <v>710.87</v>
      </c>
      <c r="D17" s="380">
        <v>728.38</v>
      </c>
      <c r="E17" s="380">
        <v>748.57</v>
      </c>
      <c r="F17" s="380">
        <v>775.8</v>
      </c>
      <c r="G17" s="380">
        <v>788.25</v>
      </c>
      <c r="H17" s="380">
        <v>818.61</v>
      </c>
      <c r="I17" s="380">
        <v>837.91</v>
      </c>
      <c r="J17" s="380">
        <v>848.85</v>
      </c>
      <c r="K17" s="380">
        <v>881.43</v>
      </c>
      <c r="L17" s="380">
        <v>893.41</v>
      </c>
      <c r="M17" s="380">
        <v>906.09</v>
      </c>
      <c r="N17" s="380">
        <v>920.12</v>
      </c>
      <c r="O17" s="380">
        <v>938.36</v>
      </c>
      <c r="Q17" s="32"/>
      <c r="R17" s="47" t="s">
        <v>49</v>
      </c>
      <c r="S17" s="382" t="s">
        <v>336</v>
      </c>
      <c r="T17" s="382" t="s">
        <v>337</v>
      </c>
      <c r="U17" s="382" t="s">
        <v>338</v>
      </c>
      <c r="V17" s="382" t="s">
        <v>339</v>
      </c>
      <c r="W17" s="382" t="s">
        <v>340</v>
      </c>
      <c r="X17" s="382" t="s">
        <v>341</v>
      </c>
      <c r="Y17" s="382" t="s">
        <v>342</v>
      </c>
      <c r="Z17" s="382" t="s">
        <v>343</v>
      </c>
      <c r="AA17" s="382" t="s">
        <v>344</v>
      </c>
      <c r="AB17" s="382" t="s">
        <v>345</v>
      </c>
      <c r="AC17" s="382" t="s">
        <v>346</v>
      </c>
      <c r="AD17" s="382" t="s">
        <v>347</v>
      </c>
      <c r="AE17" s="382" t="s">
        <v>348</v>
      </c>
      <c r="AF17" s="382" t="s">
        <v>349</v>
      </c>
      <c r="AG17" s="382" t="s">
        <v>350</v>
      </c>
      <c r="AH17" s="382" t="s">
        <v>351</v>
      </c>
      <c r="AI17" s="382" t="s">
        <v>352</v>
      </c>
      <c r="AJ17" s="382" t="s">
        <v>353</v>
      </c>
      <c r="AK17" s="382" t="s">
        <v>354</v>
      </c>
      <c r="AL17" s="382" t="s">
        <v>355</v>
      </c>
      <c r="AM17" s="382" t="s">
        <v>356</v>
      </c>
      <c r="AN17" s="382" t="s">
        <v>357</v>
      </c>
      <c r="AO17" s="382" t="s">
        <v>358</v>
      </c>
      <c r="AP17" s="382" t="s">
        <v>359</v>
      </c>
      <c r="AQ17" s="382" t="s">
        <v>360</v>
      </c>
      <c r="AR17" s="382" t="s">
        <v>361</v>
      </c>
      <c r="AS17" s="382" t="s">
        <v>362</v>
      </c>
      <c r="AT17" s="382" t="s">
        <v>363</v>
      </c>
      <c r="AU17" s="382" t="s">
        <v>364</v>
      </c>
      <c r="AV17" s="382" t="s">
        <v>365</v>
      </c>
      <c r="AW17" s="382" t="s">
        <v>366</v>
      </c>
      <c r="AX17" s="382" t="s">
        <v>367</v>
      </c>
      <c r="AY17" s="382" t="s">
        <v>368</v>
      </c>
      <c r="AZ17" s="382" t="s">
        <v>369</v>
      </c>
      <c r="BA17" s="382" t="s">
        <v>370</v>
      </c>
      <c r="BB17" s="382" t="s">
        <v>371</v>
      </c>
      <c r="BC17" s="382" t="s">
        <v>372</v>
      </c>
      <c r="BD17" s="382" t="s">
        <v>373</v>
      </c>
      <c r="BE17" s="382" t="s">
        <v>374</v>
      </c>
      <c r="BF17" s="382" t="s">
        <v>375</v>
      </c>
      <c r="BG17" s="382" t="s">
        <v>376</v>
      </c>
      <c r="BH17" s="382" t="s">
        <v>377</v>
      </c>
      <c r="BI17" s="382" t="s">
        <v>378</v>
      </c>
      <c r="BJ17" s="382" t="s">
        <v>379</v>
      </c>
      <c r="BK17" s="382" t="s">
        <v>380</v>
      </c>
      <c r="BL17" s="382" t="s">
        <v>381</v>
      </c>
      <c r="BM17" s="382" t="s">
        <v>382</v>
      </c>
      <c r="BN17" s="382" t="s">
        <v>383</v>
      </c>
      <c r="BO17" s="382" t="s">
        <v>384</v>
      </c>
      <c r="BP17" s="382" t="s">
        <v>385</v>
      </c>
      <c r="BQ17" s="382" t="s">
        <v>386</v>
      </c>
      <c r="BR17" s="382" t="s">
        <v>387</v>
      </c>
      <c r="BS17" s="382" t="s">
        <v>388</v>
      </c>
      <c r="BT17" s="382" t="s">
        <v>389</v>
      </c>
      <c r="BU17" s="382" t="s">
        <v>390</v>
      </c>
      <c r="BV17" s="382" t="s">
        <v>391</v>
      </c>
      <c r="BW17" s="382" t="s">
        <v>392</v>
      </c>
      <c r="BX17" s="382" t="s">
        <v>393</v>
      </c>
      <c r="BY17" s="382" t="s">
        <v>394</v>
      </c>
      <c r="BZ17" s="382" t="s">
        <v>395</v>
      </c>
      <c r="CA17" s="382" t="s">
        <v>396</v>
      </c>
      <c r="CB17" s="382" t="s">
        <v>397</v>
      </c>
      <c r="CC17" s="382" t="s">
        <v>398</v>
      </c>
      <c r="CD17" s="382" t="s">
        <v>399</v>
      </c>
      <c r="CE17" s="382" t="s">
        <v>400</v>
      </c>
      <c r="CF17" s="382" t="s">
        <v>401</v>
      </c>
      <c r="CG17" s="382" t="s">
        <v>402</v>
      </c>
      <c r="CH17" s="382" t="s">
        <v>403</v>
      </c>
      <c r="CI17" s="382" t="s">
        <v>404</v>
      </c>
      <c r="CJ17" s="382" t="s">
        <v>405</v>
      </c>
      <c r="CK17" s="382" t="s">
        <v>406</v>
      </c>
      <c r="CL17" s="382" t="s">
        <v>407</v>
      </c>
      <c r="CM17" s="382" t="s">
        <v>408</v>
      </c>
      <c r="CN17" s="382" t="s">
        <v>409</v>
      </c>
      <c r="CO17" s="382" t="s">
        <v>410</v>
      </c>
      <c r="CP17" s="382" t="s">
        <v>411</v>
      </c>
      <c r="CQ17" s="382" t="s">
        <v>412</v>
      </c>
      <c r="CR17" s="382" t="s">
        <v>413</v>
      </c>
      <c r="CS17" s="382" t="s">
        <v>414</v>
      </c>
      <c r="CT17" s="382" t="s">
        <v>415</v>
      </c>
      <c r="CU17" s="382" t="s">
        <v>416</v>
      </c>
      <c r="CV17" s="382" t="s">
        <v>417</v>
      </c>
      <c r="CW17" s="382" t="s">
        <v>418</v>
      </c>
      <c r="CX17" s="382" t="s">
        <v>419</v>
      </c>
      <c r="CY17" s="382" t="s">
        <v>420</v>
      </c>
      <c r="CZ17" s="382" t="s">
        <v>421</v>
      </c>
      <c r="DA17" s="382" t="s">
        <v>422</v>
      </c>
      <c r="DB17" s="382" t="s">
        <v>423</v>
      </c>
      <c r="DC17" s="382" t="s">
        <v>424</v>
      </c>
      <c r="DD17" s="382" t="s">
        <v>425</v>
      </c>
      <c r="DE17" s="382" t="s">
        <v>426</v>
      </c>
      <c r="DF17" s="382" t="s">
        <v>427</v>
      </c>
      <c r="DG17" s="382" t="s">
        <v>428</v>
      </c>
      <c r="DH17" s="382" t="s">
        <v>429</v>
      </c>
      <c r="DI17" s="382" t="s">
        <v>430</v>
      </c>
      <c r="DJ17" s="382" t="s">
        <v>431</v>
      </c>
      <c r="DK17" s="382" t="s">
        <v>432</v>
      </c>
      <c r="DL17" s="382" t="s">
        <v>433</v>
      </c>
      <c r="DM17" s="382" t="s">
        <v>434</v>
      </c>
      <c r="DN17" s="382" t="s">
        <v>435</v>
      </c>
      <c r="DO17" s="382" t="s">
        <v>436</v>
      </c>
      <c r="DP17" s="382" t="s">
        <v>437</v>
      </c>
      <c r="DQ17" s="382" t="s">
        <v>438</v>
      </c>
      <c r="DR17" s="382" t="s">
        <v>439</v>
      </c>
      <c r="DS17" s="382" t="s">
        <v>440</v>
      </c>
      <c r="DT17" s="382" t="s">
        <v>441</v>
      </c>
      <c r="DU17" s="382" t="s">
        <v>442</v>
      </c>
      <c r="DV17" s="382" t="s">
        <v>443</v>
      </c>
      <c r="DW17" s="382" t="s">
        <v>444</v>
      </c>
      <c r="DX17" s="382" t="s">
        <v>445</v>
      </c>
      <c r="DY17" s="382" t="s">
        <v>446</v>
      </c>
      <c r="DZ17" s="382" t="s">
        <v>447</v>
      </c>
      <c r="EA17" s="382" t="s">
        <v>448</v>
      </c>
      <c r="EB17" s="382" t="s">
        <v>449</v>
      </c>
      <c r="EC17" s="382" t="s">
        <v>450</v>
      </c>
      <c r="ED17" s="382" t="s">
        <v>451</v>
      </c>
      <c r="EE17" s="382" t="s">
        <v>452</v>
      </c>
      <c r="EF17" s="382" t="s">
        <v>453</v>
      </c>
      <c r="EG17" s="382" t="s">
        <v>454</v>
      </c>
      <c r="EH17" s="382" t="s">
        <v>455</v>
      </c>
    </row>
    <row r="18" spans="1:138" ht="13.5" thickBot="1">
      <c r="C18" s="112">
        <f>LN(C17/B17)</f>
        <v>2.1628536787369972E-2</v>
      </c>
      <c r="D18" s="112">
        <f t="shared" ref="D18:M18" si="0">LN(D17/C17)</f>
        <v>2.433331801866611E-2</v>
      </c>
      <c r="E18" s="112">
        <f t="shared" si="0"/>
        <v>2.7341829825483152E-2</v>
      </c>
      <c r="F18" s="112">
        <f t="shared" si="0"/>
        <v>3.5730035144859583E-2</v>
      </c>
      <c r="G18" s="112">
        <f t="shared" si="0"/>
        <v>1.5920543419303428E-2</v>
      </c>
      <c r="H18" s="112">
        <f t="shared" si="0"/>
        <v>3.7792481537017898E-2</v>
      </c>
      <c r="I18" s="112">
        <f t="shared" si="0"/>
        <v>2.3302916184236758E-2</v>
      </c>
      <c r="J18" s="112">
        <f t="shared" si="0"/>
        <v>1.297179611021774E-2</v>
      </c>
      <c r="K18" s="112">
        <f t="shared" si="0"/>
        <v>3.7663096331707037E-2</v>
      </c>
      <c r="L18" s="112">
        <f t="shared" si="0"/>
        <v>1.3500013461562871E-2</v>
      </c>
      <c r="M18" s="112">
        <f t="shared" si="0"/>
        <v>1.4093036807743632E-2</v>
      </c>
      <c r="N18" s="112">
        <f>LN(N17/M17)</f>
        <v>1.536545746216181E-2</v>
      </c>
      <c r="O18" s="112">
        <f>LN(O17/N17)</f>
        <v>1.9629574364994219E-2</v>
      </c>
      <c r="P18" s="112">
        <f>AVERAGE(L18:O18)</f>
        <v>1.564702052411563E-2</v>
      </c>
      <c r="Q18" s="32"/>
      <c r="S18" s="419" t="str">
        <f>LEFT(S17,LEN(S17)-3)</f>
        <v>560.53</v>
      </c>
      <c r="T18" s="419" t="str">
        <f t="shared" ref="T18:CE18" si="1">LEFT(T17,LEN(T17)-3)</f>
        <v>567.77</v>
      </c>
      <c r="U18" s="419" t="str">
        <f t="shared" si="1"/>
        <v>567.83</v>
      </c>
      <c r="V18" s="419" t="str">
        <f t="shared" si="1"/>
        <v>570.77</v>
      </c>
      <c r="W18" s="419" t="str">
        <f t="shared" si="1"/>
        <v>573.76</v>
      </c>
      <c r="X18" s="419" t="str">
        <f t="shared" si="1"/>
        <v>575.57</v>
      </c>
      <c r="Y18" s="419" t="str">
        <f t="shared" si="1"/>
        <v>576.99</v>
      </c>
      <c r="Z18" s="419" t="str">
        <f t="shared" si="1"/>
        <v>579.08</v>
      </c>
      <c r="AA18" s="419" t="str">
        <f t="shared" si="1"/>
        <v>580.44</v>
      </c>
      <c r="AB18" s="419" t="str">
        <f t="shared" si="1"/>
        <v>584.44</v>
      </c>
      <c r="AC18" s="419" t="str">
        <f t="shared" si="1"/>
        <v>585.23</v>
      </c>
      <c r="AD18" s="419" t="str">
        <f t="shared" si="1"/>
        <v>588.43</v>
      </c>
      <c r="AE18" s="419" t="str">
        <f t="shared" si="1"/>
        <v>589.81</v>
      </c>
      <c r="AF18" s="419" t="str">
        <f t="shared" si="1"/>
        <v>590.87</v>
      </c>
      <c r="AG18" s="419" t="str">
        <f t="shared" si="1"/>
        <v>588.05</v>
      </c>
      <c r="AH18" s="419" t="str">
        <f t="shared" si="1"/>
        <v>593.11</v>
      </c>
      <c r="AI18" s="419" t="str">
        <f t="shared" si="1"/>
        <v>598.11</v>
      </c>
      <c r="AJ18" s="419" t="str">
        <f t="shared" si="1"/>
        <v>596.75</v>
      </c>
      <c r="AK18" s="419" t="str">
        <f t="shared" si="1"/>
        <v>599.74</v>
      </c>
      <c r="AL18" s="419" t="str">
        <f t="shared" si="1"/>
        <v>603.59</v>
      </c>
      <c r="AM18" s="419" t="str">
        <f t="shared" si="1"/>
        <v>603.43</v>
      </c>
      <c r="AN18" s="419" t="str">
        <f t="shared" si="1"/>
        <v>606.19</v>
      </c>
      <c r="AO18" s="419" t="str">
        <f t="shared" si="1"/>
        <v>606.20</v>
      </c>
      <c r="AP18" s="419" t="str">
        <f t="shared" si="1"/>
        <v>606.98</v>
      </c>
      <c r="AQ18" s="419" t="str">
        <f t="shared" si="1"/>
        <v>608.85</v>
      </c>
      <c r="AR18" s="419" t="str">
        <f t="shared" si="1"/>
        <v>608.64</v>
      </c>
      <c r="AS18" s="419" t="str">
        <f t="shared" si="1"/>
        <v>608.37</v>
      </c>
      <c r="AT18" s="419" t="str">
        <f t="shared" si="1"/>
        <v>611.73</v>
      </c>
      <c r="AU18" s="419" t="str">
        <f t="shared" si="1"/>
        <v>610.23</v>
      </c>
      <c r="AV18" s="419" t="str">
        <f t="shared" si="1"/>
        <v>611.22</v>
      </c>
      <c r="AW18" s="419" t="str">
        <f t="shared" si="1"/>
        <v>613.60</v>
      </c>
      <c r="AX18" s="419" t="str">
        <f t="shared" si="1"/>
        <v>612.12</v>
      </c>
      <c r="AY18" s="419" t="str">
        <f t="shared" si="1"/>
        <v>613.91</v>
      </c>
      <c r="AZ18" s="419" t="str">
        <f t="shared" si="1"/>
        <v>614.54</v>
      </c>
      <c r="BA18" s="419" t="str">
        <f t="shared" si="1"/>
        <v>615.18</v>
      </c>
      <c r="BB18" s="419" t="str">
        <f t="shared" si="1"/>
        <v>616.91</v>
      </c>
      <c r="BC18" s="419" t="str">
        <f t="shared" si="1"/>
        <v>617.54</v>
      </c>
      <c r="BD18" s="419" t="str">
        <f t="shared" si="1"/>
        <v>619.45</v>
      </c>
      <c r="BE18" s="419" t="str">
        <f t="shared" si="1"/>
        <v>624.42</v>
      </c>
      <c r="BF18" s="419" t="str">
        <f t="shared" si="1"/>
        <v>627.55</v>
      </c>
      <c r="BG18" s="419" t="str">
        <f t="shared" si="1"/>
        <v>627.47</v>
      </c>
      <c r="BH18" s="419" t="str">
        <f t="shared" si="1"/>
        <v>629.79</v>
      </c>
      <c r="BI18" s="419" t="str">
        <f t="shared" si="1"/>
        <v>631.65</v>
      </c>
      <c r="BJ18" s="419" t="str">
        <f t="shared" si="1"/>
        <v>629.75</v>
      </c>
      <c r="BK18" s="419" t="str">
        <f t="shared" si="1"/>
        <v>631.92</v>
      </c>
      <c r="BL18" s="419" t="str">
        <f t="shared" si="1"/>
        <v>631.04</v>
      </c>
      <c r="BM18" s="419" t="str">
        <f t="shared" si="1"/>
        <v>632.04</v>
      </c>
      <c r="BN18" s="419" t="str">
        <f t="shared" si="1"/>
        <v>631.85</v>
      </c>
      <c r="BO18" s="419" t="str">
        <f t="shared" si="1"/>
        <v>632.51</v>
      </c>
      <c r="BP18" s="419" t="str">
        <f t="shared" si="1"/>
        <v>631.71</v>
      </c>
      <c r="BQ18" s="419" t="str">
        <f t="shared" si="1"/>
        <v>632.52</v>
      </c>
      <c r="BR18" s="419" t="str">
        <f t="shared" si="1"/>
        <v>628.76</v>
      </c>
      <c r="BS18" s="419" t="str">
        <f t="shared" si="1"/>
        <v>627.92</v>
      </c>
      <c r="BT18" s="419" t="str">
        <f t="shared" si="1"/>
        <v>631.46</v>
      </c>
      <c r="BU18" s="419" t="str">
        <f t="shared" si="1"/>
        <v>631.37</v>
      </c>
      <c r="BV18" s="419" t="str">
        <f t="shared" si="1"/>
        <v>636.62</v>
      </c>
      <c r="BW18" s="419" t="str">
        <f t="shared" si="1"/>
        <v>637.87</v>
      </c>
      <c r="BX18" s="419" t="str">
        <f t="shared" si="1"/>
        <v>634.79</v>
      </c>
      <c r="BY18" s="419" t="str">
        <f t="shared" si="1"/>
        <v>636.71</v>
      </c>
      <c r="BZ18" s="419" t="str">
        <f t="shared" si="1"/>
        <v>645.52</v>
      </c>
      <c r="CA18" s="419" t="str">
        <f t="shared" si="1"/>
        <v>636.10</v>
      </c>
      <c r="CB18" s="419" t="str">
        <f t="shared" si="1"/>
        <v>638.04</v>
      </c>
      <c r="CC18" s="419" t="str">
        <f t="shared" si="1"/>
        <v>641.65</v>
      </c>
      <c r="CD18" s="419" t="str">
        <f t="shared" si="1"/>
        <v>641.52</v>
      </c>
      <c r="CE18" s="419" t="str">
        <f t="shared" si="1"/>
        <v>647.62</v>
      </c>
      <c r="CF18" s="419" t="str">
        <f t="shared" ref="CF18:EH18" si="2">LEFT(CF17,LEN(CF17)-3)</f>
        <v>652.29</v>
      </c>
      <c r="CG18" s="419" t="str">
        <f t="shared" si="2"/>
        <v>652.35</v>
      </c>
      <c r="CH18" s="419" t="str">
        <f t="shared" si="2"/>
        <v>653.31</v>
      </c>
      <c r="CI18" s="419" t="str">
        <f t="shared" si="2"/>
        <v>652.52</v>
      </c>
      <c r="CJ18" s="419" t="str">
        <f t="shared" si="2"/>
        <v>658.18</v>
      </c>
      <c r="CK18" s="419" t="str">
        <f t="shared" si="2"/>
        <v>658.80</v>
      </c>
      <c r="CL18" s="419" t="str">
        <f t="shared" si="2"/>
        <v>659.12</v>
      </c>
      <c r="CM18" s="419" t="str">
        <f t="shared" si="2"/>
        <v>661.06</v>
      </c>
      <c r="CN18" s="419" t="str">
        <f t="shared" si="2"/>
        <v>662.16</v>
      </c>
      <c r="CO18" s="419" t="str">
        <f t="shared" si="2"/>
        <v>661.00</v>
      </c>
      <c r="CP18" s="419" t="str">
        <f t="shared" si="2"/>
        <v>661.84</v>
      </c>
      <c r="CQ18" s="419" t="str">
        <f t="shared" si="2"/>
        <v>669.30</v>
      </c>
      <c r="CR18" s="419" t="str">
        <f t="shared" si="2"/>
        <v>660.14</v>
      </c>
      <c r="CS18" s="419" t="str">
        <f t="shared" si="2"/>
        <v>660.15</v>
      </c>
      <c r="CT18" s="419" t="str">
        <f t="shared" si="2"/>
        <v>660.78</v>
      </c>
      <c r="CU18" s="419" t="str">
        <f t="shared" si="2"/>
        <v>665.70</v>
      </c>
      <c r="CV18" s="419" t="str">
        <f t="shared" si="2"/>
        <v>663.30</v>
      </c>
      <c r="CW18" s="419" t="str">
        <f t="shared" si="2"/>
        <v>669.77</v>
      </c>
      <c r="CX18" s="419" t="str">
        <f t="shared" si="2"/>
        <v>666.89</v>
      </c>
      <c r="CY18" s="419" t="str">
        <f t="shared" si="2"/>
        <v>673.03</v>
      </c>
      <c r="CZ18" s="419" t="str">
        <f t="shared" si="2"/>
        <v>675.61</v>
      </c>
      <c r="DA18" s="419" t="str">
        <f t="shared" si="2"/>
        <v>672.84</v>
      </c>
      <c r="DB18" s="419" t="str">
        <f t="shared" si="2"/>
        <v>674.36</v>
      </c>
      <c r="DC18" s="419" t="str">
        <f t="shared" si="2"/>
        <v>669.97</v>
      </c>
      <c r="DD18" s="419" t="str">
        <f t="shared" si="2"/>
        <v>670.05</v>
      </c>
      <c r="DE18" s="419" t="str">
        <f t="shared" si="2"/>
        <v>667.01</v>
      </c>
      <c r="DF18" s="419" t="str">
        <f t="shared" si="2"/>
        <v>670.41</v>
      </c>
      <c r="DG18" s="419" t="str">
        <f t="shared" si="2"/>
        <v>670.32</v>
      </c>
      <c r="DH18" s="419" t="str">
        <f t="shared" si="2"/>
        <v>675.97</v>
      </c>
      <c r="DI18" s="419" t="str">
        <f t="shared" si="2"/>
        <v>674.08</v>
      </c>
      <c r="DJ18" s="419" t="str">
        <f t="shared" si="2"/>
        <v>676.71</v>
      </c>
      <c r="DK18" s="419" t="str">
        <f t="shared" si="2"/>
        <v>675.36</v>
      </c>
      <c r="DL18" s="419" t="str">
        <f t="shared" si="2"/>
        <v>675.70</v>
      </c>
      <c r="DM18" s="419" t="str">
        <f t="shared" si="2"/>
        <v>677.45</v>
      </c>
      <c r="DN18" s="419" t="str">
        <f t="shared" si="2"/>
        <v>679.60</v>
      </c>
      <c r="DO18" s="419" t="str">
        <f t="shared" si="2"/>
        <v>684.35</v>
      </c>
      <c r="DP18" s="419" t="str">
        <f t="shared" si="2"/>
        <v>684.20</v>
      </c>
      <c r="DQ18" s="419" t="str">
        <f t="shared" si="2"/>
        <v>687.87</v>
      </c>
      <c r="DR18" s="419" t="str">
        <f t="shared" si="2"/>
        <v>686.56</v>
      </c>
      <c r="DS18" s="419" t="str">
        <f t="shared" si="2"/>
        <v>686.46</v>
      </c>
      <c r="DT18" s="419" t="str">
        <f t="shared" si="2"/>
        <v>687.02</v>
      </c>
      <c r="DU18" s="419" t="str">
        <f t="shared" si="2"/>
        <v>686.22</v>
      </c>
      <c r="DV18" s="419" t="str">
        <f t="shared" si="2"/>
        <v>691.02</v>
      </c>
      <c r="DW18" s="419" t="str">
        <f t="shared" si="2"/>
        <v>692.50</v>
      </c>
      <c r="DX18" s="419" t="str">
        <f t="shared" si="2"/>
        <v>694.79</v>
      </c>
      <c r="DY18" s="419" t="str">
        <f t="shared" si="2"/>
        <v>695.61</v>
      </c>
      <c r="DZ18" s="419" t="str">
        <f t="shared" si="2"/>
        <v>697.48</v>
      </c>
      <c r="EA18" s="419" t="str">
        <f t="shared" si="2"/>
        <v>698.65</v>
      </c>
      <c r="EB18" s="419" t="str">
        <f t="shared" si="2"/>
        <v>699.54</v>
      </c>
      <c r="EC18" s="419" t="str">
        <f t="shared" si="2"/>
        <v>701.24</v>
      </c>
      <c r="ED18" s="419" t="str">
        <f t="shared" si="2"/>
        <v>703.40</v>
      </c>
      <c r="EE18" s="419" t="str">
        <f t="shared" si="2"/>
        <v>703.73</v>
      </c>
      <c r="EF18" s="419" t="str">
        <f t="shared" si="2"/>
        <v>702.90</v>
      </c>
      <c r="EG18" s="419" t="str">
        <f t="shared" si="2"/>
        <v>704.07</v>
      </c>
      <c r="EH18" s="419" t="str">
        <f t="shared" si="2"/>
        <v>705.23</v>
      </c>
    </row>
    <row r="19" spans="1:138" ht="13.5" thickBot="1">
      <c r="B19" s="48" t="s">
        <v>50</v>
      </c>
      <c r="Q19" s="32"/>
      <c r="S19" s="383">
        <v>560.53</v>
      </c>
      <c r="T19" s="383">
        <v>567.77</v>
      </c>
      <c r="U19" s="383">
        <v>567.83000000000004</v>
      </c>
      <c r="V19" s="383">
        <v>570.77</v>
      </c>
      <c r="W19" s="383">
        <v>573.76</v>
      </c>
      <c r="X19" s="383">
        <v>575.57000000000005</v>
      </c>
      <c r="Y19" s="383">
        <v>576.99</v>
      </c>
      <c r="Z19" s="383">
        <v>579.08000000000004</v>
      </c>
      <c r="AA19" s="383">
        <v>580.44000000000005</v>
      </c>
      <c r="AB19" s="383">
        <v>584.44000000000005</v>
      </c>
      <c r="AC19" s="383">
        <v>585.23</v>
      </c>
      <c r="AD19" s="383">
        <v>588.42999999999995</v>
      </c>
      <c r="AE19" s="383">
        <v>589.80999999999995</v>
      </c>
      <c r="AF19" s="383">
        <v>590.87</v>
      </c>
      <c r="AG19" s="383">
        <v>588.04999999999995</v>
      </c>
      <c r="AH19" s="383">
        <v>593.11</v>
      </c>
      <c r="AI19" s="383">
        <v>598.11</v>
      </c>
      <c r="AJ19" s="383">
        <v>596.75</v>
      </c>
      <c r="AK19" s="383">
        <v>599.74</v>
      </c>
      <c r="AL19" s="383">
        <v>603.59</v>
      </c>
      <c r="AM19" s="383">
        <v>603.42999999999995</v>
      </c>
      <c r="AN19" s="383">
        <v>606.19000000000005</v>
      </c>
      <c r="AO19" s="383">
        <v>606.20000000000005</v>
      </c>
      <c r="AP19" s="383">
        <v>606.98</v>
      </c>
      <c r="AQ19" s="383">
        <v>608.85</v>
      </c>
      <c r="AR19" s="383">
        <v>608.64</v>
      </c>
      <c r="AS19" s="383">
        <v>608.37</v>
      </c>
      <c r="AT19" s="383">
        <v>611.73</v>
      </c>
      <c r="AU19" s="383">
        <v>610.23</v>
      </c>
      <c r="AV19" s="383">
        <v>611.22</v>
      </c>
      <c r="AW19" s="383">
        <v>613.6</v>
      </c>
      <c r="AX19" s="383">
        <v>612.12</v>
      </c>
      <c r="AY19" s="383">
        <v>613.91</v>
      </c>
      <c r="AZ19" s="383">
        <v>614.54</v>
      </c>
      <c r="BA19" s="383">
        <v>615.17999999999995</v>
      </c>
      <c r="BB19" s="383">
        <v>616.91</v>
      </c>
      <c r="BC19" s="383">
        <v>617.54</v>
      </c>
      <c r="BD19" s="383">
        <v>619.45000000000005</v>
      </c>
      <c r="BE19" s="383">
        <v>624.41999999999996</v>
      </c>
      <c r="BF19" s="383">
        <v>627.54999999999995</v>
      </c>
      <c r="BG19" s="383">
        <v>627.47</v>
      </c>
      <c r="BH19" s="383">
        <v>629.79</v>
      </c>
      <c r="BI19" s="383">
        <v>631.65</v>
      </c>
      <c r="BJ19" s="383">
        <v>629.75</v>
      </c>
      <c r="BK19" s="383">
        <v>631.91999999999996</v>
      </c>
      <c r="BL19" s="383">
        <v>631.04</v>
      </c>
      <c r="BM19" s="383">
        <v>632.04</v>
      </c>
      <c r="BN19" s="383">
        <v>631.85</v>
      </c>
      <c r="BO19" s="383">
        <v>632.51</v>
      </c>
      <c r="BP19" s="383">
        <v>631.71</v>
      </c>
      <c r="BQ19" s="383">
        <v>632.52</v>
      </c>
      <c r="BR19" s="383">
        <v>628.76</v>
      </c>
      <c r="BS19" s="383">
        <v>627.91999999999996</v>
      </c>
      <c r="BT19" s="383">
        <v>631.46</v>
      </c>
      <c r="BU19" s="383">
        <v>631.37</v>
      </c>
      <c r="BV19" s="383">
        <v>636.62</v>
      </c>
      <c r="BW19" s="383">
        <v>637.87</v>
      </c>
      <c r="BX19" s="383">
        <v>634.79</v>
      </c>
      <c r="BY19" s="383">
        <v>636.71</v>
      </c>
      <c r="BZ19" s="383">
        <v>645.52</v>
      </c>
      <c r="CA19" s="383">
        <v>636.1</v>
      </c>
      <c r="CB19" s="383">
        <v>638.04</v>
      </c>
      <c r="CC19" s="383">
        <v>641.65</v>
      </c>
      <c r="CD19" s="383">
        <v>641.52</v>
      </c>
      <c r="CE19" s="383">
        <v>647.62</v>
      </c>
      <c r="CF19" s="383">
        <v>652.29</v>
      </c>
      <c r="CG19" s="383">
        <v>652.35</v>
      </c>
      <c r="CH19" s="383">
        <v>653.30999999999995</v>
      </c>
      <c r="CI19" s="383">
        <v>652.52</v>
      </c>
      <c r="CJ19" s="383">
        <v>658.18</v>
      </c>
      <c r="CK19" s="383">
        <v>658.8</v>
      </c>
      <c r="CL19" s="383">
        <v>659.12</v>
      </c>
      <c r="CM19" s="383">
        <v>661.06</v>
      </c>
      <c r="CN19" s="383">
        <v>662.16</v>
      </c>
      <c r="CO19" s="383">
        <v>661</v>
      </c>
      <c r="CP19" s="383">
        <v>661.84</v>
      </c>
      <c r="CQ19" s="383">
        <v>669.3</v>
      </c>
      <c r="CR19" s="383">
        <v>660.14</v>
      </c>
      <c r="CS19" s="383">
        <v>660.15</v>
      </c>
      <c r="CT19" s="383">
        <v>660.78</v>
      </c>
      <c r="CU19" s="383">
        <v>665.7</v>
      </c>
      <c r="CV19" s="383">
        <v>663.3</v>
      </c>
      <c r="CW19" s="383">
        <v>669.77</v>
      </c>
      <c r="CX19" s="383">
        <v>666.89</v>
      </c>
      <c r="CY19" s="383">
        <v>673.03</v>
      </c>
      <c r="CZ19" s="383">
        <v>675.61</v>
      </c>
      <c r="DA19" s="383">
        <v>672.84</v>
      </c>
      <c r="DB19" s="383">
        <v>674.36</v>
      </c>
      <c r="DC19" s="383">
        <v>669.97</v>
      </c>
      <c r="DD19" s="383">
        <v>670.05</v>
      </c>
      <c r="DE19" s="383">
        <v>667.01</v>
      </c>
      <c r="DF19" s="383">
        <v>670.41</v>
      </c>
      <c r="DG19" s="383">
        <v>670.32</v>
      </c>
      <c r="DH19" s="383">
        <v>675.97</v>
      </c>
      <c r="DI19" s="383">
        <v>674.08</v>
      </c>
      <c r="DJ19" s="383">
        <v>676.71</v>
      </c>
      <c r="DK19" s="383">
        <v>675.36</v>
      </c>
      <c r="DL19" s="383">
        <v>675.7</v>
      </c>
      <c r="DM19" s="383">
        <v>677.45</v>
      </c>
      <c r="DN19" s="383">
        <v>679.6</v>
      </c>
      <c r="DO19" s="383">
        <v>684.35</v>
      </c>
      <c r="DP19" s="383">
        <v>684.2</v>
      </c>
      <c r="DQ19" s="383">
        <v>687.87</v>
      </c>
      <c r="DR19" s="383">
        <v>686.56</v>
      </c>
      <c r="DS19" s="383">
        <v>686.46</v>
      </c>
      <c r="DT19" s="383">
        <v>687.02</v>
      </c>
      <c r="DU19" s="383">
        <v>686.22</v>
      </c>
      <c r="DV19" s="383">
        <v>691.02</v>
      </c>
      <c r="DW19" s="383">
        <v>692.5</v>
      </c>
      <c r="DX19" s="383">
        <v>694.79</v>
      </c>
      <c r="DY19" s="383">
        <v>695.61</v>
      </c>
      <c r="DZ19" s="383">
        <v>697.48</v>
      </c>
      <c r="EA19" s="383">
        <v>698.65</v>
      </c>
      <c r="EB19" s="383">
        <v>699.54</v>
      </c>
      <c r="EC19" s="383">
        <v>701.24</v>
      </c>
      <c r="ED19" s="383">
        <v>703.4</v>
      </c>
      <c r="EE19" s="383">
        <v>703.73</v>
      </c>
      <c r="EF19" s="383">
        <v>702.9</v>
      </c>
      <c r="EG19" s="383">
        <v>704.07</v>
      </c>
      <c r="EH19" s="383">
        <v>705.23</v>
      </c>
    </row>
    <row r="20" spans="1:138" ht="13.5" thickBot="1">
      <c r="B20" s="44">
        <v>2001</v>
      </c>
      <c r="C20" s="44">
        <v>2002</v>
      </c>
      <c r="D20" s="44">
        <v>2003</v>
      </c>
      <c r="E20" s="44">
        <v>2004</v>
      </c>
      <c r="F20" s="44">
        <v>2005</v>
      </c>
      <c r="G20" s="44">
        <v>2006</v>
      </c>
      <c r="H20" s="44">
        <v>2007</v>
      </c>
      <c r="I20" s="44">
        <v>2008</v>
      </c>
      <c r="J20" s="44">
        <v>2009</v>
      </c>
      <c r="K20" s="44">
        <v>2010</v>
      </c>
      <c r="L20" s="44">
        <v>2011</v>
      </c>
      <c r="M20" s="44">
        <v>2012</v>
      </c>
      <c r="N20" s="44">
        <v>2013</v>
      </c>
      <c r="O20" s="44">
        <v>2014</v>
      </c>
      <c r="Q20" s="32"/>
    </row>
    <row r="21" spans="1:138" ht="13.5" thickBot="1">
      <c r="A21" s="18" t="s">
        <v>49</v>
      </c>
      <c r="B21" s="381">
        <v>1306.79</v>
      </c>
      <c r="C21" s="381">
        <v>1385.59</v>
      </c>
      <c r="D21" s="381">
        <v>1441.31</v>
      </c>
      <c r="E21" s="381">
        <v>1420.13</v>
      </c>
      <c r="F21" s="381">
        <v>1449.84</v>
      </c>
      <c r="G21" s="381">
        <v>1488.34</v>
      </c>
      <c r="H21" s="381">
        <v>1577.41</v>
      </c>
      <c r="I21" s="381">
        <v>1544.3</v>
      </c>
      <c r="J21" s="380" t="s">
        <v>330</v>
      </c>
      <c r="K21" s="380" t="s">
        <v>331</v>
      </c>
      <c r="L21" s="380" t="s">
        <v>332</v>
      </c>
      <c r="M21" s="380" t="s">
        <v>333</v>
      </c>
      <c r="N21" s="380" t="s">
        <v>334</v>
      </c>
      <c r="O21" s="380" t="s">
        <v>335</v>
      </c>
      <c r="Q21" s="32"/>
    </row>
    <row r="22" spans="1:138" ht="13.5" thickBot="1">
      <c r="B22" s="381">
        <v>1306.79</v>
      </c>
      <c r="C22" s="381">
        <v>1385.59</v>
      </c>
      <c r="D22" s="381">
        <v>1441.31</v>
      </c>
      <c r="E22" s="381">
        <v>1420.13</v>
      </c>
      <c r="F22" s="381">
        <v>1449.84</v>
      </c>
      <c r="G22" s="381">
        <v>1488.34</v>
      </c>
      <c r="H22" s="381">
        <v>1577.41</v>
      </c>
      <c r="I22" s="381">
        <v>1544.3</v>
      </c>
      <c r="J22" s="381">
        <v>1672.72</v>
      </c>
      <c r="K22" s="381">
        <v>1680.01</v>
      </c>
      <c r="L22" s="381">
        <v>1714.92</v>
      </c>
      <c r="M22" s="381">
        <v>1707.11</v>
      </c>
      <c r="N22" s="380">
        <v>1758.79</v>
      </c>
      <c r="O22" s="380">
        <v>1915.37</v>
      </c>
      <c r="Q22" s="32"/>
      <c r="S22" s="43" t="s">
        <v>51</v>
      </c>
    </row>
    <row r="23" spans="1:138" ht="13.5" thickBot="1">
      <c r="C23" s="112">
        <f t="shared" ref="C23:L23" si="3">LN(C22/B22)</f>
        <v>5.8552293274801361E-2</v>
      </c>
      <c r="D23" s="112">
        <f t="shared" si="3"/>
        <v>3.9426380553738927E-2</v>
      </c>
      <c r="E23" s="112">
        <f t="shared" si="3"/>
        <v>-1.4804005545096815E-2</v>
      </c>
      <c r="F23" s="112">
        <f t="shared" si="3"/>
        <v>2.0704788797895404E-2</v>
      </c>
      <c r="G23" s="112">
        <f t="shared" si="3"/>
        <v>2.6208199417176954E-2</v>
      </c>
      <c r="H23" s="112">
        <f t="shared" si="3"/>
        <v>5.8122856574111946E-2</v>
      </c>
      <c r="I23" s="112">
        <f t="shared" si="3"/>
        <v>-2.1213528260928972E-2</v>
      </c>
      <c r="J23" s="112">
        <f t="shared" si="3"/>
        <v>7.9880310734212395E-2</v>
      </c>
      <c r="K23" s="112">
        <f t="shared" si="3"/>
        <v>4.3487017973739923E-3</v>
      </c>
      <c r="L23" s="112">
        <f t="shared" si="3"/>
        <v>2.0566686521162014E-2</v>
      </c>
      <c r="M23" s="112">
        <f>LN(M22/L22)</f>
        <v>-4.5645500245083065E-3</v>
      </c>
      <c r="N23" s="112">
        <f>LN(N22/M22)</f>
        <v>2.9824190338504156E-2</v>
      </c>
      <c r="O23" s="112">
        <f>LN(O22/N22)</f>
        <v>8.5284742844361675E-2</v>
      </c>
      <c r="P23" s="112">
        <f>AVERAGE(L23:O23)</f>
        <v>3.277776741987988E-2</v>
      </c>
      <c r="Q23" s="32"/>
      <c r="S23" s="45">
        <v>1991</v>
      </c>
      <c r="T23" s="45">
        <v>1991</v>
      </c>
      <c r="U23" s="45">
        <v>1991</v>
      </c>
      <c r="V23" s="45">
        <v>1991</v>
      </c>
      <c r="W23" s="45">
        <v>1991</v>
      </c>
      <c r="X23" s="45">
        <v>1991</v>
      </c>
      <c r="Y23" s="45">
        <v>1991</v>
      </c>
      <c r="Z23" s="45">
        <v>1991</v>
      </c>
      <c r="AA23" s="45">
        <v>1991</v>
      </c>
      <c r="AB23" s="45">
        <v>1991</v>
      </c>
      <c r="AC23" s="45">
        <v>1991</v>
      </c>
      <c r="AD23" s="45">
        <v>1991</v>
      </c>
      <c r="AE23" s="45">
        <v>1992</v>
      </c>
      <c r="AF23" s="45">
        <v>1992</v>
      </c>
      <c r="AG23" s="45">
        <v>1992</v>
      </c>
      <c r="AH23" s="45">
        <v>1992</v>
      </c>
      <c r="AI23" s="45">
        <v>1992</v>
      </c>
      <c r="AJ23" s="45">
        <v>1992</v>
      </c>
      <c r="AK23" s="45">
        <v>1992</v>
      </c>
      <c r="AL23" s="45">
        <v>1992</v>
      </c>
      <c r="AM23" s="45">
        <v>1992</v>
      </c>
      <c r="AN23" s="45">
        <v>1992</v>
      </c>
      <c r="AO23" s="45">
        <v>1992</v>
      </c>
      <c r="AP23" s="45">
        <v>1992</v>
      </c>
      <c r="AQ23" s="45">
        <v>1993</v>
      </c>
      <c r="AR23" s="45">
        <v>1993</v>
      </c>
      <c r="AS23" s="45">
        <v>1993</v>
      </c>
      <c r="AT23" s="45">
        <v>1993</v>
      </c>
      <c r="AU23" s="45">
        <v>1993</v>
      </c>
      <c r="AV23" s="45">
        <v>1993</v>
      </c>
      <c r="AW23" s="45">
        <v>1993</v>
      </c>
      <c r="AX23" s="45">
        <v>1993</v>
      </c>
      <c r="AY23" s="45">
        <v>1993</v>
      </c>
      <c r="AZ23" s="45">
        <v>1993</v>
      </c>
      <c r="BA23" s="45">
        <v>1993</v>
      </c>
      <c r="BB23" s="45">
        <v>1993</v>
      </c>
      <c r="BC23" s="45">
        <v>1994</v>
      </c>
      <c r="BD23" s="45">
        <v>1994</v>
      </c>
      <c r="BE23" s="45">
        <v>1994</v>
      </c>
      <c r="BF23" s="45">
        <v>1994</v>
      </c>
      <c r="BG23" s="45">
        <v>1994</v>
      </c>
      <c r="BH23" s="45">
        <v>1994</v>
      </c>
      <c r="BI23" s="45">
        <v>1994</v>
      </c>
      <c r="BJ23" s="45">
        <v>1994</v>
      </c>
      <c r="BK23" s="45">
        <v>1994</v>
      </c>
      <c r="BL23" s="45">
        <v>1994</v>
      </c>
      <c r="BM23" s="45">
        <v>1994</v>
      </c>
      <c r="BN23" s="45">
        <v>1994</v>
      </c>
      <c r="BO23" s="45">
        <v>1995</v>
      </c>
      <c r="BP23" s="45">
        <v>1995</v>
      </c>
      <c r="BQ23" s="45">
        <v>1995</v>
      </c>
      <c r="BR23" s="45">
        <v>1995</v>
      </c>
      <c r="BS23" s="45">
        <v>1995</v>
      </c>
      <c r="BT23" s="45">
        <v>1995</v>
      </c>
      <c r="BU23" s="45">
        <v>1995</v>
      </c>
      <c r="BV23" s="45">
        <v>1995</v>
      </c>
      <c r="BW23" s="45">
        <v>1995</v>
      </c>
      <c r="BX23" s="45">
        <v>1995</v>
      </c>
      <c r="BY23" s="45">
        <v>1995</v>
      </c>
      <c r="BZ23" s="45">
        <v>1995</v>
      </c>
      <c r="CA23" s="45">
        <v>1996</v>
      </c>
      <c r="CB23" s="45">
        <v>1996</v>
      </c>
      <c r="CC23" s="45">
        <v>1996</v>
      </c>
      <c r="CD23" s="45">
        <v>1996</v>
      </c>
      <c r="CE23" s="45">
        <v>1996</v>
      </c>
      <c r="CF23" s="45">
        <v>1996</v>
      </c>
      <c r="CG23" s="45">
        <v>1996</v>
      </c>
      <c r="CH23" s="45">
        <v>1996</v>
      </c>
      <c r="CI23" s="45">
        <v>1996</v>
      </c>
      <c r="CJ23" s="45">
        <v>1996</v>
      </c>
      <c r="CK23" s="45">
        <v>1996</v>
      </c>
      <c r="CL23" s="45">
        <v>1996</v>
      </c>
      <c r="CM23" s="45">
        <v>1997</v>
      </c>
      <c r="CN23" s="45">
        <v>1997</v>
      </c>
      <c r="CO23" s="45">
        <v>1997</v>
      </c>
      <c r="CP23" s="45">
        <v>1997</v>
      </c>
      <c r="CQ23" s="45">
        <v>1997</v>
      </c>
      <c r="CR23" s="45">
        <v>1997</v>
      </c>
      <c r="CS23" s="45">
        <v>1997</v>
      </c>
      <c r="CT23" s="45">
        <v>1997</v>
      </c>
      <c r="CU23" s="45">
        <v>1997</v>
      </c>
      <c r="CV23" s="45">
        <v>1997</v>
      </c>
      <c r="CW23" s="45">
        <v>1997</v>
      </c>
      <c r="CX23" s="45">
        <v>1997</v>
      </c>
      <c r="CY23" s="45">
        <v>1998</v>
      </c>
      <c r="CZ23" s="45">
        <v>1998</v>
      </c>
      <c r="DA23" s="45">
        <v>1998</v>
      </c>
      <c r="DB23" s="45">
        <v>1998</v>
      </c>
      <c r="DC23" s="45">
        <v>1998</v>
      </c>
      <c r="DD23" s="45">
        <v>1998</v>
      </c>
      <c r="DE23" s="45">
        <v>1998</v>
      </c>
      <c r="DF23" s="45">
        <v>1998</v>
      </c>
      <c r="DG23" s="45">
        <v>1998</v>
      </c>
      <c r="DH23" s="45">
        <v>1998</v>
      </c>
      <c r="DI23" s="45">
        <v>1998</v>
      </c>
      <c r="DJ23" s="45">
        <v>1998</v>
      </c>
      <c r="DK23" s="45">
        <v>1999</v>
      </c>
      <c r="DL23" s="45">
        <v>1999</v>
      </c>
      <c r="DM23" s="45">
        <v>1999</v>
      </c>
      <c r="DN23" s="45">
        <v>1999</v>
      </c>
      <c r="DO23" s="45">
        <v>1999</v>
      </c>
      <c r="DP23" s="45">
        <v>1999</v>
      </c>
      <c r="DQ23" s="45">
        <v>1999</v>
      </c>
      <c r="DR23" s="45">
        <v>1999</v>
      </c>
      <c r="DS23" s="45">
        <v>1999</v>
      </c>
      <c r="DT23" s="45">
        <v>1999</v>
      </c>
      <c r="DU23" s="45">
        <v>1999</v>
      </c>
      <c r="DV23" s="45">
        <v>1999</v>
      </c>
      <c r="DW23" s="45">
        <v>2000</v>
      </c>
      <c r="DX23" s="45">
        <v>2000</v>
      </c>
      <c r="DY23" s="45">
        <v>2000</v>
      </c>
      <c r="DZ23" s="45">
        <v>2000</v>
      </c>
      <c r="EA23" s="45">
        <v>2000</v>
      </c>
      <c r="EB23" s="45">
        <v>2000</v>
      </c>
      <c r="EC23" s="45">
        <v>2000</v>
      </c>
      <c r="ED23" s="45">
        <v>2000</v>
      </c>
      <c r="EE23" s="45">
        <v>2000</v>
      </c>
      <c r="EF23" s="45">
        <v>2000</v>
      </c>
      <c r="EG23" s="45">
        <v>2000</v>
      </c>
      <c r="EH23" s="45">
        <v>2000</v>
      </c>
    </row>
    <row r="24" spans="1:138" ht="13.5" thickBot="1">
      <c r="Q24" s="32"/>
      <c r="S24" s="46">
        <v>1</v>
      </c>
      <c r="T24" s="46">
        <v>2</v>
      </c>
      <c r="U24" s="46">
        <v>3</v>
      </c>
      <c r="V24" s="46">
        <v>4</v>
      </c>
      <c r="W24" s="46">
        <v>5</v>
      </c>
      <c r="X24" s="46">
        <v>6</v>
      </c>
      <c r="Y24" s="46">
        <v>7</v>
      </c>
      <c r="Z24" s="46">
        <v>8</v>
      </c>
      <c r="AA24" s="46">
        <v>9</v>
      </c>
      <c r="AB24" s="46">
        <v>10</v>
      </c>
      <c r="AC24" s="46">
        <v>11</v>
      </c>
      <c r="AD24" s="46">
        <v>12</v>
      </c>
      <c r="AE24" s="46">
        <v>1</v>
      </c>
      <c r="AF24" s="46">
        <v>2</v>
      </c>
      <c r="AG24" s="46">
        <v>3</v>
      </c>
      <c r="AH24" s="46">
        <v>4</v>
      </c>
      <c r="AI24" s="46">
        <v>5</v>
      </c>
      <c r="AJ24" s="46">
        <v>6</v>
      </c>
      <c r="AK24" s="46">
        <v>7</v>
      </c>
      <c r="AL24" s="46">
        <v>8</v>
      </c>
      <c r="AM24" s="46">
        <v>9</v>
      </c>
      <c r="AN24" s="46">
        <v>10</v>
      </c>
      <c r="AO24" s="46">
        <v>11</v>
      </c>
      <c r="AP24" s="46">
        <v>12</v>
      </c>
      <c r="AQ24" s="46">
        <v>1</v>
      </c>
      <c r="AR24" s="46">
        <v>2</v>
      </c>
      <c r="AS24" s="46">
        <v>3</v>
      </c>
      <c r="AT24" s="46">
        <v>4</v>
      </c>
      <c r="AU24" s="46">
        <v>5</v>
      </c>
      <c r="AV24" s="46">
        <v>6</v>
      </c>
      <c r="AW24" s="46">
        <v>7</v>
      </c>
      <c r="AX24" s="46">
        <v>8</v>
      </c>
      <c r="AY24" s="46">
        <v>9</v>
      </c>
      <c r="AZ24" s="46">
        <v>10</v>
      </c>
      <c r="BA24" s="46">
        <v>11</v>
      </c>
      <c r="BB24" s="46">
        <v>12</v>
      </c>
      <c r="BC24" s="46">
        <v>1</v>
      </c>
      <c r="BD24" s="46">
        <v>2</v>
      </c>
      <c r="BE24" s="46">
        <v>3</v>
      </c>
      <c r="BF24" s="46">
        <v>4</v>
      </c>
      <c r="BG24" s="46">
        <v>5</v>
      </c>
      <c r="BH24" s="46">
        <v>6</v>
      </c>
      <c r="BI24" s="46">
        <v>7</v>
      </c>
      <c r="BJ24" s="46">
        <v>8</v>
      </c>
      <c r="BK24" s="46">
        <v>9</v>
      </c>
      <c r="BL24" s="46">
        <v>10</v>
      </c>
      <c r="BM24" s="46">
        <v>11</v>
      </c>
      <c r="BN24" s="46">
        <v>12</v>
      </c>
      <c r="BO24" s="46">
        <v>1</v>
      </c>
      <c r="BP24" s="46">
        <v>2</v>
      </c>
      <c r="BQ24" s="46">
        <v>3</v>
      </c>
      <c r="BR24" s="46">
        <v>4</v>
      </c>
      <c r="BS24" s="46">
        <v>5</v>
      </c>
      <c r="BT24" s="46">
        <v>6</v>
      </c>
      <c r="BU24" s="46">
        <v>7</v>
      </c>
      <c r="BV24" s="46">
        <v>8</v>
      </c>
      <c r="BW24" s="46">
        <v>9</v>
      </c>
      <c r="BX24" s="46">
        <v>10</v>
      </c>
      <c r="BY24" s="46">
        <v>11</v>
      </c>
      <c r="BZ24" s="46">
        <v>12</v>
      </c>
      <c r="CA24" s="46">
        <v>1</v>
      </c>
      <c r="CB24" s="46">
        <v>2</v>
      </c>
      <c r="CC24" s="46">
        <v>3</v>
      </c>
      <c r="CD24" s="46">
        <v>4</v>
      </c>
      <c r="CE24" s="46">
        <v>5</v>
      </c>
      <c r="CF24" s="46">
        <v>6</v>
      </c>
      <c r="CG24" s="46">
        <v>7</v>
      </c>
      <c r="CH24" s="46">
        <v>8</v>
      </c>
      <c r="CI24" s="46">
        <v>9</v>
      </c>
      <c r="CJ24" s="46">
        <v>10</v>
      </c>
      <c r="CK24" s="46">
        <v>11</v>
      </c>
      <c r="CL24" s="46">
        <v>12</v>
      </c>
      <c r="CM24" s="46">
        <v>1</v>
      </c>
      <c r="CN24" s="46">
        <v>2</v>
      </c>
      <c r="CO24" s="46">
        <v>3</v>
      </c>
      <c r="CP24" s="46">
        <v>4</v>
      </c>
      <c r="CQ24" s="46">
        <v>5</v>
      </c>
      <c r="CR24" s="46">
        <v>6</v>
      </c>
      <c r="CS24" s="46">
        <v>7</v>
      </c>
      <c r="CT24" s="46">
        <v>8</v>
      </c>
      <c r="CU24" s="46">
        <v>9</v>
      </c>
      <c r="CV24" s="46">
        <v>10</v>
      </c>
      <c r="CW24" s="46">
        <v>11</v>
      </c>
      <c r="CX24" s="46">
        <v>12</v>
      </c>
      <c r="CY24" s="46">
        <v>1</v>
      </c>
      <c r="CZ24" s="46">
        <v>2</v>
      </c>
      <c r="DA24" s="46">
        <v>3</v>
      </c>
      <c r="DB24" s="46">
        <v>4</v>
      </c>
      <c r="DC24" s="46">
        <v>5</v>
      </c>
      <c r="DD24" s="46">
        <v>6</v>
      </c>
      <c r="DE24" s="46">
        <v>7</v>
      </c>
      <c r="DF24" s="46">
        <v>8</v>
      </c>
      <c r="DG24" s="46">
        <v>9</v>
      </c>
      <c r="DH24" s="46">
        <v>10</v>
      </c>
      <c r="DI24" s="46">
        <v>11</v>
      </c>
      <c r="DJ24" s="46">
        <v>12</v>
      </c>
      <c r="DK24" s="46">
        <v>1</v>
      </c>
      <c r="DL24" s="46">
        <v>2</v>
      </c>
      <c r="DM24" s="46">
        <v>3</v>
      </c>
      <c r="DN24" s="46">
        <v>4</v>
      </c>
      <c r="DO24" s="46">
        <v>5</v>
      </c>
      <c r="DP24" s="46">
        <v>6</v>
      </c>
      <c r="DQ24" s="46">
        <v>7</v>
      </c>
      <c r="DR24" s="46">
        <v>8</v>
      </c>
      <c r="DS24" s="46">
        <v>9</v>
      </c>
      <c r="DT24" s="46">
        <v>10</v>
      </c>
      <c r="DU24" s="46">
        <v>11</v>
      </c>
      <c r="DV24" s="46">
        <v>12</v>
      </c>
      <c r="DW24" s="46">
        <v>1</v>
      </c>
      <c r="DX24" s="46">
        <v>2</v>
      </c>
      <c r="DY24" s="46">
        <v>3</v>
      </c>
      <c r="DZ24" s="46">
        <v>4</v>
      </c>
      <c r="EA24" s="46">
        <v>5</v>
      </c>
      <c r="EB24" s="46">
        <v>6</v>
      </c>
      <c r="EC24" s="46">
        <v>7</v>
      </c>
      <c r="ED24" s="46">
        <v>8</v>
      </c>
      <c r="EE24" s="46">
        <v>9</v>
      </c>
      <c r="EF24" s="46">
        <v>10</v>
      </c>
      <c r="EG24" s="46">
        <v>11</v>
      </c>
      <c r="EH24" s="46">
        <v>12</v>
      </c>
    </row>
    <row r="25" spans="1:138" ht="13.5" thickBot="1">
      <c r="B25" s="49" t="s">
        <v>52</v>
      </c>
      <c r="C25" s="50" t="s">
        <v>53</v>
      </c>
      <c r="D25" s="50" t="s">
        <v>54</v>
      </c>
      <c r="Q25" s="32"/>
      <c r="R25" s="47" t="s">
        <v>49</v>
      </c>
      <c r="S25" s="382" t="s">
        <v>456</v>
      </c>
      <c r="T25" s="382" t="s">
        <v>457</v>
      </c>
      <c r="U25" s="382" t="s">
        <v>458</v>
      </c>
      <c r="V25" s="382" t="s">
        <v>459</v>
      </c>
      <c r="W25" s="382" t="s">
        <v>460</v>
      </c>
      <c r="X25" s="382" t="s">
        <v>461</v>
      </c>
      <c r="Y25" s="382" t="s">
        <v>462</v>
      </c>
      <c r="Z25" s="382" t="s">
        <v>463</v>
      </c>
      <c r="AA25" s="382" t="s">
        <v>464</v>
      </c>
      <c r="AB25" s="382" t="s">
        <v>465</v>
      </c>
      <c r="AC25" s="382" t="s">
        <v>466</v>
      </c>
      <c r="AD25" s="382" t="s">
        <v>467</v>
      </c>
      <c r="AE25" s="382" t="s">
        <v>468</v>
      </c>
      <c r="AF25" s="382" t="s">
        <v>469</v>
      </c>
      <c r="AG25" s="382" t="s">
        <v>470</v>
      </c>
      <c r="AH25" s="382" t="s">
        <v>471</v>
      </c>
      <c r="AI25" s="382" t="s">
        <v>472</v>
      </c>
      <c r="AJ25" s="382" t="s">
        <v>473</v>
      </c>
      <c r="AK25" s="382" t="s">
        <v>474</v>
      </c>
      <c r="AL25" s="382" t="s">
        <v>475</v>
      </c>
      <c r="AM25" s="382" t="s">
        <v>476</v>
      </c>
      <c r="AN25" s="382" t="s">
        <v>477</v>
      </c>
      <c r="AO25" s="382" t="s">
        <v>478</v>
      </c>
      <c r="AP25" s="382" t="s">
        <v>479</v>
      </c>
      <c r="AQ25" s="382" t="s">
        <v>480</v>
      </c>
      <c r="AR25" s="382" t="s">
        <v>481</v>
      </c>
      <c r="AS25" s="382" t="s">
        <v>482</v>
      </c>
      <c r="AT25" s="382" t="s">
        <v>483</v>
      </c>
      <c r="AU25" s="382" t="s">
        <v>484</v>
      </c>
      <c r="AV25" s="382" t="s">
        <v>485</v>
      </c>
      <c r="AW25" s="382" t="s">
        <v>486</v>
      </c>
      <c r="AX25" s="382" t="s">
        <v>487</v>
      </c>
      <c r="AY25" s="382" t="s">
        <v>488</v>
      </c>
      <c r="AZ25" s="382" t="s">
        <v>489</v>
      </c>
      <c r="BA25" s="382" t="s">
        <v>490</v>
      </c>
      <c r="BB25" s="382" t="s">
        <v>491</v>
      </c>
      <c r="BC25" s="382" t="s">
        <v>492</v>
      </c>
      <c r="BD25" s="382" t="s">
        <v>493</v>
      </c>
      <c r="BE25" s="382" t="s">
        <v>494</v>
      </c>
      <c r="BF25" s="382" t="s">
        <v>495</v>
      </c>
      <c r="BG25" s="382" t="s">
        <v>496</v>
      </c>
      <c r="BH25" s="382" t="s">
        <v>497</v>
      </c>
      <c r="BI25" s="382" t="s">
        <v>498</v>
      </c>
      <c r="BJ25" s="382" t="s">
        <v>499</v>
      </c>
      <c r="BK25" s="382" t="s">
        <v>500</v>
      </c>
      <c r="BL25" s="382" t="s">
        <v>501</v>
      </c>
      <c r="BM25" s="382" t="s">
        <v>502</v>
      </c>
      <c r="BN25" s="382" t="s">
        <v>503</v>
      </c>
      <c r="BO25" s="382" t="s">
        <v>504</v>
      </c>
      <c r="BP25" s="382" t="s">
        <v>505</v>
      </c>
      <c r="BQ25" s="382" t="s">
        <v>506</v>
      </c>
      <c r="BR25" s="382" t="s">
        <v>507</v>
      </c>
      <c r="BS25" s="382" t="s">
        <v>508</v>
      </c>
      <c r="BT25" s="382" t="s">
        <v>509</v>
      </c>
      <c r="BU25" s="382" t="s">
        <v>510</v>
      </c>
      <c r="BV25" s="382" t="s">
        <v>511</v>
      </c>
      <c r="BW25" s="382" t="s">
        <v>512</v>
      </c>
      <c r="BX25" s="382" t="s">
        <v>513</v>
      </c>
      <c r="BY25" s="382" t="s">
        <v>514</v>
      </c>
      <c r="BZ25" s="382" t="s">
        <v>515</v>
      </c>
      <c r="CA25" s="382" t="s">
        <v>516</v>
      </c>
      <c r="CB25" s="382" t="s">
        <v>517</v>
      </c>
      <c r="CC25" s="382" t="s">
        <v>518</v>
      </c>
      <c r="CD25" s="382" t="s">
        <v>519</v>
      </c>
      <c r="CE25" s="382" t="s">
        <v>520</v>
      </c>
      <c r="CF25" s="382" t="s">
        <v>521</v>
      </c>
      <c r="CG25" s="382" t="s">
        <v>522</v>
      </c>
      <c r="CH25" s="382" t="s">
        <v>523</v>
      </c>
      <c r="CI25" s="382" t="s">
        <v>524</v>
      </c>
      <c r="CJ25" s="382" t="s">
        <v>525</v>
      </c>
      <c r="CK25" s="382" t="s">
        <v>526</v>
      </c>
      <c r="CL25" s="382" t="s">
        <v>527</v>
      </c>
      <c r="CM25" s="382" t="s">
        <v>528</v>
      </c>
      <c r="CN25" s="382" t="s">
        <v>529</v>
      </c>
      <c r="CO25" s="382" t="s">
        <v>530</v>
      </c>
      <c r="CP25" s="382" t="s">
        <v>531</v>
      </c>
      <c r="CQ25" s="382" t="s">
        <v>532</v>
      </c>
      <c r="CR25" s="382" t="s">
        <v>533</v>
      </c>
      <c r="CS25" s="382" t="s">
        <v>534</v>
      </c>
      <c r="CT25" s="382" t="s">
        <v>535</v>
      </c>
      <c r="CU25" s="382" t="s">
        <v>536</v>
      </c>
      <c r="CV25" s="382" t="s">
        <v>537</v>
      </c>
      <c r="CW25" s="382" t="s">
        <v>538</v>
      </c>
      <c r="CX25" s="382" t="s">
        <v>539</v>
      </c>
      <c r="CY25" s="382" t="s">
        <v>540</v>
      </c>
      <c r="CZ25" s="382" t="s">
        <v>541</v>
      </c>
      <c r="DA25" s="382" t="s">
        <v>542</v>
      </c>
      <c r="DB25" s="382" t="s">
        <v>543</v>
      </c>
      <c r="DC25" s="382" t="s">
        <v>544</v>
      </c>
      <c r="DD25" s="382" t="s">
        <v>545</v>
      </c>
      <c r="DE25" s="382" t="s">
        <v>546</v>
      </c>
      <c r="DF25" s="382" t="s">
        <v>547</v>
      </c>
      <c r="DG25" s="382" t="s">
        <v>548</v>
      </c>
      <c r="DH25" s="382" t="s">
        <v>549</v>
      </c>
      <c r="DI25" s="382" t="s">
        <v>550</v>
      </c>
      <c r="DJ25" s="382" t="s">
        <v>551</v>
      </c>
      <c r="DK25" s="382" t="s">
        <v>552</v>
      </c>
      <c r="DL25" s="382" t="s">
        <v>553</v>
      </c>
      <c r="DM25" s="382" t="s">
        <v>554</v>
      </c>
      <c r="DN25" s="382" t="s">
        <v>555</v>
      </c>
      <c r="DO25" s="382" t="s">
        <v>556</v>
      </c>
      <c r="DP25" s="382" t="s">
        <v>557</v>
      </c>
      <c r="DQ25" s="382" t="s">
        <v>558</v>
      </c>
      <c r="DR25" s="382" t="s">
        <v>559</v>
      </c>
      <c r="DS25" s="382" t="s">
        <v>560</v>
      </c>
      <c r="DT25" s="382" t="s">
        <v>561</v>
      </c>
      <c r="DU25" s="382" t="s">
        <v>562</v>
      </c>
      <c r="DV25" s="382" t="s">
        <v>563</v>
      </c>
      <c r="DW25" s="382" t="s">
        <v>564</v>
      </c>
      <c r="DX25" s="382" t="s">
        <v>565</v>
      </c>
      <c r="DY25" s="382" t="s">
        <v>566</v>
      </c>
      <c r="DZ25" s="382" t="s">
        <v>567</v>
      </c>
      <c r="EA25" s="382" t="s">
        <v>568</v>
      </c>
      <c r="EB25" s="382" t="s">
        <v>569</v>
      </c>
      <c r="EC25" s="382" t="s">
        <v>570</v>
      </c>
      <c r="ED25" s="382" t="s">
        <v>571</v>
      </c>
      <c r="EE25" s="382" t="s">
        <v>572</v>
      </c>
      <c r="EF25" s="382" t="s">
        <v>573</v>
      </c>
      <c r="EG25" s="382" t="s">
        <v>574</v>
      </c>
      <c r="EH25" s="382" t="s">
        <v>575</v>
      </c>
    </row>
    <row r="26" spans="1:138" ht="13.5" thickBot="1">
      <c r="B26" s="46">
        <v>2001</v>
      </c>
      <c r="C26" s="418">
        <f>AVERAGEIF($B$20:$O$20,$B26,$B$17:$O$17)</f>
        <v>695.66</v>
      </c>
      <c r="D26" s="418">
        <f>AVERAGEIF($B$20:$O$20,$B26,$B$22:$O$22)</f>
        <v>1306.79</v>
      </c>
      <c r="Q26" s="32"/>
      <c r="S26" s="419" t="str">
        <f>LEFT(S25,LEN(S25)-3)</f>
        <v>783.05</v>
      </c>
      <c r="T26" s="419" t="str">
        <f t="shared" ref="T26:CE26" si="4">LEFT(T25,LEN(T25)-3)</f>
        <v>822.86</v>
      </c>
      <c r="U26" s="419" t="str">
        <f t="shared" si="4"/>
        <v>864.12</v>
      </c>
      <c r="V26" s="419" t="str">
        <f t="shared" si="4"/>
        <v>860.22</v>
      </c>
      <c r="W26" s="419" t="str">
        <f t="shared" si="4"/>
        <v>837.73</v>
      </c>
      <c r="X26" s="419" t="str">
        <f t="shared" si="4"/>
        <v>842.40</v>
      </c>
      <c r="Y26" s="419" t="str">
        <f t="shared" si="4"/>
        <v>834.83</v>
      </c>
      <c r="Z26" s="419" t="str">
        <f t="shared" si="4"/>
        <v>856.41</v>
      </c>
      <c r="AA26" s="419" t="str">
        <f t="shared" si="4"/>
        <v>856.11</v>
      </c>
      <c r="AB26" s="419" t="str">
        <f t="shared" si="4"/>
        <v>876.23</v>
      </c>
      <c r="AC26" s="419" t="str">
        <f t="shared" si="4"/>
        <v>914.08</v>
      </c>
      <c r="AD26" s="419" t="str">
        <f t="shared" si="4"/>
        <v>901.16</v>
      </c>
      <c r="AE26" s="419" t="str">
        <f t="shared" si="4"/>
        <v>884.58</v>
      </c>
      <c r="AF26" s="419" t="str">
        <f t="shared" si="4"/>
        <v>884.66</v>
      </c>
      <c r="AG26" s="419" t="str">
        <f t="shared" si="4"/>
        <v>887.55</v>
      </c>
      <c r="AH26" s="419" t="str">
        <f t="shared" si="4"/>
        <v>904.94</v>
      </c>
      <c r="AI26" s="419" t="str">
        <f t="shared" si="4"/>
        <v>895.68</v>
      </c>
      <c r="AJ26" s="419" t="str">
        <f t="shared" si="4"/>
        <v>880.16</v>
      </c>
      <c r="AK26" s="419" t="str">
        <f t="shared" si="4"/>
        <v>878.41</v>
      </c>
      <c r="AL26" s="419" t="str">
        <f t="shared" si="4"/>
        <v>878.32</v>
      </c>
      <c r="AM26" s="419" t="str">
        <f t="shared" si="4"/>
        <v>905.61</v>
      </c>
      <c r="AN26" s="419" t="str">
        <f t="shared" si="4"/>
        <v>904.58</v>
      </c>
      <c r="AO26" s="419" t="str">
        <f t="shared" si="4"/>
        <v>910.54</v>
      </c>
      <c r="AP26" s="419" t="str">
        <f t="shared" si="4"/>
        <v>895.45</v>
      </c>
      <c r="AQ26" s="419" t="str">
        <f t="shared" si="4"/>
        <v>897.15</v>
      </c>
      <c r="AR26" s="419" t="str">
        <f t="shared" si="4"/>
        <v>884.48</v>
      </c>
      <c r="AS26" s="419" t="str">
        <f t="shared" si="4"/>
        <v>884.07</v>
      </c>
      <c r="AT26" s="419" t="str">
        <f t="shared" si="4"/>
        <v>907.93</v>
      </c>
      <c r="AU26" s="419" t="str">
        <f t="shared" si="4"/>
        <v>890.34</v>
      </c>
      <c r="AV26" s="419" t="str">
        <f t="shared" si="4"/>
        <v>895.79</v>
      </c>
      <c r="AW26" s="419" t="str">
        <f t="shared" si="4"/>
        <v>886.23</v>
      </c>
      <c r="AX26" s="419" t="str">
        <f t="shared" si="4"/>
        <v>890.46</v>
      </c>
      <c r="AY26" s="419" t="str">
        <f t="shared" si="4"/>
        <v>906.11</v>
      </c>
      <c r="AZ26" s="419" t="str">
        <f t="shared" si="4"/>
        <v>913.13</v>
      </c>
      <c r="BA26" s="419" t="str">
        <f t="shared" si="4"/>
        <v>912.85</v>
      </c>
      <c r="BB26" s="419" t="str">
        <f t="shared" si="4"/>
        <v>887.11</v>
      </c>
      <c r="BC26" s="419" t="str">
        <f t="shared" si="4"/>
        <v>915.33</v>
      </c>
      <c r="BD26" s="419" t="str">
        <f t="shared" si="4"/>
        <v>915.32</v>
      </c>
      <c r="BE26" s="419" t="str">
        <f t="shared" si="4"/>
        <v>907.78</v>
      </c>
      <c r="BF26" s="419" t="str">
        <f t="shared" si="4"/>
        <v>924.75</v>
      </c>
      <c r="BG26" s="419" t="str">
        <f t="shared" si="4"/>
        <v>921.67</v>
      </c>
      <c r="BH26" s="419" t="str">
        <f t="shared" si="4"/>
        <v>922.05</v>
      </c>
      <c r="BI26" s="419" t="str">
        <f t="shared" si="4"/>
        <v>919.44</v>
      </c>
      <c r="BJ26" s="419" t="str">
        <f t="shared" si="4"/>
        <v>920.64</v>
      </c>
      <c r="BK26" s="419" t="str">
        <f t="shared" si="4"/>
        <v>924.74</v>
      </c>
      <c r="BL26" s="419" t="str">
        <f t="shared" si="4"/>
        <v>932.30</v>
      </c>
      <c r="BM26" s="419" t="str">
        <f t="shared" si="4"/>
        <v>945.21</v>
      </c>
      <c r="BN26" s="419" t="str">
        <f t="shared" si="4"/>
        <v>909.36</v>
      </c>
      <c r="BO26" s="419" t="str">
        <f t="shared" si="4"/>
        <v>912.21</v>
      </c>
      <c r="BP26" s="419" t="str">
        <f t="shared" si="4"/>
        <v>927.58</v>
      </c>
      <c r="BQ26" s="419" t="str">
        <f t="shared" si="4"/>
        <v>927.85</v>
      </c>
      <c r="BR26" s="419" t="str">
        <f t="shared" si="4"/>
        <v>935.23</v>
      </c>
      <c r="BS26" s="419" t="str">
        <f t="shared" si="4"/>
        <v>938.58</v>
      </c>
      <c r="BT26" s="419" t="str">
        <f t="shared" si="4"/>
        <v>942.74</v>
      </c>
      <c r="BU26" s="419" t="str">
        <f t="shared" si="4"/>
        <v>936.41</v>
      </c>
      <c r="BV26" s="419" t="str">
        <f t="shared" si="4"/>
        <v>930.31</v>
      </c>
      <c r="BW26" s="419" t="str">
        <f t="shared" si="4"/>
        <v>940.20</v>
      </c>
      <c r="BX26" s="419" t="str">
        <f t="shared" si="4"/>
        <v>955.56</v>
      </c>
      <c r="BY26" s="419" t="str">
        <f t="shared" si="4"/>
        <v>959.10</v>
      </c>
      <c r="BZ26" s="419" t="str">
        <f t="shared" si="4"/>
        <v>934.63</v>
      </c>
      <c r="CA26" s="419" t="str">
        <f t="shared" si="4"/>
        <v>919.03</v>
      </c>
      <c r="CB26" s="419" t="str">
        <f t="shared" si="4"/>
        <v>927.40</v>
      </c>
      <c r="CC26" s="419" t="str">
        <f t="shared" si="4"/>
        <v>931.97</v>
      </c>
      <c r="CD26" s="419" t="str">
        <f t="shared" si="4"/>
        <v>940.06</v>
      </c>
      <c r="CE26" s="419" t="str">
        <f t="shared" si="4"/>
        <v>931.98</v>
      </c>
      <c r="CF26" s="419" t="str">
        <f t="shared" ref="CF26:EH26" si="5">LEFT(CF25,LEN(CF25)-3)</f>
        <v>934.57</v>
      </c>
      <c r="CG26" s="419" t="str">
        <f t="shared" si="5"/>
        <v>935.04</v>
      </c>
      <c r="CH26" s="419" t="str">
        <f t="shared" si="5"/>
        <v>935.02</v>
      </c>
      <c r="CI26" s="419" t="str">
        <f t="shared" si="5"/>
        <v>950.50</v>
      </c>
      <c r="CJ26" s="419" t="str">
        <f t="shared" si="5"/>
        <v>958.25</v>
      </c>
      <c r="CK26" s="419" t="str">
        <f t="shared" si="5"/>
        <v>970.73</v>
      </c>
      <c r="CL26" s="419" t="str">
        <f t="shared" si="5"/>
        <v>942.46</v>
      </c>
      <c r="CM26" s="419" t="str">
        <f t="shared" si="5"/>
        <v>967.08</v>
      </c>
      <c r="CN26" s="419" t="str">
        <f t="shared" si="5"/>
        <v>969.07</v>
      </c>
      <c r="CO26" s="419" t="str">
        <f t="shared" si="5"/>
        <v>959.15</v>
      </c>
      <c r="CP26" s="419" t="str">
        <f t="shared" si="5"/>
        <v>993.29</v>
      </c>
      <c r="CQ26" s="419" t="str">
        <f t="shared" si="5"/>
        <v>999.42</v>
      </c>
      <c r="CR26" s="419" t="str">
        <f t="shared" si="5"/>
        <v>998.34</v>
      </c>
      <c r="CS26" s="419" t="str">
        <f t="shared" si="5"/>
        <v>969.94</v>
      </c>
      <c r="CT26" s="419" t="str">
        <f t="shared" si="5"/>
        <v>974.01</v>
      </c>
      <c r="CU26" s="419" t="str">
        <f t="shared" si="5"/>
        <v>991.88</v>
      </c>
      <c r="CV26" s="419" t="str">
        <f t="shared" si="5"/>
        <v>1,025.73</v>
      </c>
      <c r="CW26" s="419" t="str">
        <f t="shared" si="5"/>
        <v>1,016.63</v>
      </c>
      <c r="CX26" s="419" t="str">
        <f t="shared" si="5"/>
        <v>989.92</v>
      </c>
      <c r="CY26" s="419" t="str">
        <f t="shared" si="5"/>
        <v>1,064.65</v>
      </c>
      <c r="CZ26" s="419" t="str">
        <f t="shared" si="5"/>
        <v>1,011.82</v>
      </c>
      <c r="DA26" s="419" t="str">
        <f t="shared" si="5"/>
        <v>1,007.16</v>
      </c>
      <c r="DB26" s="419" t="str">
        <f t="shared" si="5"/>
        <v>1,011.04</v>
      </c>
      <c r="DC26" s="419" t="str">
        <f t="shared" si="5"/>
        <v>1,013.18</v>
      </c>
      <c r="DD26" s="419" t="str">
        <f t="shared" si="5"/>
        <v>1,031.88</v>
      </c>
      <c r="DE26" s="419" t="str">
        <f t="shared" si="5"/>
        <v>1,041.62</v>
      </c>
      <c r="DF26" s="419" t="str">
        <f t="shared" si="5"/>
        <v>1,039.00</v>
      </c>
      <c r="DG26" s="419" t="str">
        <f t="shared" si="5"/>
        <v>1,039.92</v>
      </c>
      <c r="DH26" s="419" t="str">
        <f t="shared" si="5"/>
        <v>1,044.75</v>
      </c>
      <c r="DI26" s="419" t="str">
        <f t="shared" si="5"/>
        <v>1,044.54</v>
      </c>
      <c r="DJ26" s="419" t="str">
        <f t="shared" si="5"/>
        <v>1,049.20</v>
      </c>
      <c r="DK26" s="419" t="str">
        <f t="shared" si="5"/>
        <v>1,043.23</v>
      </c>
      <c r="DL26" s="419" t="str">
        <f t="shared" si="5"/>
        <v>1,039.50</v>
      </c>
      <c r="DM26" s="419" t="str">
        <f t="shared" si="5"/>
        <v>1,042.05</v>
      </c>
      <c r="DN26" s="419" t="str">
        <f t="shared" si="5"/>
        <v>1,062.64</v>
      </c>
      <c r="DO26" s="419" t="str">
        <f t="shared" si="5"/>
        <v>1,054.36</v>
      </c>
      <c r="DP26" s="419" t="str">
        <f t="shared" si="5"/>
        <v>1,023.22</v>
      </c>
      <c r="DQ26" s="419" t="str">
        <f t="shared" si="5"/>
        <v>1,049.26</v>
      </c>
      <c r="DR26" s="419" t="str">
        <f t="shared" si="5"/>
        <v>1,053.32</v>
      </c>
      <c r="DS26" s="419" t="str">
        <f t="shared" si="5"/>
        <v>1,050.77</v>
      </c>
      <c r="DT26" s="419" t="str">
        <f t="shared" si="5"/>
        <v>1,057.80</v>
      </c>
      <c r="DU26" s="419" t="str">
        <f t="shared" si="5"/>
        <v>1,060.68</v>
      </c>
      <c r="DV26" s="419" t="str">
        <f t="shared" si="5"/>
        <v>1,064.49</v>
      </c>
      <c r="DW26" s="419" t="str">
        <f t="shared" si="5"/>
        <v>1,064.39</v>
      </c>
      <c r="DX26" s="419" t="str">
        <f t="shared" si="5"/>
        <v>1,069.17</v>
      </c>
      <c r="DY26" s="419" t="str">
        <f t="shared" si="5"/>
        <v>1,067.63</v>
      </c>
      <c r="DZ26" s="419" t="str">
        <f t="shared" si="5"/>
        <v>1,065.73</v>
      </c>
      <c r="EA26" s="419" t="str">
        <f t="shared" si="5"/>
        <v>1,064.43</v>
      </c>
      <c r="EB26" s="419" t="str">
        <f t="shared" si="5"/>
        <v>1,064.89</v>
      </c>
      <c r="EC26" s="419" t="str">
        <f t="shared" si="5"/>
        <v>1,067.55</v>
      </c>
      <c r="ED26" s="419" t="str">
        <f t="shared" si="5"/>
        <v>1,067.93</v>
      </c>
      <c r="EE26" s="419" t="str">
        <f t="shared" si="5"/>
        <v>1,069.10</v>
      </c>
      <c r="EF26" s="419" t="str">
        <f t="shared" si="5"/>
        <v>1,071.52</v>
      </c>
      <c r="EG26" s="419" t="str">
        <f t="shared" si="5"/>
        <v>1,070.48</v>
      </c>
      <c r="EH26" s="419" t="str">
        <f t="shared" si="5"/>
        <v>1,072.96</v>
      </c>
    </row>
    <row r="27" spans="1:138" ht="13.5" thickBot="1">
      <c r="B27" s="46">
        <v>2002</v>
      </c>
      <c r="C27" s="418">
        <f t="shared" ref="C27:C39" si="6">AVERAGEIF($B$20:$O$20,$B27,$B$17:$O$17)</f>
        <v>710.87</v>
      </c>
      <c r="D27" s="418">
        <f t="shared" ref="D27:D39" si="7">AVERAGEIF($B$20:$O$20,$B27,$B$22:$O$22)</f>
        <v>1385.59</v>
      </c>
      <c r="Q27" s="32"/>
      <c r="S27" s="383">
        <v>783.05</v>
      </c>
      <c r="T27" s="383">
        <v>822.86</v>
      </c>
      <c r="U27" s="383">
        <v>864.12</v>
      </c>
      <c r="V27" s="383">
        <v>860.22</v>
      </c>
      <c r="W27" s="383">
        <v>837.73</v>
      </c>
      <c r="X27" s="383">
        <v>842.4</v>
      </c>
      <c r="Y27" s="383">
        <v>834.83</v>
      </c>
      <c r="Z27" s="383">
        <v>856.41</v>
      </c>
      <c r="AA27" s="383">
        <v>856.11</v>
      </c>
      <c r="AB27" s="383">
        <v>876.23</v>
      </c>
      <c r="AC27" s="383">
        <v>914.08</v>
      </c>
      <c r="AD27" s="383">
        <v>901.16</v>
      </c>
      <c r="AE27" s="383">
        <v>884.58</v>
      </c>
      <c r="AF27" s="383">
        <v>884.66</v>
      </c>
      <c r="AG27" s="383">
        <v>887.55</v>
      </c>
      <c r="AH27" s="383">
        <v>904.94</v>
      </c>
      <c r="AI27" s="383">
        <v>895.68</v>
      </c>
      <c r="AJ27" s="383">
        <v>880.16</v>
      </c>
      <c r="AK27" s="383">
        <v>878.41</v>
      </c>
      <c r="AL27" s="383">
        <v>878.32</v>
      </c>
      <c r="AM27" s="383">
        <v>905.61</v>
      </c>
      <c r="AN27" s="383">
        <v>904.58</v>
      </c>
      <c r="AO27" s="383">
        <v>910.54</v>
      </c>
      <c r="AP27" s="383">
        <v>895.45</v>
      </c>
      <c r="AQ27" s="383">
        <v>897.15</v>
      </c>
      <c r="AR27" s="383">
        <v>884.48</v>
      </c>
      <c r="AS27" s="383">
        <v>884.07</v>
      </c>
      <c r="AT27" s="383">
        <v>907.93</v>
      </c>
      <c r="AU27" s="383">
        <v>890.34</v>
      </c>
      <c r="AV27" s="383">
        <v>895.79</v>
      </c>
      <c r="AW27" s="383">
        <v>886.23</v>
      </c>
      <c r="AX27" s="383">
        <v>890.46</v>
      </c>
      <c r="AY27" s="383">
        <v>906.11</v>
      </c>
      <c r="AZ27" s="383">
        <v>913.13</v>
      </c>
      <c r="BA27" s="383">
        <v>912.85</v>
      </c>
      <c r="BB27" s="383">
        <v>887.11</v>
      </c>
      <c r="BC27" s="383">
        <v>915.33</v>
      </c>
      <c r="BD27" s="383">
        <v>915.32</v>
      </c>
      <c r="BE27" s="383">
        <v>907.78</v>
      </c>
      <c r="BF27" s="383">
        <v>924.75</v>
      </c>
      <c r="BG27" s="383">
        <v>921.67</v>
      </c>
      <c r="BH27" s="383">
        <v>922.05</v>
      </c>
      <c r="BI27" s="383">
        <v>919.44</v>
      </c>
      <c r="BJ27" s="383">
        <v>920.64</v>
      </c>
      <c r="BK27" s="383">
        <v>924.74</v>
      </c>
      <c r="BL27" s="383">
        <v>932.3</v>
      </c>
      <c r="BM27" s="383">
        <v>945.21</v>
      </c>
      <c r="BN27" s="383">
        <v>909.36</v>
      </c>
      <c r="BO27" s="383">
        <v>912.21</v>
      </c>
      <c r="BP27" s="383">
        <v>927.58</v>
      </c>
      <c r="BQ27" s="383">
        <v>927.85</v>
      </c>
      <c r="BR27" s="383">
        <v>935.23</v>
      </c>
      <c r="BS27" s="383">
        <v>938.58</v>
      </c>
      <c r="BT27" s="383">
        <v>942.74</v>
      </c>
      <c r="BU27" s="383">
        <v>936.41</v>
      </c>
      <c r="BV27" s="383">
        <v>930.31</v>
      </c>
      <c r="BW27" s="383">
        <v>940.2</v>
      </c>
      <c r="BX27" s="383">
        <v>955.56</v>
      </c>
      <c r="BY27" s="383">
        <v>959.1</v>
      </c>
      <c r="BZ27" s="383">
        <v>934.63</v>
      </c>
      <c r="CA27" s="383">
        <v>919.03</v>
      </c>
      <c r="CB27" s="383">
        <v>927.4</v>
      </c>
      <c r="CC27" s="383">
        <v>931.97</v>
      </c>
      <c r="CD27" s="383">
        <v>940.06</v>
      </c>
      <c r="CE27" s="383">
        <v>931.98</v>
      </c>
      <c r="CF27" s="383">
        <v>934.57</v>
      </c>
      <c r="CG27" s="383">
        <v>935.04</v>
      </c>
      <c r="CH27" s="383">
        <v>935.02</v>
      </c>
      <c r="CI27" s="383">
        <v>950.5</v>
      </c>
      <c r="CJ27" s="383">
        <v>958.25</v>
      </c>
      <c r="CK27" s="383">
        <v>970.73</v>
      </c>
      <c r="CL27" s="383">
        <v>942.46</v>
      </c>
      <c r="CM27" s="383">
        <v>967.08</v>
      </c>
      <c r="CN27" s="383">
        <v>969.07</v>
      </c>
      <c r="CO27" s="383">
        <v>959.15</v>
      </c>
      <c r="CP27" s="383">
        <v>993.29</v>
      </c>
      <c r="CQ27" s="383">
        <v>999.42</v>
      </c>
      <c r="CR27" s="383">
        <v>998.34</v>
      </c>
      <c r="CS27" s="383">
        <v>969.94</v>
      </c>
      <c r="CT27" s="383">
        <v>974.01</v>
      </c>
      <c r="CU27" s="383">
        <v>991.88</v>
      </c>
      <c r="CV27" s="384">
        <v>1025.73</v>
      </c>
      <c r="CW27" s="384">
        <v>1016.63</v>
      </c>
      <c r="CX27" s="383">
        <v>989.92</v>
      </c>
      <c r="CY27" s="384">
        <v>1064.6500000000001</v>
      </c>
      <c r="CZ27" s="384">
        <v>1011.82</v>
      </c>
      <c r="DA27" s="384">
        <v>1007.16</v>
      </c>
      <c r="DB27" s="384">
        <v>1011.04</v>
      </c>
      <c r="DC27" s="384">
        <v>1013.18</v>
      </c>
      <c r="DD27" s="384">
        <v>1031.8800000000001</v>
      </c>
      <c r="DE27" s="384">
        <v>1041.6199999999999</v>
      </c>
      <c r="DF27" s="384">
        <v>1039</v>
      </c>
      <c r="DG27" s="384">
        <v>1039.92</v>
      </c>
      <c r="DH27" s="384">
        <v>1044.75</v>
      </c>
      <c r="DI27" s="384">
        <v>1044.54</v>
      </c>
      <c r="DJ27" s="384">
        <v>1049.2</v>
      </c>
      <c r="DK27" s="384">
        <v>1043.23</v>
      </c>
      <c r="DL27" s="384">
        <v>1039.5</v>
      </c>
      <c r="DM27" s="384">
        <v>1042.05</v>
      </c>
      <c r="DN27" s="384">
        <v>1062.6400000000001</v>
      </c>
      <c r="DO27" s="384">
        <v>1054.3599999999999</v>
      </c>
      <c r="DP27" s="384">
        <v>1023.22</v>
      </c>
      <c r="DQ27" s="384">
        <v>1049.26</v>
      </c>
      <c r="DR27" s="384">
        <v>1053.32</v>
      </c>
      <c r="DS27" s="384">
        <v>1050.77</v>
      </c>
      <c r="DT27" s="384">
        <v>1057.8</v>
      </c>
      <c r="DU27" s="384">
        <v>1060.68</v>
      </c>
      <c r="DV27" s="384">
        <v>1064.49</v>
      </c>
      <c r="DW27" s="384">
        <v>1064.3900000000001</v>
      </c>
      <c r="DX27" s="384">
        <v>1069.17</v>
      </c>
      <c r="DY27" s="384">
        <v>1067.6300000000001</v>
      </c>
      <c r="DZ27" s="384">
        <v>1065.73</v>
      </c>
      <c r="EA27" s="384">
        <v>1064.43</v>
      </c>
      <c r="EB27" s="384">
        <v>1064.8900000000001</v>
      </c>
      <c r="EC27" s="384">
        <v>1067.55</v>
      </c>
      <c r="ED27" s="384">
        <v>1067.93</v>
      </c>
      <c r="EE27" s="384">
        <v>1069.0999999999999</v>
      </c>
      <c r="EF27" s="384">
        <v>1071.52</v>
      </c>
      <c r="EG27" s="384">
        <v>1070.48</v>
      </c>
      <c r="EH27" s="384">
        <v>1072.96</v>
      </c>
    </row>
    <row r="28" spans="1:138" ht="13.5" thickBot="1">
      <c r="B28" s="46">
        <v>2003</v>
      </c>
      <c r="C28" s="418">
        <f t="shared" si="6"/>
        <v>728.38</v>
      </c>
      <c r="D28" s="418">
        <f t="shared" si="7"/>
        <v>1441.31</v>
      </c>
      <c r="Q28" s="32"/>
    </row>
    <row r="29" spans="1:138" ht="13.5" thickBot="1">
      <c r="B29" s="46">
        <v>2004</v>
      </c>
      <c r="C29" s="418">
        <f t="shared" si="6"/>
        <v>748.57</v>
      </c>
      <c r="D29" s="418">
        <f t="shared" si="7"/>
        <v>1420.13</v>
      </c>
      <c r="Q29" s="32"/>
    </row>
    <row r="30" spans="1:138" ht="13.5" thickBot="1">
      <c r="B30" s="46">
        <v>2005</v>
      </c>
      <c r="C30" s="418">
        <f t="shared" si="6"/>
        <v>775.8</v>
      </c>
      <c r="D30" s="418">
        <f t="shared" si="7"/>
        <v>1449.84</v>
      </c>
      <c r="Q30" s="32"/>
      <c r="S30" s="49" t="s">
        <v>52</v>
      </c>
      <c r="T30" s="50" t="s">
        <v>55</v>
      </c>
      <c r="U30" s="50" t="s">
        <v>56</v>
      </c>
    </row>
    <row r="31" spans="1:138" ht="13.5" thickBot="1">
      <c r="B31" s="46">
        <v>2006</v>
      </c>
      <c r="C31" s="418">
        <f t="shared" si="6"/>
        <v>788.25</v>
      </c>
      <c r="D31" s="418">
        <f t="shared" si="7"/>
        <v>1488.34</v>
      </c>
      <c r="Q31" s="32"/>
      <c r="S31" s="46">
        <v>1991</v>
      </c>
      <c r="T31" s="418">
        <f t="shared" ref="T31:T40" si="8">AVERAGEIF($S$15:$EH$15,$S31,$S$19:$EH$19)</f>
        <v>575.90333333333331</v>
      </c>
      <c r="U31" s="418">
        <f>AVERAGEIF($S$15:$EH$15,$S31,$S$27:$EH$27)</f>
        <v>854.09999999999991</v>
      </c>
    </row>
    <row r="32" spans="1:138" ht="13.5" thickBot="1">
      <c r="B32" s="46">
        <v>2007</v>
      </c>
      <c r="C32" s="418">
        <f t="shared" si="6"/>
        <v>818.61</v>
      </c>
      <c r="D32" s="418">
        <f t="shared" si="7"/>
        <v>1577.41</v>
      </c>
      <c r="Q32" s="32"/>
      <c r="S32" s="46">
        <v>1992</v>
      </c>
      <c r="T32" s="418">
        <f t="shared" si="8"/>
        <v>598.56916666666666</v>
      </c>
      <c r="U32" s="418">
        <f t="shared" ref="U32:U40" si="9">AVERAGEIF($S$15:$EH$15,$S32,$S$27:$EH$27)</f>
        <v>892.54</v>
      </c>
    </row>
    <row r="33" spans="2:21" ht="13.5" thickBot="1">
      <c r="B33" s="46">
        <v>2008</v>
      </c>
      <c r="C33" s="418">
        <f t="shared" si="6"/>
        <v>837.91</v>
      </c>
      <c r="D33" s="418">
        <f t="shared" si="7"/>
        <v>1544.3</v>
      </c>
      <c r="Q33" s="32"/>
      <c r="S33" s="46">
        <v>1993</v>
      </c>
      <c r="T33" s="418">
        <f t="shared" si="8"/>
        <v>612.10833333333335</v>
      </c>
      <c r="U33" s="418">
        <f t="shared" si="9"/>
        <v>896.30416666666667</v>
      </c>
    </row>
    <row r="34" spans="2:21" ht="13.5" thickBot="1">
      <c r="B34" s="46">
        <v>2009</v>
      </c>
      <c r="C34" s="418">
        <f t="shared" si="6"/>
        <v>848.85</v>
      </c>
      <c r="D34" s="418">
        <f t="shared" si="7"/>
        <v>1672.72</v>
      </c>
      <c r="Q34" s="32"/>
      <c r="S34" s="46">
        <v>1994</v>
      </c>
      <c r="T34" s="418">
        <f t="shared" si="8"/>
        <v>627.87250000000006</v>
      </c>
      <c r="U34" s="418">
        <f t="shared" si="9"/>
        <v>921.54916666666668</v>
      </c>
    </row>
    <row r="35" spans="2:21" ht="13.5" thickBot="1">
      <c r="B35" s="46">
        <v>2010</v>
      </c>
      <c r="C35" s="418">
        <f t="shared" si="6"/>
        <v>881.43</v>
      </c>
      <c r="D35" s="418">
        <f t="shared" si="7"/>
        <v>1680.01</v>
      </c>
      <c r="Q35" s="32"/>
      <c r="S35" s="46">
        <v>1995</v>
      </c>
      <c r="T35" s="418">
        <f t="shared" si="8"/>
        <v>633.98</v>
      </c>
      <c r="U35" s="418">
        <f t="shared" si="9"/>
        <v>936.69999999999993</v>
      </c>
    </row>
    <row r="36" spans="2:21" ht="13.5" thickBot="1">
      <c r="B36" s="46">
        <v>2011</v>
      </c>
      <c r="C36" s="418">
        <f t="shared" si="6"/>
        <v>893.41</v>
      </c>
      <c r="D36" s="418">
        <f t="shared" si="7"/>
        <v>1714.92</v>
      </c>
      <c r="Q36" s="32"/>
      <c r="S36" s="46">
        <v>1996</v>
      </c>
      <c r="T36" s="418">
        <f t="shared" si="8"/>
        <v>649.29166666666663</v>
      </c>
      <c r="U36" s="418">
        <f t="shared" si="9"/>
        <v>939.75083333333316</v>
      </c>
    </row>
    <row r="37" spans="2:21" ht="13.5" thickBot="1">
      <c r="B37" s="46">
        <v>2012</v>
      </c>
      <c r="C37" s="418">
        <f t="shared" si="6"/>
        <v>906.09</v>
      </c>
      <c r="D37" s="418">
        <f t="shared" si="7"/>
        <v>1707.11</v>
      </c>
      <c r="Q37" s="32"/>
      <c r="S37" s="46">
        <v>1997</v>
      </c>
      <c r="T37" s="418">
        <f t="shared" si="8"/>
        <v>663.50749999999994</v>
      </c>
      <c r="U37" s="418">
        <f t="shared" si="9"/>
        <v>987.87166666666656</v>
      </c>
    </row>
    <row r="38" spans="2:21" ht="13.5" thickBot="1">
      <c r="B38" s="46">
        <v>2013</v>
      </c>
      <c r="C38" s="418">
        <f>AVERAGEIF($B$20:$O$20,$B38,$B$17:$O$17)</f>
        <v>920.12</v>
      </c>
      <c r="D38" s="418">
        <f>AVERAGEIF($B$20:$O$20,$B38,$B$22:$O$22)</f>
        <v>1758.79</v>
      </c>
      <c r="Q38" s="32"/>
      <c r="S38" s="46">
        <v>1998</v>
      </c>
      <c r="T38" s="418">
        <f t="shared" si="8"/>
        <v>672.53000000000009</v>
      </c>
      <c r="U38" s="418">
        <f t="shared" si="9"/>
        <v>1033.2300000000002</v>
      </c>
    </row>
    <row r="39" spans="2:21" ht="13.5" thickBot="1">
      <c r="B39" s="46">
        <v>2014</v>
      </c>
      <c r="C39" s="418">
        <f t="shared" si="6"/>
        <v>938.36</v>
      </c>
      <c r="D39" s="418">
        <f t="shared" si="7"/>
        <v>1915.37</v>
      </c>
      <c r="Q39" s="32"/>
      <c r="S39" s="46">
        <v>1999</v>
      </c>
      <c r="T39" s="418">
        <f t="shared" si="8"/>
        <v>683.48416666666662</v>
      </c>
      <c r="U39" s="418">
        <f t="shared" si="9"/>
        <v>1050.1099999999999</v>
      </c>
    </row>
    <row r="40" spans="2:21" ht="13.5" thickBot="1">
      <c r="Q40" s="32"/>
      <c r="S40" s="46">
        <v>2000</v>
      </c>
      <c r="T40" s="418">
        <f t="shared" si="8"/>
        <v>699.92833333333317</v>
      </c>
      <c r="U40" s="418">
        <f t="shared" si="9"/>
        <v>1067.9816666666668</v>
      </c>
    </row>
    <row r="41" spans="2:21">
      <c r="Q41" s="32"/>
    </row>
    <row r="42" spans="2:21">
      <c r="Q42" s="32"/>
    </row>
    <row r="43" spans="2:21">
      <c r="Q43" s="32"/>
    </row>
    <row r="44" spans="2:21">
      <c r="B44" s="51" t="s">
        <v>57</v>
      </c>
      <c r="Q44" s="32"/>
      <c r="S44" s="51" t="s">
        <v>57</v>
      </c>
    </row>
    <row r="45" spans="2:21">
      <c r="Q45" s="32"/>
      <c r="S45" s="52"/>
    </row>
    <row r="46" spans="2:21">
      <c r="B46" s="53">
        <v>1</v>
      </c>
      <c r="C46" t="s">
        <v>58</v>
      </c>
      <c r="Q46" s="32"/>
      <c r="R46" s="47" t="s">
        <v>59</v>
      </c>
      <c r="S46" s="53">
        <v>3</v>
      </c>
      <c r="T46" s="54" t="s">
        <v>60</v>
      </c>
    </row>
    <row r="47" spans="2:21">
      <c r="B47" s="53">
        <v>2</v>
      </c>
      <c r="C47" s="54" t="s">
        <v>61</v>
      </c>
      <c r="Q47" s="32"/>
      <c r="R47" s="47" t="s">
        <v>59</v>
      </c>
      <c r="S47" s="53">
        <v>4</v>
      </c>
      <c r="T47" s="54" t="s">
        <v>62</v>
      </c>
    </row>
    <row r="48" spans="2:21">
      <c r="B48" s="53">
        <v>3</v>
      </c>
      <c r="C48" s="54" t="s">
        <v>63</v>
      </c>
      <c r="Q48" s="32"/>
      <c r="R48" s="47" t="s">
        <v>59</v>
      </c>
      <c r="S48" s="53">
        <v>5</v>
      </c>
      <c r="T48" s="54" t="s">
        <v>64</v>
      </c>
    </row>
    <row r="49" spans="2:20">
      <c r="B49" s="53">
        <v>4</v>
      </c>
      <c r="C49" s="54" t="s">
        <v>65</v>
      </c>
      <c r="Q49" s="32"/>
      <c r="R49" s="55" t="s">
        <v>59</v>
      </c>
      <c r="S49" s="53">
        <v>6</v>
      </c>
      <c r="T49" s="54" t="s">
        <v>66</v>
      </c>
    </row>
    <row r="50" spans="2:20">
      <c r="B50" s="53">
        <v>5</v>
      </c>
      <c r="C50" s="54" t="s">
        <v>60</v>
      </c>
      <c r="Q50" s="32"/>
      <c r="R50" s="55" t="s">
        <v>59</v>
      </c>
      <c r="S50" s="53">
        <v>7</v>
      </c>
      <c r="T50" s="54" t="s">
        <v>67</v>
      </c>
    </row>
    <row r="51" spans="2:20">
      <c r="B51" s="53">
        <v>6</v>
      </c>
      <c r="C51" s="54" t="s">
        <v>64</v>
      </c>
      <c r="Q51" s="32"/>
      <c r="R51" s="55" t="s">
        <v>59</v>
      </c>
      <c r="S51" s="53">
        <v>8</v>
      </c>
      <c r="T51" s="54" t="s">
        <v>68</v>
      </c>
    </row>
    <row r="52" spans="2:20">
      <c r="B52" s="53">
        <v>7</v>
      </c>
      <c r="C52" s="54" t="s">
        <v>66</v>
      </c>
      <c r="Q52" s="32"/>
      <c r="R52" s="55" t="s">
        <v>59</v>
      </c>
      <c r="S52" s="53">
        <v>9</v>
      </c>
      <c r="T52" s="54" t="s">
        <v>69</v>
      </c>
    </row>
    <row r="53" spans="2:20">
      <c r="B53" s="53">
        <v>8</v>
      </c>
      <c r="C53" s="54" t="s">
        <v>67</v>
      </c>
      <c r="Q53" s="32"/>
      <c r="R53" s="55" t="s">
        <v>59</v>
      </c>
      <c r="S53" s="53">
        <v>10</v>
      </c>
      <c r="T53" s="54" t="s">
        <v>70</v>
      </c>
    </row>
    <row r="54" spans="2:20">
      <c r="B54" s="53">
        <v>9</v>
      </c>
      <c r="C54" s="54" t="s">
        <v>68</v>
      </c>
      <c r="Q54" s="32"/>
      <c r="R54" s="55" t="s">
        <v>59</v>
      </c>
      <c r="S54" s="53">
        <v>11</v>
      </c>
      <c r="T54" s="54" t="s">
        <v>71</v>
      </c>
    </row>
    <row r="55" spans="2:20">
      <c r="B55" s="53">
        <v>10</v>
      </c>
      <c r="C55" s="54" t="s">
        <v>72</v>
      </c>
      <c r="Q55" s="32"/>
      <c r="R55" s="55" t="s">
        <v>59</v>
      </c>
      <c r="S55" s="53">
        <v>12</v>
      </c>
      <c r="T55" s="54" t="s">
        <v>73</v>
      </c>
    </row>
    <row r="56" spans="2:20">
      <c r="B56" s="53">
        <v>11</v>
      </c>
      <c r="C56" s="54" t="s">
        <v>70</v>
      </c>
      <c r="Q56" s="32"/>
      <c r="R56" s="55" t="s">
        <v>59</v>
      </c>
      <c r="S56" s="53">
        <v>13</v>
      </c>
      <c r="T56" s="54" t="s">
        <v>74</v>
      </c>
    </row>
    <row r="57" spans="2:20">
      <c r="B57" s="53">
        <v>12</v>
      </c>
      <c r="C57" s="54" t="s">
        <v>71</v>
      </c>
      <c r="Q57" s="32"/>
      <c r="R57" s="55" t="s">
        <v>59</v>
      </c>
      <c r="S57" s="53">
        <v>14</v>
      </c>
      <c r="T57" s="54" t="s">
        <v>75</v>
      </c>
    </row>
    <row r="58" spans="2:20">
      <c r="B58" s="53">
        <v>13</v>
      </c>
      <c r="C58" s="54" t="s">
        <v>76</v>
      </c>
      <c r="Q58" s="32"/>
      <c r="R58" s="55" t="s">
        <v>59</v>
      </c>
      <c r="S58" s="53">
        <v>15</v>
      </c>
      <c r="T58" s="54" t="s">
        <v>77</v>
      </c>
    </row>
    <row r="59" spans="2:20">
      <c r="B59" s="53">
        <v>14</v>
      </c>
      <c r="C59" s="54" t="s">
        <v>73</v>
      </c>
      <c r="Q59" s="32"/>
      <c r="R59" s="55" t="s">
        <v>59</v>
      </c>
      <c r="S59" s="53">
        <v>16</v>
      </c>
      <c r="T59" s="54" t="s">
        <v>78</v>
      </c>
    </row>
    <row r="60" spans="2:20">
      <c r="B60" s="53">
        <v>15</v>
      </c>
      <c r="C60" s="54" t="s">
        <v>75</v>
      </c>
      <c r="Q60" s="32"/>
      <c r="R60" s="55" t="s">
        <v>59</v>
      </c>
      <c r="S60" s="53">
        <v>17</v>
      </c>
      <c r="T60" s="54" t="s">
        <v>79</v>
      </c>
    </row>
    <row r="61" spans="2:20">
      <c r="B61" s="53">
        <v>16</v>
      </c>
      <c r="C61" s="54" t="s">
        <v>78</v>
      </c>
      <c r="Q61" s="32"/>
      <c r="R61" s="55" t="s">
        <v>59</v>
      </c>
      <c r="S61" s="53">
        <v>18</v>
      </c>
      <c r="T61" s="54" t="s">
        <v>80</v>
      </c>
    </row>
    <row r="62" spans="2:20">
      <c r="B62" s="53">
        <v>17</v>
      </c>
      <c r="C62" s="54" t="s">
        <v>81</v>
      </c>
      <c r="Q62" s="32"/>
      <c r="R62" s="55" t="s">
        <v>59</v>
      </c>
      <c r="S62" s="53">
        <v>19</v>
      </c>
      <c r="T62" s="56" t="s">
        <v>82</v>
      </c>
    </row>
    <row r="63" spans="2:20">
      <c r="B63" s="53">
        <v>18</v>
      </c>
      <c r="C63" s="54" t="s">
        <v>80</v>
      </c>
      <c r="Q63" s="32"/>
      <c r="R63" s="55" t="s">
        <v>59</v>
      </c>
      <c r="S63" s="53"/>
    </row>
    <row r="64" spans="2:20">
      <c r="Q64" s="32"/>
      <c r="R64" s="55" t="s">
        <v>59</v>
      </c>
      <c r="S64" s="53"/>
    </row>
    <row r="65" spans="1:36">
      <c r="B65" s="57" t="s">
        <v>83</v>
      </c>
      <c r="Q65" s="32"/>
      <c r="R65" s="57" t="s">
        <v>59</v>
      </c>
      <c r="S65" s="58" t="s">
        <v>84</v>
      </c>
    </row>
    <row r="66" spans="1:36" s="59" customFormat="1">
      <c r="Q66" s="60"/>
      <c r="S66" s="61"/>
    </row>
    <row r="68" spans="1:36">
      <c r="S68" s="53"/>
    </row>
    <row r="69" spans="1:36" s="35" customFormat="1" ht="15">
      <c r="A69"/>
      <c r="B69" s="62" t="s">
        <v>35</v>
      </c>
      <c r="Q69" s="37"/>
      <c r="R69" s="37"/>
    </row>
    <row r="70" spans="1:36" s="35" customFormat="1" ht="19.5">
      <c r="A70"/>
      <c r="B70" s="39" t="s">
        <v>85</v>
      </c>
      <c r="Q70" s="37"/>
      <c r="R70" s="37"/>
      <c r="S70" s="39"/>
    </row>
    <row r="71" spans="1:36" s="35" customFormat="1" ht="15">
      <c r="A71"/>
      <c r="B71" s="63" t="s">
        <v>86</v>
      </c>
      <c r="Q71" s="37"/>
      <c r="R71" s="37"/>
    </row>
    <row r="72" spans="1:36">
      <c r="B72" s="41" t="s">
        <v>87</v>
      </c>
    </row>
    <row r="73" spans="1:36">
      <c r="B73" s="42" t="s">
        <v>88</v>
      </c>
    </row>
    <row r="74" spans="1:36">
      <c r="B74" s="42" t="s">
        <v>89</v>
      </c>
    </row>
    <row r="75" spans="1:36">
      <c r="B75" s="42" t="s">
        <v>90</v>
      </c>
    </row>
    <row r="77" spans="1:36" ht="13.5" thickBot="1">
      <c r="B77" s="43" t="s">
        <v>111</v>
      </c>
    </row>
    <row r="78" spans="1:36" ht="13.5" thickBot="1">
      <c r="B78" s="46">
        <v>1981</v>
      </c>
      <c r="C78" s="46">
        <v>1982</v>
      </c>
      <c r="D78" s="46">
        <v>1983</v>
      </c>
      <c r="E78" s="46">
        <v>1984</v>
      </c>
      <c r="F78" s="46">
        <v>1985</v>
      </c>
      <c r="G78" s="46">
        <v>1986</v>
      </c>
      <c r="H78" s="46">
        <v>1987</v>
      </c>
      <c r="I78" s="46">
        <v>1988</v>
      </c>
      <c r="J78" s="46">
        <v>1989</v>
      </c>
      <c r="K78" s="46">
        <v>1990</v>
      </c>
      <c r="L78" s="46">
        <v>1991</v>
      </c>
      <c r="M78" s="46">
        <v>1992</v>
      </c>
      <c r="N78" s="46">
        <v>1993</v>
      </c>
      <c r="O78" s="46">
        <v>1994</v>
      </c>
      <c r="P78" s="64">
        <v>1995</v>
      </c>
      <c r="Q78" s="65">
        <v>1996</v>
      </c>
      <c r="R78" s="65">
        <v>1997</v>
      </c>
      <c r="S78" s="46">
        <v>1998</v>
      </c>
      <c r="T78" s="46">
        <v>1999</v>
      </c>
      <c r="U78" s="46">
        <v>2000</v>
      </c>
      <c r="V78" s="46">
        <v>2001</v>
      </c>
      <c r="W78" s="46">
        <v>2002</v>
      </c>
      <c r="X78" s="46">
        <v>2003</v>
      </c>
      <c r="Y78" s="46">
        <v>2004</v>
      </c>
      <c r="Z78" s="46">
        <v>2005</v>
      </c>
      <c r="AA78" s="46">
        <v>2006</v>
      </c>
      <c r="AB78" s="46">
        <v>2007</v>
      </c>
      <c r="AC78" s="46">
        <v>2008</v>
      </c>
      <c r="AD78" s="46">
        <v>2009</v>
      </c>
      <c r="AE78" s="46">
        <v>2010</v>
      </c>
      <c r="AF78" s="46">
        <v>2011</v>
      </c>
      <c r="AG78" s="46">
        <v>2012</v>
      </c>
      <c r="AH78" s="46">
        <v>2013</v>
      </c>
      <c r="AI78" s="46">
        <v>2014</v>
      </c>
    </row>
    <row r="79" spans="1:36" ht="13.5" thickBot="1">
      <c r="B79" s="380">
        <v>47.7</v>
      </c>
      <c r="C79" s="380">
        <v>52.2</v>
      </c>
      <c r="D79" s="380">
        <v>55.1</v>
      </c>
      <c r="E79" s="380">
        <v>57.4</v>
      </c>
      <c r="F79" s="380">
        <v>59.5</v>
      </c>
      <c r="G79" s="380">
        <v>61.8</v>
      </c>
      <c r="H79" s="380">
        <v>64.3</v>
      </c>
      <c r="I79" s="380">
        <v>66.8</v>
      </c>
      <c r="J79" s="380">
        <v>69.7</v>
      </c>
      <c r="K79" s="380">
        <v>72.400000000000006</v>
      </c>
      <c r="L79" s="380">
        <v>74.8</v>
      </c>
      <c r="M79" s="380">
        <v>76.3</v>
      </c>
      <c r="N79" s="380">
        <v>77.7</v>
      </c>
      <c r="O79" s="380">
        <v>79</v>
      </c>
      <c r="P79" s="385">
        <v>79.900000000000006</v>
      </c>
      <c r="Q79" s="386">
        <v>80.8</v>
      </c>
      <c r="R79" s="386">
        <v>82</v>
      </c>
      <c r="S79" s="380">
        <v>83.2</v>
      </c>
      <c r="T79" s="380">
        <v>84.4</v>
      </c>
      <c r="U79" s="380">
        <v>86.5</v>
      </c>
      <c r="V79" s="380">
        <v>88.2</v>
      </c>
      <c r="W79" s="380">
        <v>90.2</v>
      </c>
      <c r="X79" s="380">
        <v>91.7</v>
      </c>
      <c r="Y79" s="380">
        <v>93.4</v>
      </c>
      <c r="Z79" s="380">
        <v>95.4</v>
      </c>
      <c r="AA79" s="380">
        <v>97.7</v>
      </c>
      <c r="AB79" s="380">
        <v>100</v>
      </c>
      <c r="AC79" s="380">
        <v>102.5</v>
      </c>
      <c r="AD79" s="380">
        <v>103.7</v>
      </c>
      <c r="AE79" s="380">
        <v>104.8</v>
      </c>
      <c r="AF79" s="380">
        <v>107.3</v>
      </c>
      <c r="AG79" s="380">
        <v>109.1</v>
      </c>
      <c r="AH79" s="380">
        <v>111</v>
      </c>
      <c r="AI79" s="380">
        <v>113.4</v>
      </c>
    </row>
    <row r="80" spans="1:36">
      <c r="B80" s="110"/>
      <c r="C80" s="112">
        <f t="shared" ref="C80:AE80" si="10">LN(C79/B79)</f>
        <v>9.0151096994297478E-2</v>
      </c>
      <c r="D80" s="112">
        <f t="shared" si="10"/>
        <v>5.4067221270275793E-2</v>
      </c>
      <c r="E80" s="112">
        <f t="shared" si="10"/>
        <v>4.089458716665182E-2</v>
      </c>
      <c r="F80" s="112">
        <f t="shared" si="10"/>
        <v>3.593200922606337E-2</v>
      </c>
      <c r="G80" s="112">
        <f t="shared" si="10"/>
        <v>3.7927051912060882E-2</v>
      </c>
      <c r="H80" s="112">
        <f t="shared" si="10"/>
        <v>3.9656266779928527E-2</v>
      </c>
      <c r="I80" s="112">
        <f t="shared" si="10"/>
        <v>3.8143449299026445E-2</v>
      </c>
      <c r="J80" s="112">
        <f t="shared" si="10"/>
        <v>4.2497237223878138E-2</v>
      </c>
      <c r="K80" s="112">
        <f t="shared" si="10"/>
        <v>3.8005981625192552E-2</v>
      </c>
      <c r="L80" s="112">
        <f t="shared" si="10"/>
        <v>3.2611585588760796E-2</v>
      </c>
      <c r="M80" s="112">
        <f t="shared" si="10"/>
        <v>1.985505330997973E-2</v>
      </c>
      <c r="N80" s="112">
        <f t="shared" si="10"/>
        <v>1.8182319083190547E-2</v>
      </c>
      <c r="O80" s="112">
        <f t="shared" si="10"/>
        <v>1.6592595093419631E-2</v>
      </c>
      <c r="P80" s="112">
        <f t="shared" si="10"/>
        <v>1.132800030520755E-2</v>
      </c>
      <c r="Q80" s="112">
        <f t="shared" si="10"/>
        <v>1.1201112754820696E-2</v>
      </c>
      <c r="R80" s="112">
        <f t="shared" si="10"/>
        <v>1.4742281737203431E-2</v>
      </c>
      <c r="S80" s="112">
        <f t="shared" si="10"/>
        <v>1.4528100562909808E-2</v>
      </c>
      <c r="T80" s="112">
        <f t="shared" si="10"/>
        <v>1.4320053774748471E-2</v>
      </c>
      <c r="U80" s="112">
        <f t="shared" si="10"/>
        <v>2.457701233592216E-2</v>
      </c>
      <c r="V80" s="112">
        <f t="shared" si="10"/>
        <v>1.9462549074912027E-2</v>
      </c>
      <c r="W80" s="112">
        <f t="shared" si="10"/>
        <v>2.2422464055832307E-2</v>
      </c>
      <c r="X80" s="112">
        <f t="shared" si="10"/>
        <v>1.6492952193841167E-2</v>
      </c>
      <c r="Y80" s="112">
        <f t="shared" si="10"/>
        <v>1.8368965972377756E-2</v>
      </c>
      <c r="Z80" s="112">
        <f t="shared" si="10"/>
        <v>2.1187233219443845E-2</v>
      </c>
      <c r="AA80" s="112">
        <f t="shared" si="10"/>
        <v>2.3822980594496244E-2</v>
      </c>
      <c r="AB80" s="112">
        <f t="shared" si="10"/>
        <v>2.3268626939354269E-2</v>
      </c>
      <c r="AC80" s="112">
        <f t="shared" si="10"/>
        <v>2.4692612590371414E-2</v>
      </c>
      <c r="AD80" s="112">
        <f t="shared" si="10"/>
        <v>1.1639316657018787E-2</v>
      </c>
      <c r="AE80" s="112">
        <f t="shared" si="10"/>
        <v>1.0551656651460142E-2</v>
      </c>
      <c r="AF80" s="112">
        <f>LN(AF79/AE79)</f>
        <v>2.3574877749711079E-2</v>
      </c>
      <c r="AG80" s="112">
        <f>LN(AG79/AF79)</f>
        <v>1.6636243202372291E-2</v>
      </c>
      <c r="AH80" s="112">
        <f t="shared" ref="AH80:AI80" si="11">LN(AH79/AG79)</f>
        <v>1.7265308473309048E-2</v>
      </c>
      <c r="AI80" s="112">
        <f t="shared" si="11"/>
        <v>2.139118998131756E-2</v>
      </c>
      <c r="AJ80" s="111">
        <f t="shared" ref="AJ80" si="12">AVERAGE(AF80:AI80)</f>
        <v>1.9716904851677496E-2</v>
      </c>
    </row>
    <row r="81" spans="2:36">
      <c r="B81" s="110"/>
      <c r="C81" s="110"/>
      <c r="D81" s="110"/>
      <c r="E81" s="110"/>
      <c r="F81" s="110"/>
      <c r="G81" s="110"/>
      <c r="H81" s="110"/>
      <c r="I81" s="110"/>
      <c r="J81" s="110"/>
      <c r="K81" s="110"/>
      <c r="L81" s="110"/>
      <c r="M81" s="110"/>
      <c r="N81" s="110"/>
      <c r="O81" s="110"/>
      <c r="P81" s="110"/>
      <c r="Q81" s="110"/>
      <c r="R81" s="110"/>
      <c r="S81" s="110"/>
      <c r="T81" s="110"/>
      <c r="U81" s="110">
        <v>1</v>
      </c>
      <c r="V81" s="110">
        <f>U81*(1+V80)</f>
        <v>1.0194625490749121</v>
      </c>
      <c r="W81" s="110">
        <f t="shared" ref="W81:AF81" si="13">V81*(1+W80)</f>
        <v>1.0423214114378114</v>
      </c>
      <c r="X81" s="110">
        <f t="shared" si="13"/>
        <v>1.0595123686472723</v>
      </c>
      <c r="Y81" s="110">
        <f t="shared" si="13"/>
        <v>1.0789745152942674</v>
      </c>
      <c r="Z81" s="110">
        <f t="shared" si="13"/>
        <v>1.1018349999876433</v>
      </c>
      <c r="AA81" s="110">
        <f t="shared" si="13"/>
        <v>1.1280839938106857</v>
      </c>
      <c r="AB81" s="110">
        <f t="shared" si="13"/>
        <v>1.1543329594189233</v>
      </c>
      <c r="AC81" s="110">
        <f t="shared" si="13"/>
        <v>1.1828364559861517</v>
      </c>
      <c r="AD81" s="110">
        <f t="shared" si="13"/>
        <v>1.1966038640508405</v>
      </c>
      <c r="AE81" s="110">
        <f t="shared" si="13"/>
        <v>1.2092300171721153</v>
      </c>
      <c r="AF81" s="110">
        <f t="shared" si="13"/>
        <v>1.2377374669982291</v>
      </c>
      <c r="AG81" s="110">
        <f>AF81*(1+AG80)</f>
        <v>1.2583287685198998</v>
      </c>
      <c r="AH81" s="110">
        <f t="shared" ref="AH81:AI81" si="14">AG81*(1+AH80)</f>
        <v>1.280054202869235</v>
      </c>
      <c r="AI81" s="110">
        <f t="shared" si="14"/>
        <v>1.3074360855091947</v>
      </c>
    </row>
    <row r="82" spans="2:36">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2:36" ht="13.5" thickBot="1">
      <c r="B83" s="43" t="s">
        <v>112</v>
      </c>
    </row>
    <row r="84" spans="2:36" ht="13.5" thickBot="1">
      <c r="B84" s="46">
        <v>1981</v>
      </c>
      <c r="C84" s="46">
        <v>1982</v>
      </c>
      <c r="D84" s="46">
        <v>1983</v>
      </c>
      <c r="E84" s="46">
        <v>1984</v>
      </c>
      <c r="F84" s="46">
        <v>1985</v>
      </c>
      <c r="G84" s="46">
        <v>1986</v>
      </c>
      <c r="H84" s="46">
        <v>1987</v>
      </c>
      <c r="I84" s="46">
        <v>1988</v>
      </c>
      <c r="J84" s="46">
        <v>1989</v>
      </c>
      <c r="K84" s="46">
        <v>1990</v>
      </c>
      <c r="L84" s="46">
        <v>1991</v>
      </c>
      <c r="M84" s="46">
        <v>1992</v>
      </c>
      <c r="N84" s="46">
        <v>1993</v>
      </c>
      <c r="O84" s="46">
        <v>1994</v>
      </c>
      <c r="P84" s="64">
        <v>1995</v>
      </c>
      <c r="Q84" s="65">
        <v>1996</v>
      </c>
      <c r="R84" s="65">
        <v>1997</v>
      </c>
      <c r="S84" s="46">
        <v>1998</v>
      </c>
      <c r="T84" s="46">
        <v>1999</v>
      </c>
      <c r="U84" s="46">
        <v>2000</v>
      </c>
      <c r="V84" s="46">
        <v>2001</v>
      </c>
      <c r="W84" s="46">
        <v>2002</v>
      </c>
      <c r="X84" s="46">
        <v>2003</v>
      </c>
      <c r="Y84" s="46">
        <v>2004</v>
      </c>
      <c r="Z84" s="46">
        <v>2005</v>
      </c>
      <c r="AA84" s="46">
        <v>2006</v>
      </c>
      <c r="AB84" s="46">
        <v>2007</v>
      </c>
      <c r="AC84" s="46">
        <v>2008</v>
      </c>
      <c r="AD84" s="46">
        <v>2009</v>
      </c>
      <c r="AE84" s="46">
        <v>2010</v>
      </c>
      <c r="AF84" s="46">
        <v>2011</v>
      </c>
      <c r="AG84" s="46">
        <v>2012</v>
      </c>
      <c r="AH84" s="46">
        <v>2013</v>
      </c>
      <c r="AI84" s="46">
        <v>2014</v>
      </c>
    </row>
    <row r="85" spans="2:36" ht="13.5" thickBot="1">
      <c r="B85" s="380">
        <v>48.1</v>
      </c>
      <c r="C85" s="380">
        <v>52.6</v>
      </c>
      <c r="D85" s="380">
        <v>55.8</v>
      </c>
      <c r="E85" s="380">
        <v>58.3</v>
      </c>
      <c r="F85" s="380">
        <v>60.6</v>
      </c>
      <c r="G85" s="380">
        <v>63.2</v>
      </c>
      <c r="H85" s="380">
        <v>66.400000000000006</v>
      </c>
      <c r="I85" s="380">
        <v>69.400000000000006</v>
      </c>
      <c r="J85" s="380">
        <v>72.7</v>
      </c>
      <c r="K85" s="380">
        <v>75.099999999999994</v>
      </c>
      <c r="L85" s="380">
        <v>77.5</v>
      </c>
      <c r="M85" s="380">
        <v>78.400000000000006</v>
      </c>
      <c r="N85" s="380">
        <v>79.900000000000006</v>
      </c>
      <c r="O85" s="380">
        <v>81</v>
      </c>
      <c r="P85" s="380">
        <v>81.900000000000006</v>
      </c>
      <c r="Q85" s="380">
        <v>82.6</v>
      </c>
      <c r="R85" s="380">
        <v>83.9</v>
      </c>
      <c r="S85" s="380">
        <v>85.3</v>
      </c>
      <c r="T85" s="380">
        <v>86.2</v>
      </c>
      <c r="U85" s="380">
        <v>88.2</v>
      </c>
      <c r="V85" s="380">
        <v>90</v>
      </c>
      <c r="W85" s="380">
        <v>91.9</v>
      </c>
      <c r="X85" s="380">
        <v>93.4</v>
      </c>
      <c r="Y85" s="380">
        <v>95</v>
      </c>
      <c r="Z85" s="380">
        <v>96.8</v>
      </c>
      <c r="AA85" s="380">
        <v>98.3</v>
      </c>
      <c r="AB85" s="380">
        <v>100</v>
      </c>
      <c r="AC85" s="380">
        <v>102.2</v>
      </c>
      <c r="AD85" s="380">
        <v>103.3</v>
      </c>
      <c r="AE85" s="380">
        <v>104.5</v>
      </c>
      <c r="AF85" s="380">
        <v>107</v>
      </c>
      <c r="AG85" s="380">
        <v>108.7</v>
      </c>
      <c r="AH85" s="380">
        <v>110.7</v>
      </c>
      <c r="AI85" s="380">
        <v>113</v>
      </c>
    </row>
    <row r="86" spans="2:36">
      <c r="B86" s="110"/>
      <c r="C86" s="112">
        <f>LN(C85/B85)</f>
        <v>8.9433942631948635E-2</v>
      </c>
      <c r="D86" s="112">
        <f t="shared" ref="D86:AD86" si="15">LN(D85/C85)</f>
        <v>5.9057749643600943E-2</v>
      </c>
      <c r="E86" s="112">
        <f t="shared" si="15"/>
        <v>4.3828223969181471E-2</v>
      </c>
      <c r="F86" s="112">
        <f t="shared" si="15"/>
        <v>3.8692799718822203E-2</v>
      </c>
      <c r="G86" s="112">
        <f t="shared" si="15"/>
        <v>4.2009408077542935E-2</v>
      </c>
      <c r="H86" s="112">
        <f t="shared" si="15"/>
        <v>4.9392755329576474E-2</v>
      </c>
      <c r="I86" s="112">
        <f t="shared" si="15"/>
        <v>4.4189811030370549E-2</v>
      </c>
      <c r="J86" s="112">
        <f t="shared" si="15"/>
        <v>4.6454517026714916E-2</v>
      </c>
      <c r="K86" s="112">
        <f t="shared" si="15"/>
        <v>3.2479174230615304E-2</v>
      </c>
      <c r="L86" s="112">
        <f t="shared" si="15"/>
        <v>3.1457377589212243E-2</v>
      </c>
      <c r="M86" s="112">
        <f t="shared" si="15"/>
        <v>1.1545990997060948E-2</v>
      </c>
      <c r="N86" s="112">
        <f t="shared" si="15"/>
        <v>1.8951925415866908E-2</v>
      </c>
      <c r="O86" s="112">
        <f t="shared" si="15"/>
        <v>1.3673301900209642E-2</v>
      </c>
      <c r="P86" s="112">
        <f t="shared" si="15"/>
        <v>1.1049836186584935E-2</v>
      </c>
      <c r="Q86" s="112">
        <f t="shared" si="15"/>
        <v>8.5106896679086105E-3</v>
      </c>
      <c r="R86" s="112">
        <f t="shared" si="15"/>
        <v>1.5615932946228164E-2</v>
      </c>
      <c r="S86" s="112">
        <f t="shared" si="15"/>
        <v>1.6548841024472929E-2</v>
      </c>
      <c r="T86" s="112">
        <f t="shared" si="15"/>
        <v>1.0495723172014091E-2</v>
      </c>
      <c r="U86" s="112">
        <f t="shared" si="15"/>
        <v>2.2936785343098232E-2</v>
      </c>
      <c r="V86" s="112">
        <f t="shared" si="15"/>
        <v>2.0202707317519469E-2</v>
      </c>
      <c r="W86" s="112">
        <f t="shared" si="15"/>
        <v>2.0891359031376268E-2</v>
      </c>
      <c r="X86" s="112">
        <f t="shared" si="15"/>
        <v>1.6190315873155638E-2</v>
      </c>
      <c r="Y86" s="112">
        <f t="shared" si="15"/>
        <v>1.6985546365743807E-2</v>
      </c>
      <c r="Z86" s="112">
        <f t="shared" si="15"/>
        <v>1.8770102681990468E-2</v>
      </c>
      <c r="AA86" s="112">
        <f t="shared" si="15"/>
        <v>1.5377032870589512E-2</v>
      </c>
      <c r="AB86" s="112">
        <f t="shared" si="15"/>
        <v>1.7146158834970584E-2</v>
      </c>
      <c r="AC86" s="112">
        <f t="shared" si="15"/>
        <v>2.176149178151271E-2</v>
      </c>
      <c r="AD86" s="112">
        <f t="shared" si="15"/>
        <v>1.0705698355988721E-2</v>
      </c>
      <c r="AE86" s="112">
        <f>LN(AE85/AD85)</f>
        <v>1.1549695279272789E-2</v>
      </c>
      <c r="AF86" s="112">
        <f t="shared" ref="AF86:AI86" si="16">LN(AF85/AE85)</f>
        <v>2.3641763057040494E-2</v>
      </c>
      <c r="AG86" s="112">
        <f t="shared" si="16"/>
        <v>1.5762959665257554E-2</v>
      </c>
      <c r="AH86" s="112">
        <f t="shared" si="16"/>
        <v>1.8232045587427425E-2</v>
      </c>
      <c r="AI86" s="112">
        <f t="shared" si="16"/>
        <v>2.0563978997749449E-2</v>
      </c>
      <c r="AJ86" s="111">
        <f>AVERAGE(AF86:AI86)</f>
        <v>1.955018682686873E-2</v>
      </c>
    </row>
    <row r="87" spans="2:36">
      <c r="B87" s="110"/>
      <c r="C87" s="110"/>
      <c r="D87" s="110"/>
      <c r="E87" s="110"/>
      <c r="F87" s="110"/>
      <c r="G87" s="110"/>
      <c r="H87" s="110"/>
      <c r="I87" s="110"/>
      <c r="J87" s="110"/>
      <c r="K87" s="110"/>
      <c r="L87" s="110"/>
      <c r="M87" s="110"/>
      <c r="N87" s="110"/>
      <c r="O87" s="110"/>
      <c r="P87" s="110"/>
      <c r="Q87" s="110"/>
      <c r="R87" s="110"/>
      <c r="S87" s="110"/>
      <c r="T87" s="110"/>
      <c r="U87" s="110">
        <v>1</v>
      </c>
      <c r="V87" s="110">
        <f t="shared" ref="V87:AD87" si="17">U87*(1+V86)</f>
        <v>1.0202027073175195</v>
      </c>
      <c r="W87" s="110">
        <f t="shared" si="17"/>
        <v>1.0415161283608718</v>
      </c>
      <c r="X87" s="110">
        <f t="shared" si="17"/>
        <v>1.0583786034660203</v>
      </c>
      <c r="Y87" s="110">
        <f t="shared" si="17"/>
        <v>1.0763557423077035</v>
      </c>
      <c r="Z87" s="110">
        <f t="shared" si="17"/>
        <v>1.096559050113169</v>
      </c>
      <c r="AA87" s="110">
        <f t="shared" si="17"/>
        <v>1.1134208746713017</v>
      </c>
      <c r="AB87" s="110">
        <f t="shared" si="17"/>
        <v>1.1325117658385877</v>
      </c>
      <c r="AC87" s="110">
        <f t="shared" si="17"/>
        <v>1.1571569113233506</v>
      </c>
      <c r="AD87" s="110">
        <f t="shared" si="17"/>
        <v>1.169545084166526</v>
      </c>
      <c r="AE87" s="110">
        <f>AD87*(1+AE86)</f>
        <v>1.1830529735040209</v>
      </c>
      <c r="AF87" s="110">
        <f t="shared" ref="AF87:AI87" si="18">AE87*(1+AF86)</f>
        <v>1.2110224315875302</v>
      </c>
      <c r="AG87" s="110">
        <f t="shared" si="18"/>
        <v>1.2301117293303665</v>
      </c>
      <c r="AH87" s="110">
        <f t="shared" si="18"/>
        <v>1.252539182457147</v>
      </c>
      <c r="AI87" s="110">
        <f t="shared" si="18"/>
        <v>1.2782963718990541</v>
      </c>
    </row>
    <row r="88" spans="2:36">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2:36">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2:36" ht="13.5" thickBot="1">
      <c r="B90" s="43"/>
      <c r="C90" s="43" t="s">
        <v>111</v>
      </c>
      <c r="D90" s="43" t="s">
        <v>112</v>
      </c>
    </row>
    <row r="91" spans="2:36" ht="13.5" thickBot="1">
      <c r="B91" s="46">
        <v>1981</v>
      </c>
      <c r="C91" s="418">
        <f>AVERAGEIF($B$78:$AI$78,$B91,$B$79:$AI$79)</f>
        <v>47.7</v>
      </c>
      <c r="D91" s="418">
        <f>AVERAGEIF($B$78:$AI$78,$B91,$B$85:$AI$85)</f>
        <v>48.1</v>
      </c>
    </row>
    <row r="92" spans="2:36" ht="13.5" thickBot="1">
      <c r="B92" s="46">
        <v>1982</v>
      </c>
      <c r="C92" s="418">
        <f t="shared" ref="C92:C124" si="19">AVERAGEIF($B$78:$AI$78,$B92,$B$79:$AI$79)</f>
        <v>52.2</v>
      </c>
      <c r="D92" s="418">
        <f t="shared" ref="D92:D124" si="20">AVERAGEIF($B$78:$AI$78,$B92,$B$85:$AI$85)</f>
        <v>52.6</v>
      </c>
    </row>
    <row r="93" spans="2:36" ht="13.5" thickBot="1">
      <c r="B93" s="46">
        <v>1983</v>
      </c>
      <c r="C93" s="418">
        <f t="shared" si="19"/>
        <v>55.1</v>
      </c>
      <c r="D93" s="418">
        <f t="shared" si="20"/>
        <v>55.8</v>
      </c>
    </row>
    <row r="94" spans="2:36" ht="13.5" thickBot="1">
      <c r="B94" s="46">
        <v>1984</v>
      </c>
      <c r="C94" s="418">
        <f t="shared" si="19"/>
        <v>57.4</v>
      </c>
      <c r="D94" s="418">
        <f t="shared" si="20"/>
        <v>58.3</v>
      </c>
    </row>
    <row r="95" spans="2:36" ht="13.5" thickBot="1">
      <c r="B95" s="46">
        <v>1985</v>
      </c>
      <c r="C95" s="418">
        <f t="shared" si="19"/>
        <v>59.5</v>
      </c>
      <c r="D95" s="418">
        <f t="shared" si="20"/>
        <v>60.6</v>
      </c>
    </row>
    <row r="96" spans="2:36" ht="13.5" thickBot="1">
      <c r="B96" s="46">
        <v>1986</v>
      </c>
      <c r="C96" s="418">
        <f t="shared" si="19"/>
        <v>61.8</v>
      </c>
      <c r="D96" s="418">
        <f t="shared" si="20"/>
        <v>63.2</v>
      </c>
    </row>
    <row r="97" spans="2:4" ht="13.5" thickBot="1">
      <c r="B97" s="46">
        <v>1987</v>
      </c>
      <c r="C97" s="418">
        <f t="shared" si="19"/>
        <v>64.3</v>
      </c>
      <c r="D97" s="418">
        <f t="shared" si="20"/>
        <v>66.400000000000006</v>
      </c>
    </row>
    <row r="98" spans="2:4" ht="13.5" thickBot="1">
      <c r="B98" s="46">
        <v>1988</v>
      </c>
      <c r="C98" s="418">
        <f t="shared" si="19"/>
        <v>66.8</v>
      </c>
      <c r="D98" s="418">
        <f t="shared" si="20"/>
        <v>69.400000000000006</v>
      </c>
    </row>
    <row r="99" spans="2:4" ht="13.5" thickBot="1">
      <c r="B99" s="46">
        <v>1989</v>
      </c>
      <c r="C99" s="418">
        <f t="shared" si="19"/>
        <v>69.7</v>
      </c>
      <c r="D99" s="418">
        <f t="shared" si="20"/>
        <v>72.7</v>
      </c>
    </row>
    <row r="100" spans="2:4" ht="13.5" thickBot="1">
      <c r="B100" s="46">
        <v>1990</v>
      </c>
      <c r="C100" s="418">
        <f t="shared" si="19"/>
        <v>72.400000000000006</v>
      </c>
      <c r="D100" s="418">
        <f t="shared" si="20"/>
        <v>75.099999999999994</v>
      </c>
    </row>
    <row r="101" spans="2:4" ht="13.5" thickBot="1">
      <c r="B101" s="46">
        <v>1991</v>
      </c>
      <c r="C101" s="418">
        <f t="shared" si="19"/>
        <v>74.8</v>
      </c>
      <c r="D101" s="418">
        <f t="shared" si="20"/>
        <v>77.5</v>
      </c>
    </row>
    <row r="102" spans="2:4" ht="13.5" thickBot="1">
      <c r="B102" s="46">
        <v>1992</v>
      </c>
      <c r="C102" s="418">
        <f t="shared" si="19"/>
        <v>76.3</v>
      </c>
      <c r="D102" s="418">
        <f t="shared" si="20"/>
        <v>78.400000000000006</v>
      </c>
    </row>
    <row r="103" spans="2:4" ht="13.5" thickBot="1">
      <c r="B103" s="46">
        <v>1993</v>
      </c>
      <c r="C103" s="418">
        <f t="shared" si="19"/>
        <v>77.7</v>
      </c>
      <c r="D103" s="418">
        <f t="shared" si="20"/>
        <v>79.900000000000006</v>
      </c>
    </row>
    <row r="104" spans="2:4" ht="13.5" thickBot="1">
      <c r="B104" s="46">
        <v>1994</v>
      </c>
      <c r="C104" s="418">
        <f t="shared" si="19"/>
        <v>79</v>
      </c>
      <c r="D104" s="418">
        <f t="shared" si="20"/>
        <v>81</v>
      </c>
    </row>
    <row r="105" spans="2:4" ht="13.5" thickBot="1">
      <c r="B105" s="46">
        <v>1995</v>
      </c>
      <c r="C105" s="418">
        <f t="shared" si="19"/>
        <v>79.900000000000006</v>
      </c>
      <c r="D105" s="418">
        <f t="shared" si="20"/>
        <v>81.900000000000006</v>
      </c>
    </row>
    <row r="106" spans="2:4" ht="13.5" thickBot="1">
      <c r="B106" s="46">
        <v>1996</v>
      </c>
      <c r="C106" s="418">
        <f t="shared" si="19"/>
        <v>80.8</v>
      </c>
      <c r="D106" s="418">
        <f t="shared" si="20"/>
        <v>82.6</v>
      </c>
    </row>
    <row r="107" spans="2:4" ht="13.5" thickBot="1">
      <c r="B107" s="46">
        <v>1997</v>
      </c>
      <c r="C107" s="418">
        <f t="shared" si="19"/>
        <v>82</v>
      </c>
      <c r="D107" s="418">
        <f t="shared" si="20"/>
        <v>83.9</v>
      </c>
    </row>
    <row r="108" spans="2:4" ht="13.5" thickBot="1">
      <c r="B108" s="46">
        <v>1998</v>
      </c>
      <c r="C108" s="418">
        <f t="shared" si="19"/>
        <v>83.2</v>
      </c>
      <c r="D108" s="418">
        <f t="shared" si="20"/>
        <v>85.3</v>
      </c>
    </row>
    <row r="109" spans="2:4" ht="13.5" thickBot="1">
      <c r="B109" s="46">
        <v>1999</v>
      </c>
      <c r="C109" s="418">
        <f t="shared" si="19"/>
        <v>84.4</v>
      </c>
      <c r="D109" s="418">
        <f t="shared" si="20"/>
        <v>86.2</v>
      </c>
    </row>
    <row r="110" spans="2:4" ht="13.5" thickBot="1">
      <c r="B110" s="46">
        <v>2000</v>
      </c>
      <c r="C110" s="418">
        <f t="shared" si="19"/>
        <v>86.5</v>
      </c>
      <c r="D110" s="418">
        <f t="shared" si="20"/>
        <v>88.2</v>
      </c>
    </row>
    <row r="111" spans="2:4" ht="13.5" thickBot="1">
      <c r="B111" s="46">
        <v>2001</v>
      </c>
      <c r="C111" s="418">
        <f t="shared" si="19"/>
        <v>88.2</v>
      </c>
      <c r="D111" s="418">
        <f t="shared" si="20"/>
        <v>90</v>
      </c>
    </row>
    <row r="112" spans="2:4" ht="13.5" thickBot="1">
      <c r="B112" s="46">
        <v>2002</v>
      </c>
      <c r="C112" s="418">
        <f t="shared" si="19"/>
        <v>90.2</v>
      </c>
      <c r="D112" s="418">
        <f t="shared" si="20"/>
        <v>91.9</v>
      </c>
    </row>
    <row r="113" spans="2:4" ht="13.5" thickBot="1">
      <c r="B113" s="46">
        <v>2003</v>
      </c>
      <c r="C113" s="418">
        <f t="shared" si="19"/>
        <v>91.7</v>
      </c>
      <c r="D113" s="418">
        <f t="shared" si="20"/>
        <v>93.4</v>
      </c>
    </row>
    <row r="114" spans="2:4" ht="13.5" thickBot="1">
      <c r="B114" s="46">
        <v>2004</v>
      </c>
      <c r="C114" s="418">
        <f t="shared" si="19"/>
        <v>93.4</v>
      </c>
      <c r="D114" s="418">
        <f t="shared" si="20"/>
        <v>95</v>
      </c>
    </row>
    <row r="115" spans="2:4" ht="13.5" thickBot="1">
      <c r="B115" s="46">
        <v>2005</v>
      </c>
      <c r="C115" s="418">
        <f t="shared" si="19"/>
        <v>95.4</v>
      </c>
      <c r="D115" s="418">
        <f t="shared" si="20"/>
        <v>96.8</v>
      </c>
    </row>
    <row r="116" spans="2:4" ht="13.5" thickBot="1">
      <c r="B116" s="46">
        <v>2006</v>
      </c>
      <c r="C116" s="418">
        <f t="shared" si="19"/>
        <v>97.7</v>
      </c>
      <c r="D116" s="418">
        <f t="shared" si="20"/>
        <v>98.3</v>
      </c>
    </row>
    <row r="117" spans="2:4" ht="13.5" thickBot="1">
      <c r="B117" s="46">
        <v>2007</v>
      </c>
      <c r="C117" s="418">
        <f t="shared" si="19"/>
        <v>100</v>
      </c>
      <c r="D117" s="418">
        <f t="shared" si="20"/>
        <v>100</v>
      </c>
    </row>
    <row r="118" spans="2:4" ht="13.5" thickBot="1">
      <c r="B118" s="46">
        <v>2008</v>
      </c>
      <c r="C118" s="418">
        <f t="shared" si="19"/>
        <v>102.5</v>
      </c>
      <c r="D118" s="418">
        <f t="shared" si="20"/>
        <v>102.2</v>
      </c>
    </row>
    <row r="119" spans="2:4" ht="13.5" thickBot="1">
      <c r="B119" s="46">
        <v>2009</v>
      </c>
      <c r="C119" s="418">
        <f t="shared" si="19"/>
        <v>103.7</v>
      </c>
      <c r="D119" s="418">
        <f t="shared" si="20"/>
        <v>103.3</v>
      </c>
    </row>
    <row r="120" spans="2:4" ht="13.5" thickBot="1">
      <c r="B120" s="46">
        <v>2010</v>
      </c>
      <c r="C120" s="418">
        <f t="shared" si="19"/>
        <v>104.8</v>
      </c>
      <c r="D120" s="418">
        <f t="shared" si="20"/>
        <v>104.5</v>
      </c>
    </row>
    <row r="121" spans="2:4" ht="13.5" thickBot="1">
      <c r="B121" s="46">
        <v>2011</v>
      </c>
      <c r="C121" s="418">
        <f t="shared" si="19"/>
        <v>107.3</v>
      </c>
      <c r="D121" s="418">
        <f t="shared" si="20"/>
        <v>107</v>
      </c>
    </row>
    <row r="122" spans="2:4" ht="13.5" thickBot="1">
      <c r="B122" s="46">
        <v>2012</v>
      </c>
      <c r="C122" s="418">
        <f t="shared" si="19"/>
        <v>109.1</v>
      </c>
      <c r="D122" s="418">
        <f t="shared" si="20"/>
        <v>108.7</v>
      </c>
    </row>
    <row r="123" spans="2:4" ht="13.5" thickBot="1">
      <c r="B123" s="46">
        <v>2013</v>
      </c>
      <c r="C123" s="418">
        <f>AVERAGEIF($B$78:$AI$78,$B123,$B$79:$AI$79)</f>
        <v>111</v>
      </c>
      <c r="D123" s="418">
        <f>AVERAGEIF($B$78:$AI$78,$B123,$B$85:$AI$85)</f>
        <v>110.7</v>
      </c>
    </row>
    <row r="124" spans="2:4" ht="13.5" thickBot="1">
      <c r="B124" s="46">
        <v>2014</v>
      </c>
      <c r="C124" s="418">
        <f t="shared" si="19"/>
        <v>113.4</v>
      </c>
      <c r="D124" s="418">
        <f t="shared" si="20"/>
        <v>113</v>
      </c>
    </row>
    <row r="129" spans="2:3" ht="15.75">
      <c r="B129" s="371" t="s">
        <v>57</v>
      </c>
    </row>
    <row r="130" spans="2:3">
      <c r="B130" s="372"/>
    </row>
    <row r="131" spans="2:3">
      <c r="B131" s="53">
        <v>1</v>
      </c>
      <c r="C131" s="54" t="s">
        <v>321</v>
      </c>
    </row>
    <row r="132" spans="2:3">
      <c r="B132" s="53">
        <v>2</v>
      </c>
      <c r="C132" s="54" t="s">
        <v>322</v>
      </c>
    </row>
    <row r="133" spans="2:3">
      <c r="B133" s="53">
        <v>3</v>
      </c>
      <c r="C133" s="54" t="s">
        <v>323</v>
      </c>
    </row>
    <row r="135" spans="2:3">
      <c r="B135" s="57" t="s">
        <v>320</v>
      </c>
    </row>
  </sheetData>
  <hyperlinks>
    <hyperlink ref="T62" r:id="rId1" display="http://www5.statcan.gc.ca/cansim/a03?searchTypeByValue=1&amp;lang=eng&amp;pattern=2810063"/>
  </hyperlinks>
  <pageMargins left="0.7" right="0.7" top="0.75" bottom="0.75" header="0.3" footer="0.3"/>
  <pageSetup scale="83" orientation="landscape" r:id="rId2"/>
  <headerFooter>
    <oddHeader>&amp;CFiled: 2016-10-26, EB-2016-0152
Exhibit L, Tab 11.1 Schedule 1 Staff-246</oddHeader>
  </headerFooter>
  <rowBreaks count="1" manualBreakCount="1">
    <brk id="67" max="16383" man="1"/>
  </rowBreaks>
  <colBreaks count="1" manualBreakCount="1">
    <brk id="36" max="134"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view="pageLayout" zoomScaleNormal="100" workbookViewId="0">
      <selection activeCell="I31" sqref="I31"/>
    </sheetView>
  </sheetViews>
  <sheetFormatPr defaultRowHeight="12.75"/>
  <cols>
    <col min="1" max="1" width="2.85546875" style="336" customWidth="1"/>
    <col min="2" max="2" width="16" style="336" customWidth="1"/>
    <col min="3" max="12" width="9.140625" style="336"/>
    <col min="13" max="14" width="9.140625" style="336" customWidth="1"/>
    <col min="15" max="15" width="9.140625" style="336"/>
    <col min="16" max="16" width="13.140625" style="336" bestFit="1" customWidth="1"/>
    <col min="17" max="16384" width="9.140625" style="336"/>
  </cols>
  <sheetData>
    <row r="1" spans="2:28" ht="18">
      <c r="B1" s="433" t="s">
        <v>279</v>
      </c>
      <c r="C1" s="434"/>
      <c r="D1" s="434"/>
      <c r="E1" s="434"/>
      <c r="F1" s="434"/>
      <c r="G1" s="434"/>
      <c r="H1" s="337"/>
      <c r="M1" s="437" t="s">
        <v>187</v>
      </c>
      <c r="N1" s="438"/>
      <c r="O1" s="438"/>
      <c r="P1" s="438"/>
      <c r="Q1" s="438"/>
      <c r="R1" s="438"/>
      <c r="S1" s="438"/>
      <c r="T1" s="438"/>
      <c r="U1" s="438"/>
      <c r="V1" s="438"/>
      <c r="W1" s="438"/>
      <c r="X1" s="438"/>
      <c r="Y1" s="438"/>
      <c r="Z1" s="438"/>
      <c r="AA1" s="438"/>
      <c r="AB1" s="438"/>
    </row>
    <row r="2" spans="2:28" ht="16.5">
      <c r="B2" s="433" t="s">
        <v>280</v>
      </c>
      <c r="C2" s="434"/>
      <c r="D2" s="434"/>
      <c r="E2" s="434"/>
      <c r="F2" s="434"/>
      <c r="G2" s="434"/>
      <c r="H2" s="337"/>
      <c r="M2" s="439" t="s">
        <v>188</v>
      </c>
      <c r="N2" s="438"/>
      <c r="O2" s="438"/>
      <c r="P2" s="438"/>
      <c r="Q2" s="438"/>
      <c r="R2" s="438"/>
      <c r="S2" s="438"/>
      <c r="T2" s="438"/>
      <c r="U2" s="438"/>
      <c r="V2" s="438"/>
      <c r="W2" s="438"/>
      <c r="X2" s="438"/>
      <c r="Y2" s="438"/>
      <c r="Z2" s="438"/>
      <c r="AA2" s="438"/>
      <c r="AB2" s="438"/>
    </row>
    <row r="3" spans="2:28" ht="15">
      <c r="B3" s="434"/>
      <c r="C3" s="434"/>
      <c r="D3" s="434"/>
      <c r="E3" s="434"/>
      <c r="F3" s="434"/>
      <c r="G3" s="434"/>
      <c r="H3" s="337"/>
      <c r="M3" s="438" t="s">
        <v>189</v>
      </c>
      <c r="N3" s="438"/>
      <c r="O3" s="438"/>
      <c r="P3" s="438"/>
      <c r="Q3" s="438"/>
      <c r="R3" s="438"/>
      <c r="S3" s="438"/>
      <c r="T3" s="438"/>
      <c r="U3" s="438"/>
      <c r="V3" s="438"/>
      <c r="W3" s="438"/>
      <c r="X3" s="438"/>
      <c r="Y3" s="438"/>
      <c r="Z3" s="438"/>
      <c r="AA3" s="438"/>
      <c r="AB3" s="438"/>
    </row>
    <row r="4" spans="2:28" ht="15">
      <c r="B4" s="335" t="s">
        <v>281</v>
      </c>
      <c r="C4" s="345" t="s">
        <v>282</v>
      </c>
      <c r="D4" s="344"/>
      <c r="E4" s="344"/>
      <c r="F4" s="344"/>
      <c r="G4" s="344"/>
      <c r="H4" s="337"/>
      <c r="M4" s="438" t="s">
        <v>190</v>
      </c>
      <c r="N4" s="438"/>
      <c r="O4" s="438"/>
      <c r="P4" s="438"/>
      <c r="Q4" s="438"/>
      <c r="R4" s="438"/>
      <c r="S4" s="438"/>
      <c r="T4" s="438"/>
      <c r="U4" s="438"/>
      <c r="V4" s="438"/>
      <c r="W4" s="438"/>
      <c r="X4" s="438"/>
      <c r="Y4" s="438"/>
      <c r="Z4" s="438"/>
      <c r="AA4" s="438"/>
      <c r="AB4" s="438"/>
    </row>
    <row r="5" spans="2:28" ht="15" customHeight="1">
      <c r="B5" s="335" t="s">
        <v>283</v>
      </c>
      <c r="C5" s="345" t="s">
        <v>284</v>
      </c>
      <c r="D5" s="344"/>
      <c r="E5" s="344"/>
      <c r="F5" s="344"/>
      <c r="G5" s="344"/>
      <c r="H5" s="337"/>
      <c r="M5" s="338" t="s">
        <v>191</v>
      </c>
      <c r="N5" s="338"/>
      <c r="O5" s="338"/>
      <c r="P5" s="338" t="s">
        <v>192</v>
      </c>
      <c r="Q5" s="339" t="s">
        <v>193</v>
      </c>
      <c r="R5" s="338"/>
      <c r="S5" s="338"/>
      <c r="T5" s="338"/>
      <c r="U5" s="338"/>
      <c r="V5" s="338"/>
      <c r="W5" s="338"/>
      <c r="X5" s="338"/>
      <c r="Y5" s="338"/>
      <c r="Z5" s="338"/>
      <c r="AA5" s="338"/>
      <c r="AB5" s="338"/>
    </row>
    <row r="6" spans="2:28" ht="15">
      <c r="B6" s="335" t="s">
        <v>285</v>
      </c>
      <c r="C6" s="345" t="s">
        <v>286</v>
      </c>
      <c r="D6" s="344"/>
      <c r="E6" s="344"/>
      <c r="F6" s="344"/>
      <c r="G6" s="344"/>
      <c r="H6" s="337"/>
    </row>
    <row r="7" spans="2:28" ht="15">
      <c r="B7" s="335" t="s">
        <v>287</v>
      </c>
      <c r="C7" s="345" t="s">
        <v>288</v>
      </c>
      <c r="D7" s="344"/>
      <c r="E7" s="344"/>
      <c r="F7" s="344"/>
      <c r="G7" s="344"/>
      <c r="H7" s="337"/>
    </row>
    <row r="8" spans="2:28" ht="15">
      <c r="B8" s="335" t="s">
        <v>289</v>
      </c>
      <c r="C8" s="345" t="s">
        <v>290</v>
      </c>
      <c r="D8" s="344"/>
      <c r="E8" s="344"/>
      <c r="F8" s="344"/>
      <c r="G8" s="344"/>
      <c r="H8" s="337"/>
    </row>
    <row r="9" spans="2:28" ht="15">
      <c r="B9" s="335" t="s">
        <v>291</v>
      </c>
      <c r="C9" s="345" t="s">
        <v>101</v>
      </c>
      <c r="D9" s="344"/>
      <c r="E9" s="344"/>
      <c r="F9" s="344"/>
      <c r="G9" s="344"/>
      <c r="H9" s="337"/>
    </row>
    <row r="10" spans="2:28" ht="15">
      <c r="B10" s="335" t="s">
        <v>292</v>
      </c>
      <c r="C10" s="345" t="s">
        <v>290</v>
      </c>
      <c r="D10" s="344"/>
      <c r="E10" s="344"/>
      <c r="F10" s="344"/>
      <c r="G10" s="344"/>
      <c r="H10" s="337"/>
    </row>
    <row r="11" spans="2:28" ht="15">
      <c r="B11" s="335" t="s">
        <v>293</v>
      </c>
      <c r="C11" s="345" t="s">
        <v>294</v>
      </c>
      <c r="D11" s="344"/>
      <c r="E11" s="344"/>
      <c r="F11" s="344"/>
      <c r="G11" s="344"/>
      <c r="H11" s="337"/>
    </row>
    <row r="12" spans="2:28" ht="15">
      <c r="B12" s="335" t="s">
        <v>295</v>
      </c>
      <c r="C12" s="345" t="s">
        <v>296</v>
      </c>
      <c r="D12" s="344"/>
      <c r="E12" s="344"/>
      <c r="F12" s="344"/>
      <c r="G12" s="344"/>
      <c r="H12" s="337"/>
    </row>
    <row r="13" spans="2:28" ht="15">
      <c r="B13" s="335" t="s">
        <v>297</v>
      </c>
      <c r="C13" s="345" t="s">
        <v>298</v>
      </c>
      <c r="D13" s="344"/>
      <c r="E13" s="344"/>
      <c r="F13" s="344"/>
      <c r="G13" s="344"/>
      <c r="H13" s="337"/>
    </row>
    <row r="14" spans="2:28" ht="15.75" thickBot="1">
      <c r="B14" s="335" t="s">
        <v>299</v>
      </c>
      <c r="C14" s="340" t="s">
        <v>278</v>
      </c>
      <c r="D14" s="337"/>
      <c r="E14" s="337"/>
      <c r="F14" s="337"/>
      <c r="G14" s="337"/>
      <c r="H14" s="337"/>
    </row>
    <row r="15" spans="2:28" ht="15.75" customHeight="1" thickBot="1">
      <c r="B15" s="341"/>
      <c r="C15" s="337"/>
      <c r="D15" s="337"/>
      <c r="E15" s="337"/>
      <c r="F15" s="337"/>
      <c r="G15" s="337"/>
      <c r="H15" s="337"/>
      <c r="I15" s="337"/>
      <c r="M15" s="435" t="s">
        <v>273</v>
      </c>
      <c r="N15" s="436"/>
      <c r="O15"/>
      <c r="P15"/>
      <c r="R15" s="338"/>
      <c r="S15" s="338"/>
      <c r="T15" s="338"/>
      <c r="U15" s="338"/>
      <c r="V15" s="338"/>
      <c r="W15" s="338"/>
      <c r="X15" s="338"/>
      <c r="Y15" s="338"/>
      <c r="Z15" s="338"/>
      <c r="AA15" s="338"/>
      <c r="AB15" s="338"/>
    </row>
    <row r="16" spans="2:28" s="351" customFormat="1" ht="15.75" thickBot="1">
      <c r="B16" s="334" t="s">
        <v>4</v>
      </c>
      <c r="C16" s="334" t="s">
        <v>178</v>
      </c>
      <c r="D16" s="334" t="s">
        <v>179</v>
      </c>
      <c r="E16" s="334" t="s">
        <v>180</v>
      </c>
      <c r="F16" s="334" t="s">
        <v>181</v>
      </c>
      <c r="G16" s="334" t="s">
        <v>182</v>
      </c>
      <c r="H16" s="352" t="s">
        <v>17</v>
      </c>
      <c r="I16" s="353"/>
      <c r="M16" s="342" t="s">
        <v>194</v>
      </c>
      <c r="N16" s="389">
        <v>81.891000000000005</v>
      </c>
      <c r="O16"/>
      <c r="P16"/>
    </row>
    <row r="17" spans="2:16" ht="16.5" thickTop="1" thickBot="1">
      <c r="B17" s="335">
        <v>2001</v>
      </c>
      <c r="C17" s="387">
        <v>87</v>
      </c>
      <c r="D17" s="387">
        <v>88.1</v>
      </c>
      <c r="E17" s="387">
        <v>88.3</v>
      </c>
      <c r="F17" s="387">
        <v>89.1</v>
      </c>
      <c r="G17" s="346">
        <f>AVERAGE(C17:F17)</f>
        <v>88.125</v>
      </c>
      <c r="H17" s="337"/>
      <c r="I17" s="337"/>
      <c r="M17" s="342" t="s">
        <v>195</v>
      </c>
      <c r="N17" s="389">
        <v>83.766000000000005</v>
      </c>
      <c r="O17"/>
      <c r="P17"/>
    </row>
    <row r="18" spans="2:16" ht="15.75" thickBot="1">
      <c r="B18" s="335">
        <v>2002</v>
      </c>
      <c r="C18" s="387">
        <v>89.8</v>
      </c>
      <c r="D18" s="387">
        <v>91.4</v>
      </c>
      <c r="E18" s="387">
        <v>91.8</v>
      </c>
      <c r="F18" s="387">
        <v>92.2</v>
      </c>
      <c r="G18" s="346">
        <f t="shared" ref="G18:G31" si="0">AVERAGE(C18:F18)</f>
        <v>91.3</v>
      </c>
      <c r="H18" s="348">
        <f>LN(G18/G17)</f>
        <v>3.5394526468489958E-2</v>
      </c>
      <c r="I18" s="337"/>
      <c r="M18" s="342" t="s">
        <v>196</v>
      </c>
      <c r="N18" s="389">
        <v>85.054000000000002</v>
      </c>
      <c r="O18"/>
      <c r="P18"/>
    </row>
    <row r="19" spans="2:16" ht="15.75" thickBot="1">
      <c r="B19" s="335">
        <v>2003</v>
      </c>
      <c r="C19" s="387">
        <v>93</v>
      </c>
      <c r="D19" s="387">
        <v>93.6</v>
      </c>
      <c r="E19" s="387">
        <v>94</v>
      </c>
      <c r="F19" s="387">
        <v>94.5</v>
      </c>
      <c r="G19" s="346">
        <f t="shared" si="0"/>
        <v>93.775000000000006</v>
      </c>
      <c r="H19" s="348">
        <f t="shared" ref="H19:H28" si="1">LN(G19/G18)</f>
        <v>2.6747508367028359E-2</v>
      </c>
      <c r="I19" s="337"/>
      <c r="M19" s="342" t="s">
        <v>197</v>
      </c>
      <c r="N19" s="389">
        <v>86.754000000000005</v>
      </c>
      <c r="O19"/>
      <c r="P19"/>
    </row>
    <row r="20" spans="2:16" ht="15.75" thickBot="1">
      <c r="B20" s="335">
        <v>2004</v>
      </c>
      <c r="C20" s="387">
        <v>95.4</v>
      </c>
      <c r="D20" s="387">
        <v>96.6</v>
      </c>
      <c r="E20" s="387">
        <v>97.1</v>
      </c>
      <c r="F20" s="387">
        <v>97.4</v>
      </c>
      <c r="G20" s="346">
        <f t="shared" si="0"/>
        <v>96.625</v>
      </c>
      <c r="H20" s="348">
        <f t="shared" si="1"/>
        <v>2.9939210939635016E-2</v>
      </c>
      <c r="I20" s="337"/>
      <c r="M20" s="342" t="s">
        <v>198</v>
      </c>
      <c r="N20" s="389">
        <v>89.132000000000005</v>
      </c>
      <c r="O20"/>
      <c r="P20"/>
    </row>
    <row r="21" spans="2:16" ht="15.75" thickBot="1">
      <c r="B21" s="335">
        <v>2005</v>
      </c>
      <c r="C21" s="387">
        <v>98.4</v>
      </c>
      <c r="D21" s="387">
        <v>99.2</v>
      </c>
      <c r="E21" s="387">
        <v>99.5</v>
      </c>
      <c r="F21" s="387">
        <v>100</v>
      </c>
      <c r="G21" s="346">
        <f t="shared" si="0"/>
        <v>99.275000000000006</v>
      </c>
      <c r="H21" s="348">
        <f t="shared" si="1"/>
        <v>2.7056270109729181E-2</v>
      </c>
      <c r="I21" s="337"/>
      <c r="M21" s="342" t="s">
        <v>199</v>
      </c>
      <c r="N21" s="389">
        <v>91.991</v>
      </c>
      <c r="O21"/>
      <c r="P21"/>
    </row>
    <row r="22" spans="2:16" ht="15.75" thickBot="1">
      <c r="B22" s="335">
        <v>2006</v>
      </c>
      <c r="C22" s="387">
        <v>100.8</v>
      </c>
      <c r="D22" s="387">
        <v>102.1</v>
      </c>
      <c r="E22" s="387">
        <v>103</v>
      </c>
      <c r="F22" s="387">
        <v>103.5</v>
      </c>
      <c r="G22" s="346">
        <f t="shared" si="0"/>
        <v>102.35</v>
      </c>
      <c r="H22" s="348">
        <f t="shared" si="1"/>
        <v>3.0504535089983187E-2</v>
      </c>
      <c r="I22" s="337"/>
      <c r="M22" s="342" t="s">
        <v>200</v>
      </c>
      <c r="N22" s="389">
        <v>94.817999999999998</v>
      </c>
      <c r="O22"/>
      <c r="P22"/>
    </row>
    <row r="23" spans="2:16" ht="15.75" thickBot="1">
      <c r="B23" s="335">
        <v>2007</v>
      </c>
      <c r="C23" s="387">
        <v>104.3</v>
      </c>
      <c r="D23" s="387">
        <v>105.5</v>
      </c>
      <c r="E23" s="387">
        <v>106.1</v>
      </c>
      <c r="F23" s="387">
        <v>106.8</v>
      </c>
      <c r="G23" s="346">
        <f t="shared" si="0"/>
        <v>105.675</v>
      </c>
      <c r="H23" s="348">
        <f t="shared" si="1"/>
        <v>3.1970034345555003E-2</v>
      </c>
      <c r="I23" s="337"/>
      <c r="M23" s="342" t="s">
        <v>201</v>
      </c>
      <c r="N23" s="389">
        <v>97.334999999999994</v>
      </c>
      <c r="O23"/>
      <c r="P23"/>
    </row>
    <row r="24" spans="2:16" ht="15.75" thickBot="1">
      <c r="B24" s="335">
        <v>2008</v>
      </c>
      <c r="C24" s="387">
        <v>108</v>
      </c>
      <c r="D24" s="387">
        <v>109.3</v>
      </c>
      <c r="E24" s="387">
        <v>109.3</v>
      </c>
      <c r="F24" s="387">
        <v>109.6</v>
      </c>
      <c r="G24" s="346">
        <f t="shared" si="0"/>
        <v>109.05000000000001</v>
      </c>
      <c r="H24" s="348">
        <f t="shared" si="1"/>
        <v>3.1438146194784536E-2</v>
      </c>
      <c r="I24" s="337"/>
      <c r="M24" s="342" t="s">
        <v>202</v>
      </c>
      <c r="N24" s="389">
        <v>99.236000000000004</v>
      </c>
      <c r="O24"/>
      <c r="P24"/>
    </row>
    <row r="25" spans="2:16" ht="15.75" thickBot="1">
      <c r="B25" s="335">
        <v>2009</v>
      </c>
      <c r="C25" s="387">
        <v>111</v>
      </c>
      <c r="D25" s="387">
        <v>112</v>
      </c>
      <c r="E25" s="387">
        <v>112.2</v>
      </c>
      <c r="F25" s="387">
        <v>113.3</v>
      </c>
      <c r="G25" s="346">
        <f t="shared" si="0"/>
        <v>112.125</v>
      </c>
      <c r="H25" s="348">
        <f t="shared" si="1"/>
        <v>2.7807827731321969E-2</v>
      </c>
      <c r="I25" s="337"/>
      <c r="M25" s="342" t="s">
        <v>203</v>
      </c>
      <c r="N25" s="389">
        <v>100</v>
      </c>
      <c r="O25"/>
      <c r="P25"/>
    </row>
    <row r="26" spans="2:16" ht="15.75" thickBot="1">
      <c r="B26" s="335">
        <v>2010</v>
      </c>
      <c r="C26" s="387">
        <v>113.9</v>
      </c>
      <c r="D26" s="387">
        <v>114.7</v>
      </c>
      <c r="E26" s="387">
        <v>115.4</v>
      </c>
      <c r="F26" s="387">
        <v>115.6</v>
      </c>
      <c r="G26" s="346">
        <f t="shared" si="0"/>
        <v>114.9</v>
      </c>
      <c r="H26" s="348">
        <f t="shared" si="1"/>
        <v>2.4447864475749835E-2</v>
      </c>
      <c r="I26" s="337"/>
      <c r="M26" s="342" t="s">
        <v>204</v>
      </c>
      <c r="N26" s="389">
        <v>101.211</v>
      </c>
      <c r="O26"/>
      <c r="P26"/>
    </row>
    <row r="27" spans="2:16" ht="15.75" thickBot="1">
      <c r="B27" s="335">
        <v>2011</v>
      </c>
      <c r="C27" s="387">
        <v>116.9</v>
      </c>
      <c r="D27" s="387">
        <v>118.1</v>
      </c>
      <c r="E27" s="387">
        <v>118.5</v>
      </c>
      <c r="F27" s="387">
        <v>118.8</v>
      </c>
      <c r="G27" s="346">
        <f t="shared" si="0"/>
        <v>118.075</v>
      </c>
      <c r="H27" s="348">
        <f t="shared" si="1"/>
        <v>2.725783092747083E-2</v>
      </c>
      <c r="I27" s="337"/>
      <c r="M27" s="342" t="s">
        <v>205</v>
      </c>
      <c r="N27" s="389">
        <v>103.199</v>
      </c>
      <c r="O27"/>
      <c r="P27"/>
    </row>
    <row r="28" spans="2:16" ht="15.75" thickBot="1">
      <c r="B28" s="335">
        <v>2012</v>
      </c>
      <c r="C28" s="387">
        <v>119.6</v>
      </c>
      <c r="D28" s="387">
        <v>121.3</v>
      </c>
      <c r="E28" s="387">
        <v>121.3</v>
      </c>
      <c r="F28" s="387">
        <v>121.7</v>
      </c>
      <c r="G28" s="346">
        <f t="shared" si="0"/>
        <v>120.97499999999999</v>
      </c>
      <c r="H28" s="348">
        <f t="shared" si="1"/>
        <v>2.4263896897201379E-2</v>
      </c>
      <c r="I28" s="337"/>
      <c r="M28" s="342" t="s">
        <v>206</v>
      </c>
      <c r="N28" s="389">
        <v>105.002</v>
      </c>
      <c r="O28"/>
      <c r="P28"/>
    </row>
    <row r="29" spans="2:16" ht="15.75" thickBot="1">
      <c r="B29" s="335">
        <v>2013</v>
      </c>
      <c r="C29" s="387">
        <v>123</v>
      </c>
      <c r="D29" s="387">
        <v>124.2</v>
      </c>
      <c r="E29" s="387">
        <v>124.9</v>
      </c>
      <c r="F29" s="387">
        <v>125.2</v>
      </c>
      <c r="G29" s="346">
        <f t="shared" si="0"/>
        <v>124.325</v>
      </c>
      <c r="H29" s="348">
        <f>LN(G29/G28)</f>
        <v>2.7315191921419985E-2</v>
      </c>
      <c r="I29" s="337"/>
      <c r="M29" s="342" t="s">
        <v>207</v>
      </c>
      <c r="N29" s="389">
        <v>106.58799999999999</v>
      </c>
      <c r="O29"/>
      <c r="P29"/>
    </row>
    <row r="30" spans="2:16" ht="15.75" thickBot="1">
      <c r="B30" s="335">
        <v>2014</v>
      </c>
      <c r="C30" s="387">
        <v>126.6</v>
      </c>
      <c r="D30" s="387">
        <v>127.6</v>
      </c>
      <c r="E30" s="387">
        <v>128.30000000000001</v>
      </c>
      <c r="F30" s="387">
        <v>128.30000000000001</v>
      </c>
      <c r="G30" s="346">
        <f t="shared" si="0"/>
        <v>127.7</v>
      </c>
      <c r="H30" s="348">
        <f>LN(G30/G29)</f>
        <v>2.6784658437691435E-2</v>
      </c>
      <c r="I30" s="343"/>
      <c r="M30" s="342" t="s">
        <v>277</v>
      </c>
      <c r="N30" s="390">
        <v>108.68600000000001</v>
      </c>
      <c r="O30"/>
      <c r="P30"/>
    </row>
    <row r="31" spans="2:16" ht="15">
      <c r="B31" s="335">
        <v>2015</v>
      </c>
      <c r="C31" s="387">
        <v>129.9</v>
      </c>
      <c r="D31" s="387">
        <v>130.80000000000001</v>
      </c>
      <c r="E31" s="387">
        <v>131.4</v>
      </c>
      <c r="F31" s="388"/>
      <c r="G31" s="347">
        <f t="shared" si="0"/>
        <v>130.70000000000002</v>
      </c>
      <c r="H31" s="349"/>
    </row>
    <row r="32" spans="2:16" ht="15">
      <c r="H32" s="350">
        <f>AVERAGE(H18:H30)</f>
        <v>2.8532884762004666E-2</v>
      </c>
    </row>
  </sheetData>
  <mergeCells count="8">
    <mergeCell ref="B1:G1"/>
    <mergeCell ref="B2:G2"/>
    <mergeCell ref="B3:G3"/>
    <mergeCell ref="M15:N15"/>
    <mergeCell ref="M1:AB1"/>
    <mergeCell ref="M2:AB2"/>
    <mergeCell ref="M3:AB3"/>
    <mergeCell ref="M4:AB4"/>
  </mergeCells>
  <hyperlinks>
    <hyperlink ref="Q5" r:id="rId1" location="reqid=9&amp;step=3&amp;isuri=1&amp;910=x&amp;911=0&amp;903=13&amp;904=2000&amp;905=2013&amp;906=a"/>
    <hyperlink ref="C14" r:id="rId2"/>
  </hyperlinks>
  <pageMargins left="0.7" right="0.7" top="0.75" bottom="0.75" header="0.3" footer="0.3"/>
  <pageSetup scale="83" orientation="portrait" r:id="rId3"/>
  <headerFooter>
    <oddHeader>&amp;CFiled: 2016-10-26, EB-2016-0152
Exhibit L, Tab 11.1 Schedule 1 Staff-246</oddHeader>
  </headerFooter>
  <ignoredErrors>
    <ignoredError sqref="M16:M3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0"/>
  <sheetViews>
    <sheetView showGridLines="0" zoomScale="70" zoomScaleNormal="70" workbookViewId="0">
      <selection activeCell="I31" sqref="I31"/>
    </sheetView>
  </sheetViews>
  <sheetFormatPr defaultRowHeight="16.5"/>
  <cols>
    <col min="1" max="1" width="2.85546875" style="194" customWidth="1"/>
    <col min="2" max="4" width="13.42578125" style="194" customWidth="1"/>
    <col min="5" max="5" width="20.42578125" style="194" customWidth="1"/>
    <col min="6" max="9" width="13.42578125" style="194" customWidth="1"/>
    <col min="10" max="10" width="15.85546875" style="194" customWidth="1"/>
    <col min="11" max="11" width="19.5703125" style="194" customWidth="1"/>
    <col min="12" max="12" width="21" style="194" customWidth="1"/>
    <col min="13" max="15" width="13.42578125" style="194" customWidth="1"/>
    <col min="16" max="16" width="3.28515625" style="194" customWidth="1"/>
    <col min="17" max="24" width="13.42578125" style="194" customWidth="1"/>
    <col min="25" max="25" width="29" style="194" customWidth="1"/>
    <col min="26" max="16384" width="9.140625" style="194"/>
  </cols>
  <sheetData>
    <row r="1" spans="2:25" ht="17.25" thickBot="1">
      <c r="Q1" s="396"/>
      <c r="R1" s="396"/>
      <c r="S1" s="396"/>
      <c r="T1" s="396"/>
      <c r="U1" s="396"/>
      <c r="V1" s="396"/>
      <c r="W1" s="396"/>
      <c r="X1" s="396"/>
      <c r="Y1" s="396"/>
    </row>
    <row r="2" spans="2:25" ht="15.75" customHeight="1">
      <c r="B2" s="191" t="s">
        <v>583</v>
      </c>
      <c r="C2" s="192"/>
      <c r="D2" s="192"/>
      <c r="E2" s="192"/>
      <c r="F2" s="192"/>
      <c r="G2" s="192"/>
      <c r="H2" s="192"/>
      <c r="I2" s="192"/>
      <c r="J2" s="192"/>
      <c r="K2" s="192"/>
      <c r="L2" s="192"/>
      <c r="M2" s="192"/>
      <c r="N2" s="192"/>
      <c r="O2" s="192"/>
      <c r="P2" s="193"/>
      <c r="Q2" s="231"/>
      <c r="R2" s="231"/>
      <c r="S2" s="231"/>
      <c r="T2" s="231"/>
      <c r="U2" s="231"/>
      <c r="V2" s="231"/>
      <c r="W2" s="231"/>
      <c r="X2" s="231"/>
      <c r="Y2" s="231"/>
    </row>
    <row r="3" spans="2:25" ht="15.75" customHeight="1">
      <c r="B3" s="195" t="s">
        <v>257</v>
      </c>
      <c r="C3" s="196"/>
      <c r="D3" s="196"/>
      <c r="E3" s="196"/>
      <c r="F3" s="196"/>
      <c r="G3" s="196"/>
      <c r="H3" s="197"/>
      <c r="I3" s="197"/>
      <c r="J3" s="197"/>
      <c r="K3" s="197"/>
      <c r="L3" s="197"/>
      <c r="M3" s="197"/>
      <c r="N3" s="197"/>
      <c r="O3" s="197"/>
      <c r="P3" s="198"/>
      <c r="Q3" s="231"/>
      <c r="R3" s="231"/>
      <c r="S3" s="231"/>
      <c r="T3" s="231"/>
      <c r="U3" s="231"/>
      <c r="V3" s="231"/>
      <c r="W3" s="231"/>
      <c r="X3" s="231"/>
      <c r="Y3" s="231"/>
    </row>
    <row r="4" spans="2:25" ht="15.75" customHeight="1">
      <c r="B4" s="199" t="s">
        <v>578</v>
      </c>
      <c r="C4" s="200"/>
      <c r="D4" s="200"/>
      <c r="E4" s="200"/>
      <c r="F4" s="200"/>
      <c r="G4" s="200"/>
      <c r="H4" s="201"/>
      <c r="I4" s="201"/>
      <c r="J4" s="201"/>
      <c r="K4" s="201"/>
      <c r="L4" s="201"/>
      <c r="M4" s="201"/>
      <c r="N4" s="201"/>
      <c r="O4" s="201"/>
      <c r="P4" s="202"/>
      <c r="Q4" s="397"/>
      <c r="R4" s="397"/>
      <c r="S4" s="397"/>
      <c r="T4" s="397"/>
      <c r="U4" s="397"/>
      <c r="V4" s="397"/>
      <c r="W4" s="397"/>
      <c r="X4" s="397"/>
      <c r="Y4" s="397"/>
    </row>
    <row r="5" spans="2:25" ht="15.75" customHeight="1">
      <c r="B5" s="199"/>
      <c r="C5" s="200" t="s">
        <v>579</v>
      </c>
      <c r="D5" s="200"/>
      <c r="E5" s="200"/>
      <c r="F5" s="200"/>
      <c r="G5" s="200"/>
      <c r="H5" s="201"/>
      <c r="I5" s="201"/>
      <c r="J5" s="201"/>
      <c r="K5" s="201"/>
      <c r="L5" s="201"/>
      <c r="M5" s="201"/>
      <c r="N5" s="201"/>
      <c r="O5" s="201"/>
      <c r="P5" s="202"/>
      <c r="Q5" s="397"/>
      <c r="R5" s="397"/>
      <c r="S5" s="397"/>
      <c r="T5" s="397"/>
      <c r="U5" s="397"/>
      <c r="V5" s="397"/>
      <c r="W5" s="397"/>
      <c r="X5" s="397"/>
      <c r="Y5" s="397"/>
    </row>
    <row r="6" spans="2:25" ht="15.75" customHeight="1">
      <c r="B6" s="199"/>
      <c r="C6" s="200" t="s">
        <v>576</v>
      </c>
      <c r="D6" s="200"/>
      <c r="E6" s="200"/>
      <c r="F6" s="200"/>
      <c r="G6" s="200"/>
      <c r="H6" s="201"/>
      <c r="I6" s="201"/>
      <c r="J6" s="201"/>
      <c r="K6" s="201"/>
      <c r="L6" s="201"/>
      <c r="M6" s="201"/>
      <c r="N6" s="201"/>
      <c r="O6" s="201"/>
      <c r="P6" s="202"/>
      <c r="Q6" s="397"/>
      <c r="R6" s="397"/>
      <c r="S6" s="397"/>
      <c r="T6" s="397"/>
      <c r="U6" s="397"/>
      <c r="V6" s="397"/>
      <c r="W6" s="397"/>
      <c r="X6" s="397"/>
      <c r="Y6" s="397"/>
    </row>
    <row r="7" spans="2:25" ht="15.75" customHeight="1">
      <c r="B7" s="393" t="s">
        <v>580</v>
      </c>
      <c r="C7" s="204"/>
      <c r="D7" s="204"/>
      <c r="E7" s="204"/>
      <c r="F7" s="204"/>
      <c r="G7" s="204"/>
      <c r="H7" s="205"/>
      <c r="I7" s="205"/>
      <c r="J7" s="205"/>
      <c r="K7" s="205"/>
      <c r="L7" s="205"/>
      <c r="M7" s="205"/>
      <c r="N7" s="205"/>
      <c r="O7" s="205"/>
      <c r="P7" s="206"/>
      <c r="Q7" s="397"/>
      <c r="R7" s="397"/>
      <c r="S7" s="397"/>
      <c r="T7" s="397"/>
      <c r="U7" s="397"/>
      <c r="V7" s="397"/>
      <c r="W7" s="397"/>
      <c r="X7" s="397"/>
      <c r="Y7" s="397"/>
    </row>
    <row r="8" spans="2:25" s="391" customFormat="1" ht="15.75" customHeight="1">
      <c r="B8" s="203"/>
      <c r="C8" s="204" t="s">
        <v>581</v>
      </c>
      <c r="D8" s="204"/>
      <c r="E8" s="204"/>
      <c r="F8" s="204"/>
      <c r="G8" s="204"/>
      <c r="H8" s="205"/>
      <c r="I8" s="205"/>
      <c r="J8" s="205"/>
      <c r="K8" s="205"/>
      <c r="L8" s="205"/>
      <c r="M8" s="205"/>
      <c r="N8" s="205"/>
      <c r="O8" s="205"/>
      <c r="P8" s="206"/>
      <c r="Q8" s="397"/>
      <c r="R8" s="397"/>
      <c r="S8" s="397"/>
      <c r="T8" s="397"/>
      <c r="U8" s="397"/>
      <c r="V8" s="397"/>
      <c r="W8" s="397"/>
      <c r="X8" s="397"/>
      <c r="Y8" s="397"/>
    </row>
    <row r="9" spans="2:25" s="391" customFormat="1" ht="15.75" customHeight="1">
      <c r="B9" s="203"/>
      <c r="C9" s="204" t="s">
        <v>577</v>
      </c>
      <c r="D9" s="204"/>
      <c r="E9" s="204"/>
      <c r="F9" s="204"/>
      <c r="G9" s="204"/>
      <c r="H9" s="205"/>
      <c r="I9" s="205"/>
      <c r="J9" s="205"/>
      <c r="K9" s="205"/>
      <c r="L9" s="205"/>
      <c r="M9" s="205"/>
      <c r="N9" s="205"/>
      <c r="O9" s="205"/>
      <c r="P9" s="206"/>
      <c r="Q9" s="397"/>
      <c r="R9" s="397"/>
      <c r="S9" s="397"/>
      <c r="T9" s="397"/>
      <c r="U9" s="397"/>
      <c r="V9" s="397"/>
      <c r="W9" s="397"/>
      <c r="X9" s="397"/>
      <c r="Y9" s="397"/>
    </row>
    <row r="10" spans="2:25" ht="15.75" customHeight="1">
      <c r="B10" s="207" t="s">
        <v>306</v>
      </c>
      <c r="C10" s="208"/>
      <c r="D10" s="208"/>
      <c r="E10" s="208"/>
      <c r="F10" s="208"/>
      <c r="G10" s="208"/>
      <c r="H10" s="209"/>
      <c r="I10" s="209"/>
      <c r="J10" s="209"/>
      <c r="K10" s="209"/>
      <c r="L10" s="209"/>
      <c r="M10" s="209"/>
      <c r="N10" s="209"/>
      <c r="O10" s="209"/>
      <c r="P10" s="210"/>
      <c r="Q10" s="231"/>
      <c r="R10" s="231"/>
      <c r="S10" s="231"/>
      <c r="T10" s="231"/>
      <c r="U10" s="231"/>
      <c r="V10" s="231"/>
      <c r="W10" s="231"/>
      <c r="X10" s="231"/>
      <c r="Y10" s="231"/>
    </row>
    <row r="11" spans="2:25" ht="15.75" customHeight="1">
      <c r="B11" s="211"/>
      <c r="C11" s="208" t="s">
        <v>258</v>
      </c>
      <c r="D11" s="208"/>
      <c r="E11" s="208"/>
      <c r="F11" s="208"/>
      <c r="G11" s="208"/>
      <c r="H11" s="209"/>
      <c r="I11" s="209"/>
      <c r="J11" s="209"/>
      <c r="K11" s="209"/>
      <c r="L11" s="209"/>
      <c r="M11" s="209"/>
      <c r="N11" s="209"/>
      <c r="O11" s="209"/>
      <c r="P11" s="210"/>
      <c r="Q11" s="231"/>
      <c r="R11" s="231"/>
      <c r="S11" s="231"/>
      <c r="T11" s="231"/>
      <c r="U11" s="231"/>
      <c r="V11" s="231"/>
      <c r="W11" s="231"/>
      <c r="X11" s="231"/>
      <c r="Y11" s="231"/>
    </row>
    <row r="12" spans="2:25" ht="15.75" customHeight="1">
      <c r="B12" s="211"/>
      <c r="C12" s="208" t="s">
        <v>259</v>
      </c>
      <c r="D12" s="208"/>
      <c r="E12" s="208"/>
      <c r="F12" s="208"/>
      <c r="G12" s="208"/>
      <c r="H12" s="209"/>
      <c r="I12" s="209"/>
      <c r="J12" s="209"/>
      <c r="K12" s="209"/>
      <c r="L12" s="209"/>
      <c r="M12" s="209"/>
      <c r="N12" s="209"/>
      <c r="O12" s="209"/>
      <c r="P12" s="210"/>
      <c r="Q12" s="231"/>
      <c r="R12" s="231"/>
      <c r="S12" s="231"/>
      <c r="T12" s="231"/>
      <c r="U12" s="231"/>
      <c r="V12" s="231"/>
      <c r="W12" s="231"/>
      <c r="X12" s="231"/>
      <c r="Y12" s="231"/>
    </row>
    <row r="13" spans="2:25" ht="15.75" customHeight="1">
      <c r="B13" s="212" t="s">
        <v>307</v>
      </c>
      <c r="C13" s="213"/>
      <c r="D13" s="213"/>
      <c r="E13" s="213"/>
      <c r="F13" s="213"/>
      <c r="G13" s="213"/>
      <c r="H13" s="213"/>
      <c r="I13" s="213"/>
      <c r="J13" s="213"/>
      <c r="K13" s="213"/>
      <c r="L13" s="213"/>
      <c r="M13" s="213"/>
      <c r="N13" s="213"/>
      <c r="O13" s="213"/>
      <c r="P13" s="214"/>
      <c r="Q13" s="398"/>
      <c r="R13" s="398"/>
      <c r="S13" s="398"/>
      <c r="T13" s="398"/>
      <c r="U13" s="398"/>
      <c r="V13" s="398"/>
      <c r="W13" s="398"/>
      <c r="X13" s="398"/>
      <c r="Y13" s="398"/>
    </row>
    <row r="14" spans="2:25" ht="15.75" customHeight="1">
      <c r="B14" s="215" t="s">
        <v>308</v>
      </c>
      <c r="C14" s="216"/>
      <c r="D14" s="216"/>
      <c r="E14" s="216"/>
      <c r="F14" s="216"/>
      <c r="G14" s="216"/>
      <c r="H14" s="217"/>
      <c r="I14" s="217"/>
      <c r="J14" s="217"/>
      <c r="K14" s="217"/>
      <c r="L14" s="217"/>
      <c r="M14" s="217"/>
      <c r="N14" s="217"/>
      <c r="O14" s="217"/>
      <c r="P14" s="218"/>
      <c r="Q14" s="231"/>
      <c r="R14" s="231"/>
      <c r="S14" s="231"/>
      <c r="T14" s="231"/>
      <c r="U14" s="231"/>
      <c r="V14" s="231"/>
      <c r="W14" s="231"/>
      <c r="X14" s="231"/>
      <c r="Y14" s="231"/>
    </row>
    <row r="15" spans="2:25" ht="15.75" customHeight="1">
      <c r="B15" s="219" t="s">
        <v>309</v>
      </c>
      <c r="C15" s="220"/>
      <c r="D15" s="220"/>
      <c r="E15" s="220"/>
      <c r="F15" s="220"/>
      <c r="G15" s="220"/>
      <c r="H15" s="221"/>
      <c r="I15" s="221"/>
      <c r="J15" s="221"/>
      <c r="K15" s="221"/>
      <c r="L15" s="221"/>
      <c r="M15" s="221"/>
      <c r="N15" s="221"/>
      <c r="O15" s="221"/>
      <c r="P15" s="222"/>
      <c r="Q15" s="231"/>
      <c r="R15" s="231"/>
      <c r="S15" s="231"/>
      <c r="T15" s="231"/>
      <c r="U15" s="231"/>
      <c r="V15" s="231"/>
      <c r="W15" s="231"/>
      <c r="X15" s="231"/>
      <c r="Y15" s="231"/>
    </row>
    <row r="16" spans="2:25" ht="15.75" customHeight="1">
      <c r="B16" s="394" t="s">
        <v>582</v>
      </c>
      <c r="C16" s="392"/>
      <c r="D16" s="392"/>
      <c r="E16" s="392"/>
      <c r="F16" s="392"/>
      <c r="G16" s="392"/>
      <c r="H16" s="392"/>
      <c r="I16" s="392"/>
      <c r="J16" s="392"/>
      <c r="K16" s="392"/>
      <c r="L16" s="392"/>
      <c r="M16" s="392"/>
      <c r="N16" s="392"/>
      <c r="O16" s="392"/>
      <c r="P16" s="395"/>
      <c r="Q16" s="398"/>
      <c r="R16" s="398"/>
      <c r="S16" s="398"/>
      <c r="T16" s="398"/>
      <c r="U16" s="398"/>
      <c r="V16" s="398"/>
      <c r="W16" s="398"/>
      <c r="X16" s="398"/>
      <c r="Y16" s="398"/>
    </row>
    <row r="17" spans="2:25" ht="15.75" customHeight="1" thickBot="1">
      <c r="B17" s="223"/>
      <c r="C17" s="224" t="s">
        <v>591</v>
      </c>
      <c r="D17" s="224"/>
      <c r="E17" s="224"/>
      <c r="F17" s="224"/>
      <c r="G17" s="224"/>
      <c r="H17" s="224"/>
      <c r="I17" s="224"/>
      <c r="J17" s="224"/>
      <c r="K17" s="224"/>
      <c r="L17" s="224"/>
      <c r="M17" s="224"/>
      <c r="N17" s="224"/>
      <c r="O17" s="224"/>
      <c r="P17" s="225"/>
      <c r="Q17" s="398"/>
      <c r="R17" s="398"/>
      <c r="S17" s="398"/>
      <c r="T17" s="398"/>
      <c r="U17" s="398"/>
      <c r="V17" s="398"/>
      <c r="W17" s="398"/>
      <c r="X17" s="398"/>
      <c r="Y17" s="398"/>
    </row>
    <row r="18" spans="2:25" ht="15.75" customHeight="1">
      <c r="C18" s="226"/>
      <c r="Q18" s="396"/>
      <c r="R18" s="396"/>
      <c r="S18" s="396"/>
      <c r="T18" s="396"/>
      <c r="U18" s="396"/>
      <c r="V18" s="396"/>
      <c r="W18" s="396"/>
      <c r="X18" s="396"/>
      <c r="Y18" s="396"/>
    </row>
    <row r="19" spans="2:25" ht="15.75" customHeight="1">
      <c r="Q19" s="396"/>
      <c r="R19" s="396"/>
      <c r="S19" s="396"/>
      <c r="T19" s="396"/>
      <c r="U19" s="396"/>
      <c r="V19" s="396"/>
      <c r="W19" s="396"/>
      <c r="X19" s="396"/>
      <c r="Y19" s="396"/>
    </row>
    <row r="20" spans="2:25" ht="15.75" customHeight="1">
      <c r="B20" s="417" t="s">
        <v>589</v>
      </c>
      <c r="Q20" s="396"/>
      <c r="R20" s="396"/>
      <c r="S20" s="396"/>
      <c r="T20" s="396"/>
      <c r="U20" s="396"/>
      <c r="V20" s="396"/>
      <c r="W20" s="396"/>
      <c r="X20" s="396"/>
      <c r="Y20" s="396"/>
    </row>
    <row r="21" spans="2:25" ht="15.75" customHeight="1">
      <c r="C21" s="231"/>
    </row>
    <row r="22" spans="2:25" ht="15.75" customHeight="1"/>
    <row r="23" spans="2:25" ht="15.75" customHeight="1"/>
    <row r="24" spans="2:25" ht="15.75" customHeight="1"/>
    <row r="25" spans="2:25" ht="15.75" customHeight="1" thickBot="1"/>
    <row r="26" spans="2:25" ht="16.5" customHeight="1">
      <c r="B26" s="227" t="s">
        <v>260</v>
      </c>
      <c r="C26" s="228"/>
      <c r="D26" s="228"/>
      <c r="E26" s="228"/>
      <c r="F26" s="228"/>
      <c r="G26" s="228"/>
      <c r="H26" s="228"/>
      <c r="I26" s="228"/>
      <c r="J26" s="228"/>
      <c r="K26" s="228"/>
      <c r="L26" s="229"/>
    </row>
    <row r="27" spans="2:25" ht="16.5" customHeight="1">
      <c r="B27" s="230" t="s">
        <v>261</v>
      </c>
      <c r="C27" s="231"/>
      <c r="D27" s="231"/>
      <c r="E27" s="231"/>
      <c r="F27" s="231"/>
      <c r="G27" s="231"/>
      <c r="H27" s="231"/>
      <c r="I27" s="231"/>
      <c r="J27" s="231"/>
      <c r="K27" s="231"/>
      <c r="L27" s="232"/>
    </row>
    <row r="28" spans="2:25" ht="16.5" customHeight="1">
      <c r="B28" s="233" t="s">
        <v>305</v>
      </c>
      <c r="C28" s="231"/>
      <c r="D28" s="231"/>
      <c r="E28" s="231"/>
      <c r="F28" s="231"/>
      <c r="G28" s="231"/>
      <c r="H28" s="231"/>
      <c r="I28" s="231"/>
      <c r="J28" s="231"/>
      <c r="K28" s="231"/>
      <c r="L28" s="232"/>
    </row>
    <row r="29" spans="2:25" ht="16.5" customHeight="1">
      <c r="B29" s="413" t="s">
        <v>584</v>
      </c>
      <c r="C29" s="231" t="s">
        <v>586</v>
      </c>
      <c r="D29" s="231"/>
      <c r="E29" s="231"/>
      <c r="F29" s="231"/>
      <c r="G29" s="231"/>
      <c r="H29" s="231"/>
      <c r="I29" s="231"/>
      <c r="J29" s="231"/>
      <c r="K29" s="231"/>
      <c r="L29" s="232"/>
    </row>
    <row r="30" spans="2:25" ht="16.5" customHeight="1">
      <c r="B30" s="230"/>
      <c r="C30" s="231" t="s">
        <v>585</v>
      </c>
      <c r="D30" s="231"/>
      <c r="E30" s="231"/>
      <c r="F30" s="231"/>
      <c r="G30" s="231"/>
      <c r="H30" s="231"/>
      <c r="I30" s="231"/>
      <c r="J30" s="231"/>
      <c r="K30" s="231"/>
      <c r="L30" s="232"/>
    </row>
    <row r="31" spans="2:25" ht="16.5" customHeight="1">
      <c r="B31" s="230"/>
      <c r="C31" s="231" t="s">
        <v>590</v>
      </c>
      <c r="D31" s="231"/>
      <c r="E31" s="231"/>
      <c r="F31" s="231"/>
      <c r="G31" s="231"/>
      <c r="H31" s="231"/>
      <c r="I31" s="231"/>
      <c r="J31" s="231"/>
      <c r="K31" s="231"/>
      <c r="L31" s="232"/>
    </row>
    <row r="32" spans="2:25" ht="16.5" customHeight="1">
      <c r="B32" s="230" t="s">
        <v>262</v>
      </c>
      <c r="C32" s="231"/>
      <c r="D32" s="231"/>
      <c r="E32" s="231"/>
      <c r="F32" s="231"/>
      <c r="G32" s="231"/>
      <c r="H32" s="231"/>
      <c r="I32" s="231"/>
      <c r="J32" s="231"/>
      <c r="K32" s="231"/>
      <c r="L32" s="232"/>
    </row>
    <row r="33" spans="2:12" ht="16.5" customHeight="1">
      <c r="B33" s="233" t="s">
        <v>319</v>
      </c>
      <c r="C33" s="231"/>
      <c r="D33" s="231"/>
      <c r="E33" s="231"/>
      <c r="F33" s="231"/>
      <c r="G33" s="231"/>
      <c r="H33" s="231"/>
      <c r="I33" s="231"/>
      <c r="J33" s="231"/>
      <c r="K33" s="231"/>
      <c r="L33" s="232"/>
    </row>
    <row r="34" spans="2:12" ht="16.5" customHeight="1">
      <c r="B34" s="230" t="s">
        <v>317</v>
      </c>
      <c r="C34" s="231"/>
      <c r="D34" s="231"/>
      <c r="E34" s="231"/>
      <c r="F34" s="231"/>
      <c r="G34" s="231"/>
      <c r="H34" s="231"/>
      <c r="I34" s="231"/>
      <c r="J34" s="231"/>
      <c r="K34" s="231"/>
      <c r="L34" s="232"/>
    </row>
    <row r="35" spans="2:12" ht="16.5" customHeight="1">
      <c r="B35" s="230" t="s">
        <v>318</v>
      </c>
      <c r="C35" s="231"/>
      <c r="D35" s="231"/>
      <c r="E35" s="231"/>
      <c r="F35" s="231"/>
      <c r="G35" s="231"/>
      <c r="H35" s="231"/>
      <c r="I35" s="231"/>
      <c r="J35" s="231"/>
      <c r="K35" s="231"/>
      <c r="L35" s="232"/>
    </row>
    <row r="36" spans="2:12" ht="16.5" customHeight="1">
      <c r="B36" s="230" t="s">
        <v>263</v>
      </c>
      <c r="C36" s="231"/>
      <c r="D36" s="231"/>
      <c r="E36" s="231"/>
      <c r="F36" s="231"/>
      <c r="G36" s="231"/>
      <c r="H36" s="231"/>
      <c r="I36" s="231"/>
      <c r="J36" s="231"/>
      <c r="K36" s="231"/>
      <c r="L36" s="232"/>
    </row>
    <row r="37" spans="2:12" ht="16.5" customHeight="1">
      <c r="B37" s="230" t="s">
        <v>315</v>
      </c>
      <c r="C37" s="231"/>
      <c r="D37" s="231"/>
      <c r="E37" s="231"/>
      <c r="F37" s="231"/>
      <c r="G37" s="231"/>
      <c r="H37" s="231"/>
      <c r="I37" s="231"/>
      <c r="J37" s="231"/>
      <c r="K37" s="231"/>
      <c r="L37" s="232"/>
    </row>
    <row r="38" spans="2:12" ht="17.25" thickBot="1">
      <c r="B38" s="234" t="s">
        <v>316</v>
      </c>
      <c r="C38" s="235"/>
      <c r="D38" s="235"/>
      <c r="E38" s="235"/>
      <c r="F38" s="235"/>
      <c r="G38" s="235"/>
      <c r="H38" s="235"/>
      <c r="I38" s="235"/>
      <c r="J38" s="235"/>
      <c r="K38" s="235"/>
      <c r="L38" s="236"/>
    </row>
    <row r="40" spans="2:12">
      <c r="B40" s="414"/>
      <c r="C40" s="231"/>
    </row>
  </sheetData>
  <pageMargins left="0.7" right="0.7" top="0.75" bottom="0.75" header="0.3" footer="0.3"/>
  <pageSetup scale="83" orientation="landscape" r:id="rId1"/>
  <headerFooter>
    <oddHeader>&amp;CFiled: 2016-10-26, EB-2016-0152
Exhibit L, Tab 11.1 Schedule 1 Staff-246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7"/>
  <sheetViews>
    <sheetView zoomScale="90" zoomScaleNormal="90" workbookViewId="0">
      <selection activeCell="C14" sqref="C14"/>
    </sheetView>
  </sheetViews>
  <sheetFormatPr defaultRowHeight="12.75"/>
  <cols>
    <col min="2" max="2" width="26" bestFit="1" customWidth="1"/>
    <col min="3" max="3" width="17.28515625" customWidth="1"/>
    <col min="4" max="4" width="29.42578125" bestFit="1" customWidth="1"/>
    <col min="5" max="5" width="17.28515625" customWidth="1"/>
    <col min="6" max="6" width="28.7109375" bestFit="1" customWidth="1"/>
    <col min="7" max="7" width="17.28515625" customWidth="1"/>
    <col min="8" max="8" width="19.5703125" customWidth="1"/>
    <col min="10" max="10" width="11.42578125" hidden="1" customWidth="1"/>
    <col min="11" max="12" width="0" hidden="1" customWidth="1"/>
    <col min="16" max="16" width="12" bestFit="1" customWidth="1"/>
    <col min="17" max="17" width="21.140625" bestFit="1" customWidth="1"/>
  </cols>
  <sheetData>
    <row r="4" spans="2:8" ht="13.5" thickBot="1"/>
    <row r="5" spans="2:8" ht="18">
      <c r="B5" s="427" t="s">
        <v>219</v>
      </c>
      <c r="C5" s="428"/>
      <c r="D5" s="428"/>
      <c r="E5" s="428"/>
      <c r="F5" s="428"/>
      <c r="G5" s="428"/>
      <c r="H5" s="429"/>
    </row>
    <row r="6" spans="2:8" ht="60">
      <c r="B6" s="113" t="s">
        <v>217</v>
      </c>
      <c r="C6" s="113" t="s">
        <v>113</v>
      </c>
      <c r="D6" s="113" t="s">
        <v>218</v>
      </c>
      <c r="E6" s="113" t="s">
        <v>113</v>
      </c>
      <c r="F6" s="113"/>
      <c r="G6" s="113"/>
      <c r="H6" s="114" t="s">
        <v>114</v>
      </c>
    </row>
    <row r="7" spans="2:8" ht="30">
      <c r="B7" s="115" t="s">
        <v>115</v>
      </c>
      <c r="C7" s="116">
        <v>-1.1649578334587175E-2</v>
      </c>
      <c r="D7" s="117" t="s">
        <v>115</v>
      </c>
      <c r="E7" s="116">
        <v>-1.1327538323901386E-2</v>
      </c>
      <c r="F7" s="117"/>
      <c r="G7" s="116"/>
      <c r="H7" s="118">
        <f>AVERAGE(C7,E7,G7)</f>
        <v>-1.1488558329244281E-2</v>
      </c>
    </row>
    <row r="8" spans="2:8" ht="75">
      <c r="B8" s="115" t="s">
        <v>117</v>
      </c>
      <c r="C8" s="116">
        <v>-2.4843796769825621E-3</v>
      </c>
      <c r="D8" s="117" t="s">
        <v>117</v>
      </c>
      <c r="E8" s="116"/>
      <c r="F8" s="117"/>
      <c r="G8" s="116"/>
      <c r="H8" s="118">
        <f>AVERAGE(C8,E8,G8)</f>
        <v>-2.4843796769825621E-3</v>
      </c>
    </row>
    <row r="9" spans="2:8" ht="75">
      <c r="B9" s="115" t="s">
        <v>118</v>
      </c>
      <c r="C9" s="116">
        <v>7.2873167501873891E-3</v>
      </c>
      <c r="D9" s="117" t="s">
        <v>118</v>
      </c>
      <c r="E9" s="116"/>
      <c r="F9" s="117"/>
      <c r="G9" s="116"/>
      <c r="H9" s="118">
        <f>AVERAGE(C9,E9,G9)</f>
        <v>7.2873167501873891E-3</v>
      </c>
    </row>
    <row r="10" spans="2:8" ht="75">
      <c r="B10" s="115" t="s">
        <v>119</v>
      </c>
      <c r="C10" s="116">
        <v>1.8038200416780746E-2</v>
      </c>
      <c r="D10" s="117" t="s">
        <v>119</v>
      </c>
      <c r="E10" s="116"/>
      <c r="F10" s="117"/>
      <c r="G10" s="116"/>
      <c r="H10" s="118">
        <f>AVERAGE(C10,E10,G10)</f>
        <v>1.8038200416780746E-2</v>
      </c>
    </row>
    <row r="11" spans="2:8" ht="60">
      <c r="B11" s="115" t="s">
        <v>120</v>
      </c>
      <c r="C11" s="116">
        <v>3.028311714284828E-2</v>
      </c>
      <c r="D11" s="117" t="s">
        <v>120</v>
      </c>
      <c r="E11" s="116"/>
      <c r="F11" s="117"/>
      <c r="G11" s="116"/>
      <c r="H11" s="118">
        <f>AVERAGE(C11,E11,G11)</f>
        <v>3.028311714284828E-2</v>
      </c>
    </row>
    <row r="12" spans="2:8" ht="5.25" customHeight="1">
      <c r="H12" s="119"/>
    </row>
    <row r="13" spans="2:8" ht="45.75" thickBot="1">
      <c r="B13" s="120" t="s">
        <v>116</v>
      </c>
      <c r="C13" s="121">
        <f>AVERAGE(C7:C11)</f>
        <v>8.2949352596493366E-3</v>
      </c>
      <c r="D13" s="122"/>
      <c r="E13" s="121">
        <f>AVERAGE(E7:E11)</f>
        <v>-1.1327538323901386E-2</v>
      </c>
      <c r="F13" s="122"/>
      <c r="G13" s="121" t="e">
        <f>AVERAGE(G7:G11)</f>
        <v>#DIV/0!</v>
      </c>
      <c r="H13" s="123" t="e">
        <f>AVERAGE(C13,E13,G13)</f>
        <v>#DIV/0!</v>
      </c>
    </row>
    <row r="17" ht="18" customHeight="1"/>
  </sheetData>
  <mergeCells count="1">
    <mergeCell ref="B5:H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U133"/>
  <sheetViews>
    <sheetView showGridLines="0" zoomScale="80" zoomScaleNormal="80" workbookViewId="0">
      <pane ySplit="2" topLeftCell="A3" activePane="bottomLeft" state="frozen"/>
      <selection activeCell="I31" sqref="I31"/>
      <selection pane="bottomLeft" activeCell="I31" sqref="I31"/>
    </sheetView>
  </sheetViews>
  <sheetFormatPr defaultRowHeight="13.5"/>
  <cols>
    <col min="1" max="1" width="2.85546875" style="150" customWidth="1"/>
    <col min="2" max="3" width="20.7109375" style="1" customWidth="1"/>
    <col min="4" max="4" width="29.7109375" style="1" customWidth="1"/>
    <col min="5" max="5" width="20.7109375" style="1" customWidth="1"/>
    <col min="6" max="6" width="29.7109375" style="1" customWidth="1"/>
    <col min="7" max="8" width="20.7109375" style="1" customWidth="1"/>
    <col min="9" max="9" width="29.7109375" style="1" customWidth="1"/>
    <col min="10" max="11" width="20.7109375" style="1" customWidth="1"/>
    <col min="12" max="17" width="20.7109375" style="245" customWidth="1"/>
    <col min="18" max="18" width="22" style="150" bestFit="1" customWidth="1"/>
    <col min="19" max="19" width="9.140625" style="150"/>
    <col min="20" max="20" width="12.5703125" style="150" bestFit="1" customWidth="1"/>
    <col min="21" max="21" width="16" style="150" bestFit="1" customWidth="1"/>
    <col min="22" max="16384" width="9.140625" style="150"/>
  </cols>
  <sheetData>
    <row r="1" spans="1:21" ht="15">
      <c r="A1" s="355"/>
      <c r="B1" s="243" t="s">
        <v>264</v>
      </c>
      <c r="C1" s="242"/>
      <c r="D1" s="242"/>
      <c r="E1" s="242"/>
      <c r="F1" s="242"/>
      <c r="G1" s="242"/>
      <c r="H1" s="242"/>
      <c r="I1" s="242"/>
      <c r="J1" s="242"/>
      <c r="K1" s="244"/>
    </row>
    <row r="2" spans="1:21" s="356" customFormat="1" ht="15">
      <c r="B2" s="106" t="s">
        <v>106</v>
      </c>
      <c r="C2" s="106" t="s">
        <v>150</v>
      </c>
      <c r="D2" s="106" t="str">
        <f>VLOOKUP($C$2,'OPG hydro peers'!$D$4:$E$23,2,0)</f>
        <v>OPG Hydro Peer Industry Total</v>
      </c>
      <c r="E2" s="106" t="str">
        <f>VLOOKUP($C$2,'OPG hydro peers'!$D$4:$F$23,3,0)</f>
        <v>NA</v>
      </c>
      <c r="F2" s="179" t="s">
        <v>302</v>
      </c>
      <c r="G2" s="180">
        <f>I112</f>
        <v>-1.0126641498648465E-2</v>
      </c>
      <c r="H2" s="420"/>
      <c r="I2" s="187" t="str">
        <f>D115</f>
        <v>TFP trend growth rate (2002-2014):</v>
      </c>
      <c r="J2" s="187">
        <f>D117</f>
        <v>-1.1755973417869136E-2</v>
      </c>
      <c r="K2" s="106"/>
      <c r="L2" s="246"/>
      <c r="M2" s="246"/>
      <c r="N2" s="246"/>
      <c r="O2" s="246"/>
      <c r="P2" s="246"/>
      <c r="Q2" s="246"/>
    </row>
    <row r="4" spans="1:21" s="355" customFormat="1" ht="15">
      <c r="B4" s="250" t="s">
        <v>265</v>
      </c>
      <c r="C4" s="249"/>
      <c r="D4" s="249"/>
      <c r="E4" s="249"/>
      <c r="F4" s="249"/>
      <c r="G4" s="249"/>
      <c r="H4" s="249"/>
      <c r="I4" s="249"/>
      <c r="J4" s="249"/>
      <c r="K4" s="249"/>
      <c r="L4" s="402"/>
      <c r="M4" s="402"/>
      <c r="N4" s="402"/>
      <c r="O4" s="402"/>
      <c r="P4" s="402"/>
      <c r="Q4" s="402"/>
    </row>
    <row r="5" spans="1:21" ht="15">
      <c r="B5" s="67" t="s">
        <v>0</v>
      </c>
      <c r="C5" s="68" t="s">
        <v>1</v>
      </c>
      <c r="D5" s="68" t="s">
        <v>1</v>
      </c>
      <c r="E5" s="68" t="s">
        <v>98</v>
      </c>
      <c r="F5" s="68" t="s">
        <v>2</v>
      </c>
      <c r="G5" s="68" t="s">
        <v>103</v>
      </c>
      <c r="H5" s="68" t="s">
        <v>3</v>
      </c>
      <c r="I5" s="68" t="s">
        <v>3</v>
      </c>
      <c r="J5" s="68" t="s">
        <v>3</v>
      </c>
      <c r="M5" s="247"/>
      <c r="N5" s="247"/>
      <c r="T5" s="358"/>
      <c r="U5" s="358"/>
    </row>
    <row r="6" spans="1:21" ht="15">
      <c r="B6" s="68" t="s">
        <v>4</v>
      </c>
      <c r="C6" s="68" t="str">
        <f>+TFP_dataset!F4&amp; " ("&amp;TFP_dataset!F3&amp; ")"</f>
        <v>MCR (MW)</v>
      </c>
      <c r="D6" s="68" t="str">
        <f>+TFP_dataset!J4&amp; " ("&amp;TFP_dataset!J3&amp; ")"</f>
        <v>O&amp;M_total (K$)</v>
      </c>
      <c r="E6" s="16" t="str">
        <f>'Can O&amp;M price indexes'!N4</f>
        <v>O&amp;M Price Index</v>
      </c>
      <c r="F6" s="68" t="str">
        <f>+TFP_dataset!M4&amp; " ("&amp;TFP_dataset!M3&amp; ")"</f>
        <v>Net_generation (MWh)</v>
      </c>
      <c r="G6" s="16" t="str">
        <f>+TFP_dataset!N4&amp; " ("&amp;TFP_dataset!N3&amp; ")"</f>
        <v>Revenue (K$)</v>
      </c>
      <c r="H6" s="16" t="str">
        <f>+TFP_dataset!O4&amp; " ("&amp;TFP_dataset!O3&amp; ")"</f>
        <v>Capital (K$)</v>
      </c>
      <c r="I6" s="16" t="s">
        <v>5</v>
      </c>
      <c r="J6" s="16" t="s">
        <v>216</v>
      </c>
      <c r="M6" s="247"/>
      <c r="N6" s="247"/>
      <c r="T6" s="358"/>
      <c r="U6" s="358"/>
    </row>
    <row r="7" spans="1:21">
      <c r="B7" s="2">
        <v>2002</v>
      </c>
      <c r="C7" s="3">
        <f>SUMIFS(TFP_dataset!$F$5:$F$238,TFP_dataset!$D$5:$D$238,TFP_Calcs!$C$2,TFP_dataset!$E$5:$E$238,TFP_Calcs!$B7)</f>
        <v>30596.999999999996</v>
      </c>
      <c r="D7" s="3">
        <f>SUMIFS(TFP_dataset!$J$5:$J$238,TFP_dataset!$D$5:$D$238,TFP_Calcs!$C$2,TFP_dataset!$E$5:$E$238,TFP_Calcs!$B7)</f>
        <v>517395.47545000003</v>
      </c>
      <c r="E7" s="4">
        <f>AVERAGEIFS('NA comb O&amp;M price indexes'!$C17:$E17,'NA comb O&amp;M price indexes'!$C$4:$E$4,TFP_Calcs!$E$2)</f>
        <v>1</v>
      </c>
      <c r="F7" s="3">
        <f>SUMIFS(TFP_dataset!$M$5:$M$238,TFP_dataset!$D$5:$D$238,TFP_Calcs!$C$2,TFP_dataset!$E$5:$E$238,TFP_Calcs!$B7)</f>
        <v>93101673.593999997</v>
      </c>
      <c r="G7" s="3">
        <f>SUMIFS(TFP_dataset!$N$5:$N$238,TFP_dataset!$D$5:$D$238,TFP_Calcs!$C$2,TFP_dataset!$E$5:$E$238,TFP_Calcs!$B7)</f>
        <v>3580636.1040946147</v>
      </c>
      <c r="H7" s="3">
        <f t="shared" ref="H7:H17" si="0">G7-D7</f>
        <v>3063240.6286446145</v>
      </c>
      <c r="I7" s="139">
        <f>H7/G7</f>
        <v>0.85550179900763001</v>
      </c>
      <c r="J7" s="5">
        <f>1-I7</f>
        <v>0.14449820099236999</v>
      </c>
      <c r="M7" s="238"/>
      <c r="N7" s="238"/>
      <c r="P7" s="248"/>
      <c r="T7" s="104"/>
      <c r="U7" s="104"/>
    </row>
    <row r="8" spans="1:21">
      <c r="B8" s="2">
        <v>2003</v>
      </c>
      <c r="C8" s="3">
        <f>SUMIFS(TFP_dataset!$F$5:$F$238,TFP_dataset!$D$5:$D$238,TFP_Calcs!$C$2,TFP_dataset!$E$5:$E$238,TFP_Calcs!$B8)</f>
        <v>31284.499999999996</v>
      </c>
      <c r="D8" s="3">
        <f>SUMIFS(TFP_dataset!$J$5:$J$238,TFP_dataset!$D$5:$D$238,TFP_Calcs!$C$2,TFP_dataset!$E$5:$E$238,TFP_Calcs!$B8)</f>
        <v>560842.60060000012</v>
      </c>
      <c r="E8" s="4">
        <f>AVERAGEIFS('NA comb O&amp;M price indexes'!$C18:$E18,'NA comb O&amp;M price indexes'!$C$4:$E$4,TFP_Calcs!$E$2)</f>
        <v>1.0238202306086766</v>
      </c>
      <c r="F8" s="3">
        <f>SUMIFS(TFP_dataset!$M$5:$M$238,TFP_dataset!$D$5:$D$238,TFP_Calcs!$C$2,TFP_dataset!$E$5:$E$238,TFP_Calcs!$B8)</f>
        <v>102685833.61399999</v>
      </c>
      <c r="G8" s="3">
        <f>SUMIFS(TFP_dataset!$N$5:$N$238,TFP_dataset!$D$5:$D$238,TFP_Calcs!$C$2,TFP_dataset!$E$5:$E$238,TFP_Calcs!$B8)</f>
        <v>4511026.4944742126</v>
      </c>
      <c r="H8" s="3">
        <f t="shared" si="0"/>
        <v>3950183.8938742126</v>
      </c>
      <c r="I8" s="139">
        <f t="shared" ref="I8:I17" si="1">H8/G8</f>
        <v>0.87567295353130714</v>
      </c>
      <c r="J8" s="5">
        <f t="shared" ref="J8:J17" si="2">1-I8</f>
        <v>0.12432704646869286</v>
      </c>
      <c r="M8" s="238"/>
      <c r="N8" s="238"/>
      <c r="P8" s="248"/>
      <c r="Q8" s="403"/>
      <c r="T8" s="104"/>
      <c r="U8" s="104"/>
    </row>
    <row r="9" spans="1:21">
      <c r="B9" s="2">
        <v>2004</v>
      </c>
      <c r="C9" s="3">
        <f>SUMIFS(TFP_dataset!$F$5:$F$238,TFP_dataset!$D$5:$D$238,TFP_Calcs!$C$2,TFP_dataset!$E$5:$E$238,TFP_Calcs!$B9)</f>
        <v>31331.019999999997</v>
      </c>
      <c r="D9" s="3">
        <f>SUMIFS(TFP_dataset!$J$5:$J$238,TFP_dataset!$D$5:$D$238,TFP_Calcs!$C$2,TFP_dataset!$E$5:$E$238,TFP_Calcs!$B9)</f>
        <v>600682.51278999983</v>
      </c>
      <c r="E9" s="4">
        <f>AVERAGEIFS('NA comb O&amp;M price indexes'!$C19:$E19,'NA comb O&amp;M price indexes'!$C$4:$E$4,TFP_Calcs!$E$2)</f>
        <v>1.0526468999472851</v>
      </c>
      <c r="F9" s="3">
        <f>SUMIFS(TFP_dataset!$M$5:$M$238,TFP_dataset!$D$5:$D$238,TFP_Calcs!$C$2,TFP_dataset!$E$5:$E$238,TFP_Calcs!$B9)</f>
        <v>98966001.893999994</v>
      </c>
      <c r="G9" s="3">
        <f>SUMIFS(TFP_dataset!$N$5:$N$238,TFP_dataset!$D$5:$D$238,TFP_Calcs!$C$2,TFP_dataset!$E$5:$E$238,TFP_Calcs!$B9)</f>
        <v>4375511.8059701808</v>
      </c>
      <c r="H9" s="3">
        <f t="shared" si="0"/>
        <v>3774829.2931801807</v>
      </c>
      <c r="I9" s="5">
        <f t="shared" si="1"/>
        <v>0.86271719985524964</v>
      </c>
      <c r="J9" s="5">
        <f t="shared" si="2"/>
        <v>0.13728280014475036</v>
      </c>
      <c r="M9" s="238"/>
      <c r="N9" s="238"/>
      <c r="P9" s="248"/>
      <c r="Q9" s="403"/>
      <c r="T9" s="104"/>
      <c r="U9" s="104"/>
    </row>
    <row r="10" spans="1:21">
      <c r="B10" s="2">
        <v>2005</v>
      </c>
      <c r="C10" s="3">
        <f>SUMIFS(TFP_dataset!$F$5:$F$238,TFP_dataset!$D$5:$D$238,TFP_Calcs!$C$2,TFP_dataset!$E$5:$E$238,TFP_Calcs!$B10)</f>
        <v>31309.42</v>
      </c>
      <c r="D10" s="3">
        <f>SUMIFS(TFP_dataset!$J$5:$J$238,TFP_dataset!$D$5:$D$238,TFP_Calcs!$C$2,TFP_dataset!$E$5:$E$238,TFP_Calcs!$B10)</f>
        <v>624682.85611000005</v>
      </c>
      <c r="E10" s="4">
        <f>AVERAGEIFS('NA comb O&amp;M price indexes'!$C20:$E20,'NA comb O&amp;M price indexes'!$C$4:$E$4,TFP_Calcs!$E$2)</f>
        <v>1.0837304003129602</v>
      </c>
      <c r="F10" s="3">
        <f>SUMIFS(TFP_dataset!$M$5:$M$238,TFP_dataset!$D$5:$D$238,TFP_Calcs!$C$2,TFP_dataset!$E$5:$E$238,TFP_Calcs!$B10)</f>
        <v>100606791.301</v>
      </c>
      <c r="G10" s="3">
        <f>SUMIFS(TFP_dataset!$N$5:$N$238,TFP_dataset!$D$5:$D$238,TFP_Calcs!$C$2,TFP_dataset!$E$5:$E$238,TFP_Calcs!$B10)</f>
        <v>5379311.2403839109</v>
      </c>
      <c r="H10" s="3">
        <f t="shared" si="0"/>
        <v>4754628.3842739109</v>
      </c>
      <c r="I10" s="5">
        <f t="shared" si="1"/>
        <v>0.88387307813306271</v>
      </c>
      <c r="J10" s="5">
        <f t="shared" si="2"/>
        <v>0.11612692186693729</v>
      </c>
      <c r="M10" s="238"/>
      <c r="N10" s="238"/>
      <c r="P10" s="248"/>
      <c r="Q10" s="403"/>
      <c r="T10" s="104"/>
      <c r="U10" s="104"/>
    </row>
    <row r="11" spans="1:21">
      <c r="B11" s="2">
        <v>2006</v>
      </c>
      <c r="C11" s="3">
        <f>SUMIFS(TFP_dataset!$F$5:$F$238,TFP_dataset!$D$5:$D$238,TFP_Calcs!$C$2,TFP_dataset!$E$5:$E$238,TFP_Calcs!$B11)</f>
        <v>31373.799999999996</v>
      </c>
      <c r="D11" s="3">
        <f>SUMIFS(TFP_dataset!$J$5:$J$238,TFP_dataset!$D$5:$D$238,TFP_Calcs!$C$2,TFP_dataset!$E$5:$E$238,TFP_Calcs!$B11)</f>
        <v>664432.66408999998</v>
      </c>
      <c r="E11" s="4">
        <f>AVERAGEIFS('NA comb O&amp;M price indexes'!$C21:$E21,'NA comb O&amp;M price indexes'!$C$4:$E$4,TFP_Calcs!$E$2)</f>
        <v>1.1143085688025613</v>
      </c>
      <c r="F11" s="3">
        <f>SUMIFS(TFP_dataset!$M$5:$M$238,TFP_dataset!$D$5:$D$238,TFP_Calcs!$C$2,TFP_dataset!$E$5:$E$238,TFP_Calcs!$B11)</f>
        <v>102422968.42</v>
      </c>
      <c r="G11" s="3">
        <f>SUMIFS(TFP_dataset!$N$5:$N$238,TFP_dataset!$D$5:$D$238,TFP_Calcs!$C$2,TFP_dataset!$E$5:$E$238,TFP_Calcs!$B11)</f>
        <v>4612210.2487583999</v>
      </c>
      <c r="H11" s="3">
        <f t="shared" si="0"/>
        <v>3947777.5846683998</v>
      </c>
      <c r="I11" s="5">
        <f t="shared" si="1"/>
        <v>0.8559405082912549</v>
      </c>
      <c r="J11" s="5">
        <f t="shared" si="2"/>
        <v>0.1440594917087451</v>
      </c>
      <c r="M11" s="238"/>
      <c r="N11" s="238"/>
      <c r="P11" s="248"/>
      <c r="Q11" s="403"/>
      <c r="T11" s="104"/>
      <c r="U11" s="104"/>
    </row>
    <row r="12" spans="1:21">
      <c r="B12" s="2">
        <v>2007</v>
      </c>
      <c r="C12" s="3">
        <f>SUMIFS(TFP_dataset!$F$5:$F$238,TFP_dataset!$D$5:$D$238,TFP_Calcs!$C$2,TFP_dataset!$E$5:$E$238,TFP_Calcs!$B12)</f>
        <v>30700.599999999995</v>
      </c>
      <c r="D12" s="3">
        <f>SUMIFS(TFP_dataset!$J$5:$J$238,TFP_dataset!$D$5:$D$238,TFP_Calcs!$C$2,TFP_dataset!$E$5:$E$238,TFP_Calcs!$B12)</f>
        <v>721272.71756000002</v>
      </c>
      <c r="E12" s="4">
        <f>AVERAGEIFS('NA comb O&amp;M price indexes'!$C22:$E22,'NA comb O&amp;M price indexes'!$C$4:$E$4,TFP_Calcs!$E$2)</f>
        <v>1.1487086369883091</v>
      </c>
      <c r="F12" s="3">
        <f>SUMIFS(TFP_dataset!$M$5:$M$238,TFP_dataset!$D$5:$D$238,TFP_Calcs!$C$2,TFP_dataset!$E$5:$E$238,TFP_Calcs!$B12)</f>
        <v>85570974.307999998</v>
      </c>
      <c r="G12" s="3">
        <f>SUMIFS(TFP_dataset!$N$5:$N$238,TFP_dataset!$D$5:$D$238,TFP_Calcs!$C$2,TFP_dataset!$E$5:$E$238,TFP_Calcs!$B12)</f>
        <v>4096345.9821861805</v>
      </c>
      <c r="H12" s="3">
        <f t="shared" si="0"/>
        <v>3375073.2646261808</v>
      </c>
      <c r="I12" s="5">
        <f t="shared" si="1"/>
        <v>0.82392290087394826</v>
      </c>
      <c r="J12" s="5">
        <f t="shared" si="2"/>
        <v>0.17607709912605174</v>
      </c>
      <c r="M12" s="238"/>
      <c r="N12" s="238"/>
      <c r="P12" s="248"/>
      <c r="Q12" s="403"/>
      <c r="T12" s="104"/>
      <c r="U12" s="104"/>
    </row>
    <row r="13" spans="1:21">
      <c r="B13" s="2">
        <v>2008</v>
      </c>
      <c r="C13" s="3">
        <f>SUMIFS(TFP_dataset!$F$5:$F$238,TFP_dataset!$D$5:$D$238,TFP_Calcs!$C$2,TFP_dataset!$E$5:$E$238,TFP_Calcs!$B13)</f>
        <v>31026.799999999996</v>
      </c>
      <c r="D13" s="3">
        <f>SUMIFS(TFP_dataset!$J$5:$J$238,TFP_dataset!$D$5:$D$238,TFP_Calcs!$C$2,TFP_dataset!$E$5:$E$238,TFP_Calcs!$B13)</f>
        <v>781647.92402000003</v>
      </c>
      <c r="E13" s="4">
        <f>AVERAGEIFS('NA comb O&amp;M price indexes'!$C23:$E23,'NA comb O&amp;M price indexes'!$C$4:$E$4,TFP_Calcs!$E$2)</f>
        <v>1.1792508922759959</v>
      </c>
      <c r="F13" s="3">
        <f>SUMIFS(TFP_dataset!$M$5:$M$238,TFP_dataset!$D$5:$D$238,TFP_Calcs!$C$2,TFP_dataset!$E$5:$E$238,TFP_Calcs!$B13)</f>
        <v>90123457.144999996</v>
      </c>
      <c r="G13" s="3">
        <f>SUMIFS(TFP_dataset!$N$5:$N$238,TFP_dataset!$D$5:$D$238,TFP_Calcs!$C$2,TFP_dataset!$E$5:$E$238,TFP_Calcs!$B13)</f>
        <v>5034783.7758249938</v>
      </c>
      <c r="H13" s="3">
        <f t="shared" si="0"/>
        <v>4253135.851804994</v>
      </c>
      <c r="I13" s="5">
        <f t="shared" si="1"/>
        <v>0.84475044831653767</v>
      </c>
      <c r="J13" s="5">
        <f t="shared" si="2"/>
        <v>0.15524955168346233</v>
      </c>
      <c r="M13" s="238"/>
      <c r="N13" s="238"/>
      <c r="P13" s="248"/>
      <c r="Q13" s="403"/>
      <c r="T13" s="104"/>
      <c r="U13" s="104"/>
    </row>
    <row r="14" spans="1:21">
      <c r="B14" s="2">
        <v>2009</v>
      </c>
      <c r="C14" s="3">
        <f>SUMIFS(TFP_dataset!$F$5:$F$238,TFP_dataset!$D$5:$D$238,TFP_Calcs!$C$2,TFP_dataset!$E$5:$E$238,TFP_Calcs!$B14)</f>
        <v>31080.072999999993</v>
      </c>
      <c r="D14" s="3">
        <f>SUMIFS(TFP_dataset!$J$5:$J$238,TFP_dataset!$D$5:$D$238,TFP_Calcs!$C$2,TFP_dataset!$E$5:$E$238,TFP_Calcs!$B14)</f>
        <v>781773.3371499998</v>
      </c>
      <c r="E14" s="4">
        <f>AVERAGEIFS('NA comb O&amp;M price indexes'!$C24:$E24,'NA comb O&amp;M price indexes'!$C$4:$E$4,TFP_Calcs!$E$2)</f>
        <v>1.201361014702899</v>
      </c>
      <c r="F14" s="3">
        <f>SUMIFS(TFP_dataset!$M$5:$M$238,TFP_dataset!$D$5:$D$238,TFP_Calcs!$C$2,TFP_dataset!$E$5:$E$238,TFP_Calcs!$B14)</f>
        <v>99004323.340000004</v>
      </c>
      <c r="G14" s="3">
        <f>SUMIFS(TFP_dataset!$N$5:$N$238,TFP_dataset!$D$5:$D$238,TFP_Calcs!$C$2,TFP_dataset!$E$5:$E$238,TFP_Calcs!$B14)</f>
        <v>3516180.2057647663</v>
      </c>
      <c r="H14" s="3">
        <f t="shared" si="0"/>
        <v>2734406.8686147667</v>
      </c>
      <c r="I14" s="5">
        <f t="shared" si="1"/>
        <v>0.7776640298843942</v>
      </c>
      <c r="J14" s="5">
        <f t="shared" si="2"/>
        <v>0.2223359701156058</v>
      </c>
      <c r="M14" s="238"/>
      <c r="N14" s="238"/>
      <c r="P14" s="248"/>
      <c r="Q14" s="403"/>
      <c r="T14" s="104"/>
      <c r="U14" s="104"/>
    </row>
    <row r="15" spans="1:21">
      <c r="B15" s="2">
        <v>2010</v>
      </c>
      <c r="C15" s="3">
        <f>SUMIFS(TFP_dataset!$F$5:$F$238,TFP_dataset!$D$5:$D$238,TFP_Calcs!$C$2,TFP_dataset!$E$5:$E$238,TFP_Calcs!$B15)</f>
        <v>31084.619999999995</v>
      </c>
      <c r="D15" s="3">
        <f>SUMIFS(TFP_dataset!$J$5:$J$238,TFP_dataset!$D$5:$D$238,TFP_Calcs!$C$2,TFP_dataset!$E$5:$E$238,TFP_Calcs!$B15)</f>
        <v>840355.57521245535</v>
      </c>
      <c r="E15" s="4">
        <f>AVERAGEIFS('NA comb O&amp;M price indexes'!$C25:$E25,'NA comb O&amp;M price indexes'!$C$4:$E$4,TFP_Calcs!$E$2)</f>
        <v>1.2275959636065914</v>
      </c>
      <c r="F15" s="3">
        <f>SUMIFS(TFP_dataset!$M$5:$M$238,TFP_dataset!$D$5:$D$238,TFP_Calcs!$C$2,TFP_dataset!$E$5:$E$238,TFP_Calcs!$B15)</f>
        <v>94503336.170000002</v>
      </c>
      <c r="G15" s="3">
        <f>SUMIFS(TFP_dataset!$N$5:$N$238,TFP_dataset!$D$5:$D$238,TFP_Calcs!$C$2,TFP_dataset!$E$5:$E$238,TFP_Calcs!$B15)</f>
        <v>3422343.089991231</v>
      </c>
      <c r="H15" s="3">
        <f t="shared" si="0"/>
        <v>2581987.5147787756</v>
      </c>
      <c r="I15" s="5">
        <f t="shared" si="1"/>
        <v>0.75445022514834759</v>
      </c>
      <c r="J15" s="5">
        <f t="shared" si="2"/>
        <v>0.24554977485165241</v>
      </c>
      <c r="M15" s="238"/>
      <c r="N15" s="238"/>
      <c r="P15" s="248"/>
      <c r="Q15" s="403"/>
      <c r="T15" s="104"/>
      <c r="U15" s="104"/>
    </row>
    <row r="16" spans="1:21">
      <c r="B16" s="2">
        <v>2011</v>
      </c>
      <c r="C16" s="3">
        <f>SUMIFS(TFP_dataset!$F$5:$F$238,TFP_dataset!$D$5:$D$238,TFP_Calcs!$C$2,TFP_dataset!$E$5:$E$238,TFP_Calcs!$B16)</f>
        <v>30703.879999999997</v>
      </c>
      <c r="D16" s="3">
        <f>SUMIFS(TFP_dataset!$J$5:$J$238,TFP_dataset!$D$5:$D$238,TFP_Calcs!$C$2,TFP_dataset!$E$5:$E$238,TFP_Calcs!$B16)</f>
        <v>813814.76686432119</v>
      </c>
      <c r="E16" s="4">
        <f>AVERAGEIFS('NA comb O&amp;M price indexes'!$C26:$E26,'NA comb O&amp;M price indexes'!$C$4:$E$4,TFP_Calcs!$E$2)</f>
        <v>1.2558568839813242</v>
      </c>
      <c r="F16" s="3">
        <f>SUMIFS(TFP_dataset!$M$5:$M$238,TFP_dataset!$D$5:$D$238,TFP_Calcs!$C$2,TFP_dataset!$E$5:$E$238,TFP_Calcs!$B16)</f>
        <v>100040995.34200001</v>
      </c>
      <c r="G16" s="3">
        <f>SUMIFS(TFP_dataset!$N$5:$N$238,TFP_dataset!$D$5:$D$238,TFP_Calcs!$C$2,TFP_dataset!$E$5:$E$238,TFP_Calcs!$B16)</f>
        <v>3339014.882398806</v>
      </c>
      <c r="H16" s="3">
        <f t="shared" si="0"/>
        <v>2525200.1155344849</v>
      </c>
      <c r="I16" s="5">
        <f t="shared" si="1"/>
        <v>0.7562709974267432</v>
      </c>
      <c r="J16" s="5">
        <f t="shared" si="2"/>
        <v>0.2437290025732568</v>
      </c>
      <c r="M16" s="238"/>
      <c r="N16" s="238"/>
      <c r="P16" s="248"/>
      <c r="Q16" s="403"/>
      <c r="T16" s="104"/>
      <c r="U16" s="104"/>
    </row>
    <row r="17" spans="2:21">
      <c r="B17" s="2">
        <v>2012</v>
      </c>
      <c r="C17" s="3">
        <f>SUMIFS(TFP_dataset!$F$5:$F$238,TFP_dataset!$D$5:$D$238,TFP_Calcs!$C$2,TFP_dataset!$E$5:$E$238,TFP_Calcs!$B17)</f>
        <v>30801.859999999997</v>
      </c>
      <c r="D17" s="3">
        <f>SUMIFS(TFP_dataset!$J$5:$J$238,TFP_dataset!$D$5:$D$238,TFP_Calcs!$C$2,TFP_dataset!$E$5:$E$238,TFP_Calcs!$B17)</f>
        <v>825096.55467786442</v>
      </c>
      <c r="E17" s="4">
        <f>AVERAGEIFS('NA comb O&amp;M price indexes'!$C27:$E27,'NA comb O&amp;M price indexes'!$C$4:$E$4,TFP_Calcs!$E$2)</f>
        <v>1.2814663108971021</v>
      </c>
      <c r="F17" s="3">
        <f>SUMIFS(TFP_dataset!$M$5:$M$238,TFP_dataset!$D$5:$D$238,TFP_Calcs!$C$2,TFP_dataset!$E$5:$E$238,TFP_Calcs!$B17)</f>
        <v>86640889.122999996</v>
      </c>
      <c r="G17" s="3">
        <f>SUMIFS(TFP_dataset!$N$5:$N$238,TFP_dataset!$D$5:$D$238,TFP_Calcs!$C$2,TFP_dataset!$E$5:$E$238,TFP_Calcs!$B17)</f>
        <v>2470493.8921806784</v>
      </c>
      <c r="H17" s="3">
        <f t="shared" si="0"/>
        <v>1645397.3375028139</v>
      </c>
      <c r="I17" s="5">
        <f t="shared" si="1"/>
        <v>0.66601959337387362</v>
      </c>
      <c r="J17" s="5">
        <f t="shared" si="2"/>
        <v>0.33398040662612638</v>
      </c>
      <c r="M17" s="238"/>
      <c r="N17" s="238"/>
      <c r="P17" s="248"/>
      <c r="Q17" s="403"/>
      <c r="T17" s="104"/>
      <c r="U17" s="104"/>
    </row>
    <row r="18" spans="2:21">
      <c r="B18" s="2">
        <v>2013</v>
      </c>
      <c r="C18" s="3">
        <f>SUMIFS(TFP_dataset!$F$5:$F$238,TFP_dataset!$D$5:$D$238,TFP_Calcs!$C$2,TFP_dataset!$E$5:$E$238,TFP_Calcs!$B18)</f>
        <v>30961.65</v>
      </c>
      <c r="D18" s="3">
        <f>SUMIFS(TFP_dataset!$J$5:$J$238,TFP_dataset!$D$5:$D$238,TFP_Calcs!$C$2,TFP_dataset!$E$5:$E$238,TFP_Calcs!$B18)</f>
        <v>841942.20095000009</v>
      </c>
      <c r="E18" s="4">
        <f>AVERAGEIFS('NA comb O&amp;M price indexes'!$C28:$E28,'NA comb O&amp;M price indexes'!$C$4:$E$4,TFP_Calcs!$E$2)</f>
        <v>1.3089737069096932</v>
      </c>
      <c r="F18" s="3">
        <f>SUMIFS(TFP_dataset!$M$5:$M$238,TFP_dataset!$D$5:$D$238,TFP_Calcs!$C$2,TFP_dataset!$E$5:$E$238,TFP_Calcs!$B18)</f>
        <v>88883057.372000009</v>
      </c>
      <c r="G18" s="3">
        <f>SUMIFS(TFP_dataset!$N$5:$N$238,TFP_dataset!$D$5:$D$238,TFP_Calcs!$C$2,TFP_dataset!$E$5:$E$238,TFP_Calcs!$B18)</f>
        <v>3327949.5758225247</v>
      </c>
      <c r="H18" s="3">
        <f t="shared" ref="H18:H19" si="3">G18-D18</f>
        <v>2486007.3748725248</v>
      </c>
      <c r="I18" s="5">
        <f t="shared" ref="I18:I19" si="4">H18/G18</f>
        <v>0.74700872661452256</v>
      </c>
      <c r="J18" s="5">
        <f t="shared" ref="J18:J19" si="5">1-I18</f>
        <v>0.25299127338547744</v>
      </c>
      <c r="M18" s="238"/>
      <c r="N18" s="238"/>
      <c r="P18" s="248"/>
      <c r="Q18" s="403"/>
      <c r="T18" s="104"/>
      <c r="U18" s="104"/>
    </row>
    <row r="19" spans="2:21">
      <c r="B19" s="2">
        <v>2014</v>
      </c>
      <c r="C19" s="3">
        <f>SUMIFS(TFP_dataset!$F$5:$F$238,TFP_dataset!$D$5:$D$238,TFP_Calcs!$C$2,TFP_dataset!$E$5:$E$238,TFP_Calcs!$B19)</f>
        <v>31168.479999999996</v>
      </c>
      <c r="D19" s="3">
        <f>SUMIFS(TFP_dataset!$J$5:$J$238,TFP_dataset!$D$5:$D$238,TFP_Calcs!$C$2,TFP_dataset!$E$5:$E$238,TFP_Calcs!$B19)</f>
        <v>865336.674539648</v>
      </c>
      <c r="E19" s="4">
        <f>AVERAGEIFS('NA comb O&amp;M price indexes'!$C29:$E29,'NA comb O&amp;M price indexes'!$C$4:$E$4,TFP_Calcs!$E$2)</f>
        <v>1.3397224635646687</v>
      </c>
      <c r="F19" s="3">
        <f>SUMIFS(TFP_dataset!$M$5:$M$238,TFP_dataset!$D$5:$D$238,TFP_Calcs!$C$2,TFP_dataset!$E$5:$E$238,TFP_Calcs!$B19)</f>
        <v>86259635.748999998</v>
      </c>
      <c r="G19" s="3">
        <f>SUMIFS(TFP_dataset!$N$5:$N$238,TFP_dataset!$D$5:$D$238,TFP_Calcs!$C$2,TFP_dataset!$E$5:$E$238,TFP_Calcs!$B19)</f>
        <v>3620717.7099698973</v>
      </c>
      <c r="H19" s="3">
        <f t="shared" si="3"/>
        <v>2755381.0354302493</v>
      </c>
      <c r="I19" s="5">
        <f t="shared" si="4"/>
        <v>0.76100410364583704</v>
      </c>
      <c r="J19" s="5">
        <f t="shared" si="5"/>
        <v>0.23899589635416296</v>
      </c>
      <c r="M19" s="238"/>
      <c r="N19" s="238"/>
      <c r="P19" s="248"/>
      <c r="Q19" s="403"/>
      <c r="T19" s="104"/>
      <c r="U19" s="104"/>
    </row>
    <row r="20" spans="2:21">
      <c r="B20" s="2"/>
      <c r="C20" s="2"/>
      <c r="D20" s="2"/>
      <c r="E20" s="2"/>
      <c r="F20" s="2"/>
      <c r="G20" s="2"/>
      <c r="H20" s="2"/>
      <c r="I20" s="2"/>
      <c r="Q20" s="404"/>
    </row>
    <row r="21" spans="2:21">
      <c r="B21" s="2"/>
      <c r="C21" s="2"/>
      <c r="D21" s="2"/>
      <c r="E21" s="2"/>
      <c r="F21" s="2"/>
      <c r="G21" s="2"/>
      <c r="H21" s="2"/>
      <c r="I21" s="2"/>
    </row>
    <row r="22" spans="2:21" ht="14.25" customHeight="1">
      <c r="B22" s="252" t="s">
        <v>266</v>
      </c>
      <c r="C22" s="251"/>
      <c r="D22" s="251"/>
      <c r="E22" s="251"/>
      <c r="F22" s="251"/>
      <c r="G22" s="251"/>
      <c r="H22" s="251"/>
      <c r="I22" s="251"/>
      <c r="J22" s="251"/>
      <c r="K22" s="251"/>
    </row>
    <row r="23" spans="2:21" ht="15">
      <c r="B23" s="67" t="s">
        <v>6</v>
      </c>
      <c r="C23" s="79"/>
      <c r="D23" s="79"/>
      <c r="E23" s="79"/>
      <c r="H23" s="67" t="s">
        <v>99</v>
      </c>
      <c r="I23" s="79"/>
      <c r="J23" s="79"/>
      <c r="K23" s="79"/>
    </row>
    <row r="24" spans="2:21" ht="15">
      <c r="B24" s="67"/>
      <c r="C24" s="68" t="s">
        <v>7</v>
      </c>
      <c r="D24" s="68" t="s">
        <v>7</v>
      </c>
      <c r="E24" s="68" t="s">
        <v>8</v>
      </c>
      <c r="H24" s="67"/>
      <c r="I24" s="68" t="s">
        <v>7</v>
      </c>
      <c r="J24" s="68" t="s">
        <v>7</v>
      </c>
      <c r="K24" s="68" t="s">
        <v>8</v>
      </c>
    </row>
    <row r="25" spans="2:21" ht="15">
      <c r="B25" s="68" t="s">
        <v>4</v>
      </c>
      <c r="C25" s="68" t="s">
        <v>5</v>
      </c>
      <c r="D25" s="68" t="str">
        <f>TFP_dataset!J4</f>
        <v>O&amp;M_total</v>
      </c>
      <c r="E25" s="68" t="s">
        <v>9</v>
      </c>
      <c r="H25" s="68" t="s">
        <v>4</v>
      </c>
      <c r="I25" s="68" t="s">
        <v>5</v>
      </c>
      <c r="J25" s="68" t="str">
        <f>D25</f>
        <v>O&amp;M_total</v>
      </c>
      <c r="K25" s="68" t="s">
        <v>9</v>
      </c>
    </row>
    <row r="26" spans="2:21">
      <c r="B26" s="2">
        <v>2002</v>
      </c>
      <c r="C26" s="6">
        <f t="shared" ref="C26:C36" si="6">(C7/$C$7)</f>
        <v>1</v>
      </c>
      <c r="D26" s="6">
        <f>(D7/E7)/($D$7/$E$7)</f>
        <v>1</v>
      </c>
      <c r="E26" s="9">
        <f t="shared" ref="E26:E36" si="7">F7/$F$7</f>
        <v>1</v>
      </c>
      <c r="F26" s="9"/>
      <c r="H26" s="94">
        <v>2002</v>
      </c>
      <c r="I26" s="144"/>
      <c r="J26" s="145"/>
      <c r="K26" s="146"/>
    </row>
    <row r="27" spans="2:21">
      <c r="B27" s="2">
        <v>2003</v>
      </c>
      <c r="C27" s="6">
        <f t="shared" si="6"/>
        <v>1.0224695231558649</v>
      </c>
      <c r="D27" s="6">
        <f>(D8/E8)/($D$7/$E$7)</f>
        <v>1.0587530171662456</v>
      </c>
      <c r="E27" s="9">
        <f t="shared" si="7"/>
        <v>1.1029429402289246</v>
      </c>
      <c r="F27" s="9"/>
      <c r="G27" s="105"/>
      <c r="H27" s="94">
        <v>2003</v>
      </c>
      <c r="I27" s="253">
        <f>LN(C27/C26)</f>
        <v>2.2220802286072934E-2</v>
      </c>
      <c r="J27" s="253">
        <f t="shared" ref="J27:J36" si="8">LN(D27/D26)</f>
        <v>5.7091816723864076E-2</v>
      </c>
      <c r="K27" s="253">
        <f t="shared" ref="K27:K36" si="9">LN(E27/E26)</f>
        <v>9.798200749981674E-2</v>
      </c>
    </row>
    <row r="28" spans="2:21">
      <c r="B28" s="2">
        <v>2004</v>
      </c>
      <c r="C28" s="6">
        <f t="shared" si="6"/>
        <v>1.0239899336536262</v>
      </c>
      <c r="D28" s="6">
        <f>(D9/E9)/($D$7/$E$7)</f>
        <v>1.1029089131797714</v>
      </c>
      <c r="E28" s="9">
        <f t="shared" si="7"/>
        <v>1.0629884305364188</v>
      </c>
      <c r="F28" s="9"/>
      <c r="G28" s="105"/>
      <c r="H28" s="94">
        <v>2004</v>
      </c>
      <c r="I28" s="253">
        <f t="shared" ref="I28:I36" si="10">LN(C28/C27)</f>
        <v>1.4858938665436327E-3</v>
      </c>
      <c r="J28" s="253">
        <f t="shared" si="8"/>
        <v>4.0859339158149557E-2</v>
      </c>
      <c r="K28" s="253">
        <f t="shared" si="9"/>
        <v>-3.6897791984353397E-2</v>
      </c>
    </row>
    <row r="29" spans="2:21">
      <c r="B29" s="2">
        <v>2005</v>
      </c>
      <c r="C29" s="6">
        <f t="shared" si="6"/>
        <v>1.0232839820897475</v>
      </c>
      <c r="D29" s="6">
        <f t="shared" ref="D29:D35" si="11">(D10/E10)/($D$7/$E$7)</f>
        <v>1.1140782728385017</v>
      </c>
      <c r="E29" s="9">
        <f t="shared" si="7"/>
        <v>1.0806120600981728</v>
      </c>
      <c r="F29" s="9"/>
      <c r="G29" s="105"/>
      <c r="H29" s="94">
        <v>2005</v>
      </c>
      <c r="I29" s="253">
        <f t="shared" si="10"/>
        <v>-6.8965035546078579E-4</v>
      </c>
      <c r="J29" s="253">
        <f t="shared" si="8"/>
        <v>1.0076246025945236E-2</v>
      </c>
      <c r="K29" s="253">
        <f t="shared" si="9"/>
        <v>1.6443387407344325E-2</v>
      </c>
    </row>
    <row r="30" spans="2:21">
      <c r="B30" s="2">
        <v>2006</v>
      </c>
      <c r="C30" s="6">
        <f t="shared" si="6"/>
        <v>1.0253881099454194</v>
      </c>
      <c r="D30" s="6">
        <f t="shared" si="11"/>
        <v>1.1524520847786448</v>
      </c>
      <c r="E30" s="9">
        <f t="shared" si="7"/>
        <v>1.1001195195120608</v>
      </c>
      <c r="F30" s="9"/>
      <c r="G30" s="105"/>
      <c r="H30" s="94">
        <v>2006</v>
      </c>
      <c r="I30" s="253">
        <f t="shared" si="10"/>
        <v>2.0541389749134595E-3</v>
      </c>
      <c r="J30" s="253">
        <f t="shared" si="8"/>
        <v>3.3864518087066871E-2</v>
      </c>
      <c r="K30" s="253">
        <f t="shared" si="9"/>
        <v>1.78912250809613E-2</v>
      </c>
    </row>
    <row r="31" spans="2:21">
      <c r="B31" s="2">
        <v>2007</v>
      </c>
      <c r="C31" s="6">
        <f t="shared" si="6"/>
        <v>1.0033859528711966</v>
      </c>
      <c r="D31" s="6">
        <f t="shared" si="11"/>
        <v>1.2135760362001067</v>
      </c>
      <c r="E31" s="9">
        <f t="shared" si="7"/>
        <v>0.91911316955654254</v>
      </c>
      <c r="F31" s="9"/>
      <c r="G31" s="105"/>
      <c r="H31" s="94">
        <v>2007</v>
      </c>
      <c r="I31" s="253">
        <f t="shared" si="10"/>
        <v>-2.1690951332448152E-2</v>
      </c>
      <c r="J31" s="253">
        <f t="shared" si="8"/>
        <v>5.1679482817466746E-2</v>
      </c>
      <c r="K31" s="253">
        <f t="shared" si="9"/>
        <v>-0.17976484797186745</v>
      </c>
    </row>
    <row r="32" spans="2:21">
      <c r="B32" s="2">
        <v>2008</v>
      </c>
      <c r="C32" s="6">
        <f t="shared" si="6"/>
        <v>1.0140471288034774</v>
      </c>
      <c r="D32" s="6">
        <f t="shared" si="11"/>
        <v>1.2810979572670722</v>
      </c>
      <c r="E32" s="9">
        <f t="shared" si="7"/>
        <v>0.96801113949908701</v>
      </c>
      <c r="F32" s="9"/>
      <c r="G32" s="105"/>
      <c r="H32" s="94">
        <v>2008</v>
      </c>
      <c r="I32" s="253">
        <f t="shared" si="10"/>
        <v>1.0569148759234587E-2</v>
      </c>
      <c r="J32" s="253">
        <f t="shared" si="8"/>
        <v>5.4146086551673682E-2</v>
      </c>
      <c r="K32" s="253">
        <f t="shared" si="9"/>
        <v>5.1834335943315629E-2</v>
      </c>
    </row>
    <row r="33" spans="2:17">
      <c r="B33" s="2">
        <v>2009</v>
      </c>
      <c r="C33" s="6">
        <f t="shared" si="6"/>
        <v>1.0157882472137789</v>
      </c>
      <c r="D33" s="6">
        <f t="shared" si="11"/>
        <v>1.2577221034136079</v>
      </c>
      <c r="E33" s="9">
        <f t="shared" si="7"/>
        <v>1.0634000390985496</v>
      </c>
      <c r="F33" s="9"/>
      <c r="G33" s="105"/>
      <c r="H33" s="94">
        <v>2009</v>
      </c>
      <c r="I33" s="253">
        <f t="shared" si="10"/>
        <v>1.7155271386904165E-3</v>
      </c>
      <c r="J33" s="253">
        <f t="shared" si="8"/>
        <v>-1.8415258975484537E-2</v>
      </c>
      <c r="K33" s="253">
        <f t="shared" si="9"/>
        <v>9.3983042880373985E-2</v>
      </c>
    </row>
    <row r="34" spans="2:17">
      <c r="B34" s="2">
        <v>2010</v>
      </c>
      <c r="C34" s="6">
        <f t="shared" si="6"/>
        <v>1.0159368565545641</v>
      </c>
      <c r="D34" s="6">
        <f t="shared" si="11"/>
        <v>1.3230766572473229</v>
      </c>
      <c r="E34" s="9">
        <f t="shared" si="7"/>
        <v>1.0150551813076143</v>
      </c>
      <c r="F34" s="9"/>
      <c r="G34" s="105"/>
      <c r="H34" s="94">
        <v>2010</v>
      </c>
      <c r="I34" s="253">
        <f t="shared" si="10"/>
        <v>1.4628882694284971E-4</v>
      </c>
      <c r="J34" s="253">
        <f>LN(D34/D33)</f>
        <v>5.0657595051447957E-2</v>
      </c>
      <c r="K34" s="253">
        <f t="shared" si="9"/>
        <v>-4.6528382019298452E-2</v>
      </c>
    </row>
    <row r="35" spans="2:17">
      <c r="B35" s="2">
        <v>2011</v>
      </c>
      <c r="C35" s="6">
        <f t="shared" si="6"/>
        <v>1.0034931529234892</v>
      </c>
      <c r="D35" s="6">
        <f t="shared" si="11"/>
        <v>1.2524568976880872</v>
      </c>
      <c r="E35" s="9">
        <f t="shared" si="7"/>
        <v>1.0745348765507823</v>
      </c>
      <c r="F35" s="9"/>
      <c r="G35" s="105"/>
      <c r="H35" s="94">
        <v>2011</v>
      </c>
      <c r="I35" s="253">
        <f t="shared" si="10"/>
        <v>-1.23241321288384E-2</v>
      </c>
      <c r="J35" s="253">
        <f t="shared" si="8"/>
        <v>-5.485268507887147E-2</v>
      </c>
      <c r="K35" s="253">
        <f t="shared" si="9"/>
        <v>5.6944918137356512E-2</v>
      </c>
    </row>
    <row r="36" spans="2:17">
      <c r="B36" s="2">
        <v>2012</v>
      </c>
      <c r="C36" s="6">
        <f t="shared" si="6"/>
        <v>1.0066954276563063</v>
      </c>
      <c r="D36" s="6">
        <f>(D17/E17)/($D$7/$E$7)</f>
        <v>1.2444428414650979</v>
      </c>
      <c r="E36" s="9">
        <f t="shared" si="7"/>
        <v>0.93060506625074924</v>
      </c>
      <c r="F36" s="9"/>
      <c r="G36" s="105"/>
      <c r="H36" s="94">
        <v>2012</v>
      </c>
      <c r="I36" s="253">
        <f t="shared" si="10"/>
        <v>3.1860467943980487E-3</v>
      </c>
      <c r="J36" s="253">
        <f t="shared" si="8"/>
        <v>-6.4192275056614879E-3</v>
      </c>
      <c r="K36" s="253">
        <f t="shared" si="9"/>
        <v>-0.1438081904909089</v>
      </c>
    </row>
    <row r="37" spans="2:17">
      <c r="B37" s="2">
        <v>2013</v>
      </c>
      <c r="C37" s="6">
        <f t="shared" ref="C37" si="12">(C18/$C$7)</f>
        <v>1.0119178350818709</v>
      </c>
      <c r="D37" s="6">
        <f>(D18/E18)/($D$7/$E$7)</f>
        <v>1.2431648689557242</v>
      </c>
      <c r="E37" s="9">
        <f t="shared" ref="E37:E38" si="13">F18/$F$7</f>
        <v>0.95468807316615345</v>
      </c>
      <c r="F37" s="9"/>
      <c r="G37" s="105"/>
      <c r="H37" s="94">
        <v>2013</v>
      </c>
      <c r="I37" s="253">
        <f t="shared" ref="I37:I38" si="14">LN(C37/C36)</f>
        <v>5.1742641085252335E-3</v>
      </c>
      <c r="J37" s="253">
        <f>LN(D37/D36)</f>
        <v>-1.0274711856289632E-3</v>
      </c>
      <c r="K37" s="253">
        <f t="shared" ref="K37:K38" si="15">LN(E37/E36)</f>
        <v>2.5549678705396178E-2</v>
      </c>
    </row>
    <row r="38" spans="2:17">
      <c r="B38" s="2">
        <v>2014</v>
      </c>
      <c r="C38" s="6">
        <f>(C19/$C$7)</f>
        <v>1.018677648135438</v>
      </c>
      <c r="D38" s="6">
        <f t="shared" ref="D38" si="16">(D19/E19)/($D$7/$E$7)</f>
        <v>1.2483824204193443</v>
      </c>
      <c r="E38" s="9">
        <f t="shared" si="13"/>
        <v>0.92651004454724495</v>
      </c>
      <c r="F38" s="9"/>
      <c r="G38" s="105"/>
      <c r="H38" s="94">
        <v>2014</v>
      </c>
      <c r="I38" s="253">
        <f t="shared" si="14"/>
        <v>6.6579858771523255E-3</v>
      </c>
      <c r="J38" s="253">
        <f t="shared" ref="J38" si="17">LN(D38/D37)</f>
        <v>4.188207956285446E-3</v>
      </c>
      <c r="K38" s="253">
        <f t="shared" si="15"/>
        <v>-2.9959775114263447E-2</v>
      </c>
    </row>
    <row r="39" spans="2:17" ht="15">
      <c r="G39" s="147"/>
      <c r="H39" s="87" t="s">
        <v>96</v>
      </c>
      <c r="I39" s="188">
        <f>AVERAGE(I27:I38)</f>
        <v>1.5421135679771793E-3</v>
      </c>
      <c r="J39" s="188">
        <f>AVERAGE(J27:J38)</f>
        <v>1.8487387468854422E-2</v>
      </c>
      <c r="K39" s="254">
        <f>AVERAGE(K27:K38)</f>
        <v>-6.3608659938439146E-3</v>
      </c>
    </row>
    <row r="40" spans="2:17">
      <c r="K40" s="66"/>
    </row>
    <row r="41" spans="2:17" s="357" customFormat="1" ht="14.25" customHeight="1">
      <c r="B41" s="256" t="s">
        <v>267</v>
      </c>
      <c r="C41" s="255"/>
      <c r="D41" s="255"/>
      <c r="E41" s="255"/>
      <c r="F41" s="255"/>
      <c r="G41" s="255"/>
      <c r="H41" s="255"/>
      <c r="I41" s="255"/>
      <c r="J41" s="255"/>
      <c r="K41" s="255"/>
      <c r="L41" s="405"/>
      <c r="M41" s="405"/>
      <c r="N41" s="405"/>
      <c r="O41" s="405"/>
      <c r="P41" s="405"/>
      <c r="Q41" s="405"/>
    </row>
    <row r="42" spans="2:17" ht="15">
      <c r="B42" s="67" t="s">
        <v>10</v>
      </c>
      <c r="C42" s="79"/>
      <c r="D42" s="79"/>
      <c r="E42" s="86"/>
      <c r="H42" s="67" t="s">
        <v>104</v>
      </c>
      <c r="I42" s="79"/>
      <c r="J42" s="79"/>
      <c r="K42" s="79"/>
    </row>
    <row r="43" spans="2:17" ht="15">
      <c r="B43" s="67"/>
      <c r="C43" s="68" t="s">
        <v>7</v>
      </c>
      <c r="D43" s="68" t="s">
        <v>7</v>
      </c>
      <c r="E43" s="68" t="s">
        <v>8</v>
      </c>
      <c r="H43" s="67"/>
      <c r="I43" s="68" t="s">
        <v>7</v>
      </c>
      <c r="J43" s="68" t="s">
        <v>7</v>
      </c>
      <c r="K43" s="68" t="s">
        <v>8</v>
      </c>
    </row>
    <row r="44" spans="2:17" ht="15">
      <c r="B44" s="68" t="s">
        <v>4</v>
      </c>
      <c r="C44" s="68" t="s">
        <v>5</v>
      </c>
      <c r="D44" s="68" t="str">
        <f>D25</f>
        <v>O&amp;M_total</v>
      </c>
      <c r="E44" s="68" t="s">
        <v>9</v>
      </c>
      <c r="H44" s="68" t="s">
        <v>4</v>
      </c>
      <c r="I44" s="68" t="s">
        <v>5</v>
      </c>
      <c r="J44" s="68" t="str">
        <f>D44</f>
        <v>O&amp;M_total</v>
      </c>
      <c r="K44" s="68" t="s">
        <v>9</v>
      </c>
    </row>
    <row r="45" spans="2:17">
      <c r="B45" s="2">
        <v>2002</v>
      </c>
      <c r="C45" s="8">
        <f>($G7*$I7)/C26</f>
        <v>3063240.6286446145</v>
      </c>
      <c r="D45" s="8">
        <f t="shared" ref="D45:D55" si="18">($G7*$J7)/D26</f>
        <v>517395.47545000026</v>
      </c>
      <c r="E45" s="8">
        <f t="shared" ref="E45:E55" si="19">($G7)/E26</f>
        <v>3580636.1040946147</v>
      </c>
      <c r="H45" s="2">
        <v>2002</v>
      </c>
      <c r="I45" s="257"/>
      <c r="J45" s="258"/>
      <c r="K45" s="150"/>
    </row>
    <row r="46" spans="2:17">
      <c r="B46" s="2">
        <v>2003</v>
      </c>
      <c r="C46" s="8">
        <f t="shared" ref="C46:C55" si="20">($G8*$I8)/C27</f>
        <v>3863375.6844721599</v>
      </c>
      <c r="D46" s="8">
        <f t="shared" si="18"/>
        <v>529719.9549911049</v>
      </c>
      <c r="E46" s="8">
        <f t="shared" si="19"/>
        <v>4089990.8145183949</v>
      </c>
      <c r="H46" s="2">
        <v>2003</v>
      </c>
      <c r="I46" s="259">
        <f>LN(C46/C45)</f>
        <v>0.23206794639694076</v>
      </c>
      <c r="J46" s="259">
        <f t="shared" ref="J46:K55" si="21">LN(D46/D45)</f>
        <v>2.3540955159334843E-2</v>
      </c>
      <c r="K46" s="259">
        <f>LN(E46/E45)</f>
        <v>0.13300225687626599</v>
      </c>
    </row>
    <row r="47" spans="2:17">
      <c r="B47" s="2">
        <v>2004</v>
      </c>
      <c r="C47" s="8">
        <f t="shared" si="20"/>
        <v>3686392.970399112</v>
      </c>
      <c r="D47" s="8">
        <f t="shared" si="18"/>
        <v>544634.74327919434</v>
      </c>
      <c r="E47" s="8">
        <f t="shared" si="19"/>
        <v>4116236.527393016</v>
      </c>
      <c r="F47" s="8"/>
      <c r="H47" s="2">
        <v>2004</v>
      </c>
      <c r="I47" s="259">
        <f t="shared" ref="I47:I55" si="22">LN(C47/C46)</f>
        <v>-4.6892865778201426E-2</v>
      </c>
      <c r="J47" s="259">
        <f t="shared" si="21"/>
        <v>2.7766894072214127E-2</v>
      </c>
      <c r="K47" s="259">
        <f t="shared" si="21"/>
        <v>6.3965574605843569E-3</v>
      </c>
    </row>
    <row r="48" spans="2:17">
      <c r="B48" s="2">
        <v>2005</v>
      </c>
      <c r="C48" s="8">
        <f t="shared" si="20"/>
        <v>4646440.7412730362</v>
      </c>
      <c r="D48" s="8">
        <f t="shared" si="18"/>
        <v>560717.20572954288</v>
      </c>
      <c r="E48" s="8">
        <f t="shared" si="19"/>
        <v>4978022.5846222788</v>
      </c>
      <c r="F48" s="8"/>
      <c r="H48" s="2">
        <v>2005</v>
      </c>
      <c r="I48" s="259">
        <f t="shared" si="22"/>
        <v>0.23145302934605957</v>
      </c>
      <c r="J48" s="259">
        <f t="shared" si="21"/>
        <v>2.9101314654515976E-2</v>
      </c>
      <c r="K48" s="259">
        <f t="shared" si="21"/>
        <v>0.19009345914811657</v>
      </c>
    </row>
    <row r="49" spans="2:11">
      <c r="B49" s="2">
        <v>2006</v>
      </c>
      <c r="C49" s="8">
        <f t="shared" si="20"/>
        <v>3850032.5353670591</v>
      </c>
      <c r="D49" s="8">
        <f t="shared" si="18"/>
        <v>576538.21175361017</v>
      </c>
      <c r="E49" s="8">
        <f t="shared" si="19"/>
        <v>4192462.8796733529</v>
      </c>
      <c r="F49" s="8"/>
      <c r="H49" s="2">
        <v>2006</v>
      </c>
      <c r="I49" s="259">
        <f t="shared" si="22"/>
        <v>-0.18801989551366294</v>
      </c>
      <c r="J49" s="259">
        <f t="shared" si="21"/>
        <v>2.7824931007667607E-2</v>
      </c>
      <c r="K49" s="259">
        <f t="shared" si="21"/>
        <v>-0.17174438012953244</v>
      </c>
    </row>
    <row r="50" spans="2:11">
      <c r="B50" s="2">
        <v>2007</v>
      </c>
      <c r="C50" s="8">
        <f t="shared" si="20"/>
        <v>3363683.9891652688</v>
      </c>
      <c r="D50" s="8">
        <f t="shared" si="18"/>
        <v>594336.65138808754</v>
      </c>
      <c r="E50" s="8">
        <f t="shared" si="19"/>
        <v>4456846.1402447345</v>
      </c>
      <c r="F50" s="8"/>
      <c r="H50" s="2">
        <v>2007</v>
      </c>
      <c r="I50" s="259">
        <f t="shared" si="22"/>
        <v>-0.13504480032203323</v>
      </c>
      <c r="J50" s="259">
        <f t="shared" si="21"/>
        <v>3.0404292171491536E-2</v>
      </c>
      <c r="K50" s="259">
        <f t="shared" si="21"/>
        <v>6.11530117528978E-2</v>
      </c>
    </row>
    <row r="51" spans="2:11">
      <c r="B51" s="2">
        <v>2008</v>
      </c>
      <c r="C51" s="8">
        <f t="shared" si="20"/>
        <v>4194219.1156573482</v>
      </c>
      <c r="D51" s="8">
        <f t="shared" si="18"/>
        <v>610139.07608397573</v>
      </c>
      <c r="E51" s="8">
        <f t="shared" si="19"/>
        <v>5201163.0552416202</v>
      </c>
      <c r="F51" s="8"/>
      <c r="H51" s="2">
        <v>2008</v>
      </c>
      <c r="I51" s="259">
        <f t="shared" si="22"/>
        <v>0.22067037745872556</v>
      </c>
      <c r="J51" s="259">
        <f t="shared" si="21"/>
        <v>2.6241012763741467E-2</v>
      </c>
      <c r="K51" s="259">
        <f t="shared" si="21"/>
        <v>0.15444089260252392</v>
      </c>
    </row>
    <row r="52" spans="2:11">
      <c r="B52" s="2">
        <v>2009</v>
      </c>
      <c r="C52" s="8">
        <f t="shared" si="20"/>
        <v>2691906.3851299845</v>
      </c>
      <c r="D52" s="8">
        <f t="shared" si="18"/>
        <v>621578.75338930078</v>
      </c>
      <c r="E52" s="8">
        <f t="shared" si="19"/>
        <v>3306545.1161215422</v>
      </c>
      <c r="F52" s="8"/>
      <c r="H52" s="2">
        <v>2009</v>
      </c>
      <c r="I52" s="259">
        <f t="shared" si="22"/>
        <v>-0.443457540179303</v>
      </c>
      <c r="J52" s="259">
        <f t="shared" si="21"/>
        <v>1.8575693189069008E-2</v>
      </c>
      <c r="K52" s="259">
        <f t="shared" si="21"/>
        <v>-0.45297839233215798</v>
      </c>
    </row>
    <row r="53" spans="2:11">
      <c r="B53" s="2">
        <v>2010</v>
      </c>
      <c r="C53" s="8">
        <f t="shared" si="20"/>
        <v>2541484.2449316159</v>
      </c>
      <c r="D53" s="8">
        <f t="shared" si="18"/>
        <v>635152.59725073318</v>
      </c>
      <c r="E53" s="8">
        <f t="shared" si="19"/>
        <v>3371583.2922329409</v>
      </c>
      <c r="F53" s="8"/>
      <c r="H53" s="2">
        <v>2010</v>
      </c>
      <c r="I53" s="259">
        <f t="shared" si="22"/>
        <v>-5.7501377202389542E-2</v>
      </c>
      <c r="J53" s="259">
        <f t="shared" si="21"/>
        <v>2.160266270366528E-2</v>
      </c>
      <c r="K53" s="259">
        <f t="shared" si="21"/>
        <v>1.9478580971666583E-2</v>
      </c>
    </row>
    <row r="54" spans="2:11">
      <c r="B54" s="2">
        <v>2011</v>
      </c>
      <c r="C54" s="8">
        <f t="shared" si="20"/>
        <v>2516409.9108975362</v>
      </c>
      <c r="D54" s="8">
        <f t="shared" si="18"/>
        <v>649774.6695846729</v>
      </c>
      <c r="E54" s="8">
        <f t="shared" si="19"/>
        <v>3107404.8458221494</v>
      </c>
      <c r="F54" s="8"/>
      <c r="H54" s="2">
        <v>2011</v>
      </c>
      <c r="I54" s="259">
        <f t="shared" si="22"/>
        <v>-9.9150115353861569E-3</v>
      </c>
      <c r="J54" s="259">
        <f t="shared" si="21"/>
        <v>2.2760359957240652E-2</v>
      </c>
      <c r="K54" s="259">
        <f t="shared" si="21"/>
        <v>-8.1594530566829401E-2</v>
      </c>
    </row>
    <row r="55" spans="2:11">
      <c r="B55" s="2">
        <v>2012</v>
      </c>
      <c r="C55" s="8">
        <f t="shared" si="20"/>
        <v>1634453.9691945093</v>
      </c>
      <c r="D55" s="8">
        <f t="shared" si="18"/>
        <v>663024.87119976385</v>
      </c>
      <c r="E55" s="8">
        <f t="shared" si="19"/>
        <v>2654717.86236226</v>
      </c>
      <c r="F55" s="8"/>
      <c r="H55" s="2">
        <v>2012</v>
      </c>
      <c r="I55" s="259">
        <f t="shared" si="22"/>
        <v>-0.43152446245280751</v>
      </c>
      <c r="J55" s="259">
        <f t="shared" si="21"/>
        <v>2.0186861993045067E-2</v>
      </c>
      <c r="K55" s="259">
        <f t="shared" si="21"/>
        <v>-0.15744954060344268</v>
      </c>
    </row>
    <row r="56" spans="2:11">
      <c r="B56" s="2">
        <v>2013</v>
      </c>
      <c r="C56" s="8">
        <f t="shared" ref="C56:C57" si="23">($G18*$I18)/C37</f>
        <v>2456728.4898890927</v>
      </c>
      <c r="D56" s="8">
        <f t="shared" ref="D56:D57" si="24">($G18*$J18)/D37</f>
        <v>677257.07343808969</v>
      </c>
      <c r="E56" s="8">
        <f t="shared" ref="E56:E57" si="25">($G18)/E37</f>
        <v>3485902.5365066333</v>
      </c>
      <c r="F56" s="8"/>
      <c r="H56" s="2">
        <v>2013</v>
      </c>
      <c r="I56" s="259">
        <f t="shared" ref="I56:I57" si="26">LN(C56/C55)</f>
        <v>0.40752179793181875</v>
      </c>
      <c r="J56" s="259">
        <f t="shared" ref="J56:J57" si="27">LN(D56/D55)</f>
        <v>2.1238422659614176E-2</v>
      </c>
      <c r="K56" s="259">
        <f t="shared" ref="K56:K57" si="28">LN(E56/E55)</f>
        <v>0.27238860564341283</v>
      </c>
    </row>
    <row r="57" spans="2:11">
      <c r="B57" s="2">
        <v>2014</v>
      </c>
      <c r="C57" s="8">
        <f t="shared" si="23"/>
        <v>2704860.6008717571</v>
      </c>
      <c r="D57" s="8">
        <f t="shared" si="24"/>
        <v>693166.34100708703</v>
      </c>
      <c r="E57" s="8">
        <f t="shared" si="25"/>
        <v>3907909.8292336627</v>
      </c>
      <c r="F57" s="8"/>
      <c r="H57" s="2">
        <v>2014</v>
      </c>
      <c r="I57" s="259">
        <f t="shared" si="26"/>
        <v>9.6219794389570873E-2</v>
      </c>
      <c r="J57" s="259">
        <f t="shared" si="27"/>
        <v>2.3219075436800598E-2</v>
      </c>
      <c r="K57" s="259">
        <f t="shared" si="28"/>
        <v>0.11427567237462835</v>
      </c>
    </row>
    <row r="58" spans="2:11" ht="15">
      <c r="B58" s="2"/>
      <c r="C58" s="6"/>
      <c r="D58" s="7"/>
      <c r="H58" s="87" t="s">
        <v>96</v>
      </c>
      <c r="I58" s="260">
        <f>AVERAGE(I46:I57)</f>
        <v>-1.0368583955055686E-2</v>
      </c>
      <c r="J58" s="260">
        <f>AVERAGE(J46:J57)</f>
        <v>2.4371872980700027E-2</v>
      </c>
      <c r="K58" s="260">
        <f>AVERAGE(K46:K57)</f>
        <v>7.2885160998444913E-3</v>
      </c>
    </row>
    <row r="59" spans="2:11">
      <c r="B59" s="2"/>
      <c r="C59" s="6"/>
      <c r="D59" s="6"/>
      <c r="E59" s="7"/>
    </row>
    <row r="60" spans="2:11" ht="15">
      <c r="B60" s="264" t="s">
        <v>269</v>
      </c>
      <c r="C60" s="263"/>
      <c r="D60" s="263"/>
      <c r="E60" s="263"/>
      <c r="F60" s="263"/>
      <c r="G60" s="263"/>
      <c r="H60" s="263"/>
      <c r="I60" s="263"/>
      <c r="J60" s="263"/>
      <c r="K60" s="263"/>
    </row>
    <row r="61" spans="2:11" ht="15">
      <c r="B61" s="67" t="s">
        <v>11</v>
      </c>
      <c r="C61" s="79"/>
      <c r="D61" s="79"/>
      <c r="E61" s="79"/>
      <c r="F61" s="79"/>
      <c r="G61" s="79"/>
      <c r="H61" s="79"/>
    </row>
    <row r="62" spans="2:11" ht="15">
      <c r="B62" s="67"/>
      <c r="C62" s="68" t="s">
        <v>12</v>
      </c>
      <c r="D62" s="68" t="s">
        <v>12</v>
      </c>
      <c r="E62" s="68" t="s">
        <v>13</v>
      </c>
      <c r="F62" s="68" t="s">
        <v>13</v>
      </c>
      <c r="G62" s="68" t="s">
        <v>14</v>
      </c>
      <c r="H62" s="68" t="s">
        <v>14</v>
      </c>
    </row>
    <row r="63" spans="2:11" ht="15">
      <c r="B63" s="68" t="s">
        <v>4</v>
      </c>
      <c r="C63" s="68" t="s">
        <v>7</v>
      </c>
      <c r="D63" s="68" t="s">
        <v>8</v>
      </c>
      <c r="E63" s="68" t="s">
        <v>7</v>
      </c>
      <c r="F63" s="68" t="s">
        <v>8</v>
      </c>
      <c r="G63" s="68" t="s">
        <v>7</v>
      </c>
      <c r="H63" s="68" t="s">
        <v>8</v>
      </c>
      <c r="K63" s="107"/>
    </row>
    <row r="64" spans="2:11">
      <c r="B64" s="2">
        <v>2002</v>
      </c>
      <c r="C64" s="2"/>
      <c r="D64" s="2"/>
      <c r="E64" s="2"/>
      <c r="F64" s="2"/>
      <c r="G64" s="2"/>
      <c r="H64" s="2"/>
    </row>
    <row r="65" spans="2:11">
      <c r="B65" s="2">
        <v>2003</v>
      </c>
      <c r="C65" s="6">
        <f t="shared" ref="C65:C76" si="29">SUMPRODUCT(C45:D45,C27:D27)/SUMPRODUCT(C45:D45,C26:D26)</f>
        <v>1.0277124227660823</v>
      </c>
      <c r="D65" s="6">
        <f t="shared" ref="D65:D74" si="30">SUMPRODUCT(E45:F45*E27:F27)/SUMPRODUCT(E45:F45*E26:F26)</f>
        <v>1.1029429402289246</v>
      </c>
      <c r="E65" s="6">
        <f t="shared" ref="E65:E74" si="31">SUMPRODUCT(C46:D46,C27:D27)/SUMPRODUCT(C46:D46,C26:D26)</f>
        <v>1.0268445908510557</v>
      </c>
      <c r="F65" s="6">
        <f t="shared" ref="F65:F74" si="32">SUMPRODUCT(E46:F46,E27:F27)/SUMPRODUCT(E46:F46,E26:F26)</f>
        <v>1.1029429402289246</v>
      </c>
      <c r="G65" s="9">
        <f t="shared" ref="G65:H74" si="33">(C65*E65)^0.5</f>
        <v>1.0272784151668841</v>
      </c>
      <c r="H65" s="9">
        <f t="shared" si="33"/>
        <v>1.1029429402289246</v>
      </c>
    </row>
    <row r="66" spans="2:11">
      <c r="B66" s="2">
        <v>2004</v>
      </c>
      <c r="C66" s="6">
        <f t="shared" si="29"/>
        <v>1.0064872543382735</v>
      </c>
      <c r="D66" s="6">
        <f t="shared" si="30"/>
        <v>0.96377463580825595</v>
      </c>
      <c r="E66" s="6">
        <f t="shared" si="31"/>
        <v>1.0068234315762881</v>
      </c>
      <c r="F66" s="6">
        <f t="shared" si="32"/>
        <v>0.96377463580825595</v>
      </c>
      <c r="G66" s="9">
        <f t="shared" si="33"/>
        <v>1.0066553289237865</v>
      </c>
      <c r="H66" s="9">
        <f t="shared" si="33"/>
        <v>0.96377463580825595</v>
      </c>
    </row>
    <row r="67" spans="2:11">
      <c r="B67" s="2">
        <v>2005</v>
      </c>
      <c r="C67" s="6">
        <f t="shared" si="29"/>
        <v>1.000795519839085</v>
      </c>
      <c r="D67" s="6">
        <f t="shared" si="30"/>
        <v>1.0165793239657936</v>
      </c>
      <c r="E67" s="6">
        <f t="shared" si="31"/>
        <v>1.0005547819486709</v>
      </c>
      <c r="F67" s="6">
        <f t="shared" si="32"/>
        <v>1.0165793239657936</v>
      </c>
      <c r="G67" s="9">
        <f t="shared" si="33"/>
        <v>1.0006751436544241</v>
      </c>
      <c r="H67" s="9">
        <f t="shared" si="33"/>
        <v>1.0165793239657936</v>
      </c>
    </row>
    <row r="68" spans="2:11">
      <c r="B68" s="2">
        <v>2006</v>
      </c>
      <c r="C68" s="6">
        <f t="shared" si="29"/>
        <v>1.0058173919669826</v>
      </c>
      <c r="D68" s="6">
        <f t="shared" si="30"/>
        <v>1.0180522318176941</v>
      </c>
      <c r="E68" s="6">
        <f t="shared" si="31"/>
        <v>1.0065964702005448</v>
      </c>
      <c r="F68" s="6">
        <f t="shared" si="32"/>
        <v>1.0180522318176939</v>
      </c>
      <c r="G68" s="9">
        <f t="shared" si="33"/>
        <v>1.0062068556814163</v>
      </c>
      <c r="H68" s="9">
        <f t="shared" si="33"/>
        <v>1.0180522318176939</v>
      </c>
    </row>
    <row r="69" spans="2:11">
      <c r="B69" s="2">
        <v>2007</v>
      </c>
      <c r="C69" s="6">
        <f t="shared" si="29"/>
        <v>0.98927439898268132</v>
      </c>
      <c r="D69" s="6">
        <f t="shared" si="30"/>
        <v>0.83546664999108411</v>
      </c>
      <c r="E69" s="6">
        <f t="shared" si="31"/>
        <v>0.99088537466106297</v>
      </c>
      <c r="F69" s="6">
        <f t="shared" si="32"/>
        <v>0.83546664999108411</v>
      </c>
      <c r="G69" s="9">
        <f t="shared" si="33"/>
        <v>0.99007955916610668</v>
      </c>
      <c r="H69" s="9">
        <f t="shared" si="33"/>
        <v>0.83546664999108411</v>
      </c>
    </row>
    <row r="70" spans="2:11">
      <c r="B70" s="2">
        <v>2008</v>
      </c>
      <c r="C70" s="6">
        <f t="shared" si="29"/>
        <v>1.0185510646761244</v>
      </c>
      <c r="D70" s="6">
        <f t="shared" si="30"/>
        <v>1.0532012504685762</v>
      </c>
      <c r="E70" s="6">
        <f t="shared" si="31"/>
        <v>1.0173601363907205</v>
      </c>
      <c r="F70" s="6">
        <f t="shared" si="32"/>
        <v>1.0532012504685762</v>
      </c>
      <c r="G70" s="9">
        <f t="shared" si="33"/>
        <v>1.0179554263718109</v>
      </c>
      <c r="H70" s="9">
        <f t="shared" si="33"/>
        <v>1.0532012504685762</v>
      </c>
    </row>
    <row r="71" spans="2:11">
      <c r="B71" s="2">
        <v>2009</v>
      </c>
      <c r="C71" s="6">
        <f t="shared" si="29"/>
        <v>0.99861763879769061</v>
      </c>
      <c r="D71" s="6">
        <f t="shared" si="30"/>
        <v>1.0985411176660871</v>
      </c>
      <c r="E71" s="6">
        <f t="shared" si="31"/>
        <v>0.99720846808440722</v>
      </c>
      <c r="F71" s="6">
        <f t="shared" si="32"/>
        <v>1.0985411176660871</v>
      </c>
      <c r="G71" s="9">
        <f t="shared" si="33"/>
        <v>0.99791280470164978</v>
      </c>
      <c r="H71" s="9">
        <f t="shared" si="33"/>
        <v>1.0985411176660871</v>
      </c>
    </row>
    <row r="72" spans="2:11">
      <c r="B72" s="2">
        <v>2010</v>
      </c>
      <c r="C72" s="6">
        <f t="shared" si="29"/>
        <v>1.0116669346088596</v>
      </c>
      <c r="D72" s="6">
        <f t="shared" si="30"/>
        <v>0.95453746848465648</v>
      </c>
      <c r="E72" s="6">
        <f t="shared" si="31"/>
        <v>1.0123911720021723</v>
      </c>
      <c r="F72" s="6">
        <f t="shared" si="32"/>
        <v>0.95453746848465648</v>
      </c>
      <c r="G72" s="9">
        <f t="shared" si="33"/>
        <v>1.0120289885198488</v>
      </c>
      <c r="H72" s="9">
        <f t="shared" si="33"/>
        <v>0.95453746848465648</v>
      </c>
    </row>
    <row r="73" spans="2:11">
      <c r="B73" s="2">
        <v>2011</v>
      </c>
      <c r="C73" s="6">
        <f t="shared" si="29"/>
        <v>0.97765279563819474</v>
      </c>
      <c r="D73" s="6">
        <f t="shared" si="30"/>
        <v>1.0585974992675227</v>
      </c>
      <c r="E73" s="6">
        <f t="shared" si="31"/>
        <v>0.97740177830676911</v>
      </c>
      <c r="F73" s="6">
        <f t="shared" si="32"/>
        <v>1.0585974992675227</v>
      </c>
      <c r="G73" s="9">
        <f t="shared" si="33"/>
        <v>0.9775272789152003</v>
      </c>
      <c r="H73" s="9">
        <f t="shared" si="33"/>
        <v>1.0585974992675227</v>
      </c>
    </row>
    <row r="74" spans="2:11">
      <c r="B74" s="2">
        <v>2012</v>
      </c>
      <c r="C74" s="6">
        <f t="shared" si="29"/>
        <v>1.0008538162425633</v>
      </c>
      <c r="D74" s="6">
        <f t="shared" si="30"/>
        <v>0.8660538494924962</v>
      </c>
      <c r="E74" s="6">
        <f t="shared" si="31"/>
        <v>0.99996780182841805</v>
      </c>
      <c r="F74" s="6">
        <f t="shared" si="32"/>
        <v>0.86605384949249631</v>
      </c>
      <c r="G74" s="9">
        <f t="shared" si="33"/>
        <v>1.0004107109480884</v>
      </c>
      <c r="H74" s="9">
        <f t="shared" si="33"/>
        <v>0.86605384949249631</v>
      </c>
    </row>
    <row r="75" spans="2:11">
      <c r="B75" s="2">
        <v>2013</v>
      </c>
      <c r="C75" s="6">
        <f t="shared" si="29"/>
        <v>1.003112113335465</v>
      </c>
      <c r="D75" s="6">
        <f t="shared" ref="D75:D76" si="34">SUMPRODUCT(E55:F55*E37:F37)/SUMPRODUCT(E55:F55*E36:F36)</f>
        <v>1.0258788693386665</v>
      </c>
      <c r="E75" s="6">
        <f t="shared" ref="E75:E76" si="35">SUMPRODUCT(C56:D56,C37:D37)/SUMPRODUCT(C56:D56,C36:D36)</f>
        <v>1.0036081348345745</v>
      </c>
      <c r="F75" s="6">
        <f t="shared" ref="F75:F76" si="36">SUMPRODUCT(E56:F56,E37:F37)/SUMPRODUCT(E56:F56,E36:F36)</f>
        <v>1.0258788693386665</v>
      </c>
      <c r="G75" s="9">
        <f t="shared" ref="G75:G76" si="37">(C75*E75)^0.5</f>
        <v>1.0033600934333469</v>
      </c>
      <c r="H75" s="9">
        <f t="shared" ref="H75:H76" si="38">(D75*F75)^0.5</f>
        <v>1.0258788693386665</v>
      </c>
    </row>
    <row r="76" spans="2:11">
      <c r="B76" s="2">
        <v>2014</v>
      </c>
      <c r="C76" s="6">
        <f t="shared" si="29"/>
        <v>1.0060519693856265</v>
      </c>
      <c r="D76" s="6">
        <f t="shared" si="34"/>
        <v>0.97048457039432978</v>
      </c>
      <c r="E76" s="6">
        <f t="shared" si="35"/>
        <v>1.0060856066637436</v>
      </c>
      <c r="F76" s="6">
        <f t="shared" si="36"/>
        <v>0.97048457039432989</v>
      </c>
      <c r="G76" s="9">
        <f t="shared" si="37"/>
        <v>1.0060687878841048</v>
      </c>
      <c r="H76" s="9">
        <f t="shared" si="38"/>
        <v>0.97048457039432989</v>
      </c>
    </row>
    <row r="78" spans="2:11" ht="15.75" thickBot="1">
      <c r="B78" s="262" t="s">
        <v>268</v>
      </c>
      <c r="C78" s="261"/>
      <c r="D78" s="261"/>
      <c r="E78" s="261"/>
      <c r="F78" s="261"/>
      <c r="G78" s="261"/>
      <c r="H78" s="261"/>
      <c r="I78" s="261"/>
      <c r="J78" s="261"/>
      <c r="K78" s="261"/>
    </row>
    <row r="79" spans="2:11" ht="15">
      <c r="B79" s="67" t="s">
        <v>15</v>
      </c>
      <c r="C79" s="79"/>
      <c r="D79" s="79"/>
      <c r="E79" s="79"/>
      <c r="F79" s="79"/>
      <c r="G79" s="88"/>
      <c r="H79" s="89"/>
      <c r="I79" s="89"/>
      <c r="J79" s="90"/>
    </row>
    <row r="80" spans="2:11" ht="15">
      <c r="B80" s="67"/>
      <c r="C80" s="68" t="s">
        <v>12</v>
      </c>
      <c r="D80" s="68" t="s">
        <v>12</v>
      </c>
      <c r="E80" s="68" t="s">
        <v>13</v>
      </c>
      <c r="F80" s="68" t="s">
        <v>13</v>
      </c>
      <c r="G80" s="91" t="s">
        <v>14</v>
      </c>
      <c r="H80" s="83" t="s">
        <v>14</v>
      </c>
      <c r="I80" s="83" t="s">
        <v>16</v>
      </c>
      <c r="J80" s="92" t="s">
        <v>16</v>
      </c>
    </row>
    <row r="81" spans="2:17" ht="15">
      <c r="B81" s="68" t="s">
        <v>4</v>
      </c>
      <c r="C81" s="68" t="s">
        <v>7</v>
      </c>
      <c r="D81" s="68" t="s">
        <v>8</v>
      </c>
      <c r="E81" s="68" t="s">
        <v>7</v>
      </c>
      <c r="F81" s="68" t="s">
        <v>8</v>
      </c>
      <c r="G81" s="91" t="s">
        <v>7</v>
      </c>
      <c r="H81" s="83" t="s">
        <v>8</v>
      </c>
      <c r="I81" s="83" t="s">
        <v>15</v>
      </c>
      <c r="J81" s="92" t="s">
        <v>17</v>
      </c>
    </row>
    <row r="82" spans="2:17">
      <c r="B82" s="2">
        <v>2002</v>
      </c>
      <c r="C82" s="6">
        <v>1</v>
      </c>
      <c r="D82" s="6">
        <v>1</v>
      </c>
      <c r="E82" s="6">
        <v>1</v>
      </c>
      <c r="F82" s="6">
        <v>1</v>
      </c>
      <c r="G82" s="10">
        <v>1</v>
      </c>
      <c r="H82" s="11">
        <v>1</v>
      </c>
      <c r="I82" s="11">
        <f>H82/G82</f>
        <v>1</v>
      </c>
      <c r="J82" s="267"/>
    </row>
    <row r="83" spans="2:17">
      <c r="B83" s="2">
        <v>2003</v>
      </c>
      <c r="C83" s="6">
        <f t="shared" ref="C83:C92" si="39">C82*C65</f>
        <v>1.0277124227660823</v>
      </c>
      <c r="D83" s="6">
        <f t="shared" ref="D83:D92" si="40">D82*D65</f>
        <v>1.1029429402289246</v>
      </c>
      <c r="E83" s="6">
        <f t="shared" ref="E83:E92" si="41">E82*E65</f>
        <v>1.0268445908510557</v>
      </c>
      <c r="F83" s="6">
        <f t="shared" ref="F83:F92" si="42">F82*F65</f>
        <v>1.1029429402289246</v>
      </c>
      <c r="G83" s="10">
        <f t="shared" ref="G83:G92" si="43">G82*G65</f>
        <v>1.0272784151668841</v>
      </c>
      <c r="H83" s="11">
        <f t="shared" ref="H83:H92" si="44">H82*H65</f>
        <v>1.1029429402289246</v>
      </c>
      <c r="I83" s="11">
        <f>H83/G83</f>
        <v>1.0736553245399871</v>
      </c>
      <c r="J83" s="268">
        <f>LN(I83/I82)</f>
        <v>7.1069017707103652E-2</v>
      </c>
    </row>
    <row r="84" spans="2:17">
      <c r="B84" s="2">
        <v>2004</v>
      </c>
      <c r="C84" s="6">
        <f t="shared" si="39"/>
        <v>1.0343794546391691</v>
      </c>
      <c r="D84" s="6">
        <f t="shared" si="40"/>
        <v>1.0629884305364188</v>
      </c>
      <c r="E84" s="6">
        <f t="shared" si="41"/>
        <v>1.0338511946562094</v>
      </c>
      <c r="F84" s="6">
        <f t="shared" si="42"/>
        <v>1.0629884305364188</v>
      </c>
      <c r="G84" s="10">
        <f t="shared" si="43"/>
        <v>1.0341152909161258</v>
      </c>
      <c r="H84" s="11">
        <f t="shared" si="44"/>
        <v>1.0629884305364188</v>
      </c>
      <c r="I84" s="11">
        <f t="shared" ref="I84:I92" si="45">H84/G84</f>
        <v>1.0279206195613975</v>
      </c>
      <c r="J84" s="268">
        <f t="shared" ref="J84:J92" si="46">LN(I84/I83)</f>
        <v>-4.3531071981107568E-2</v>
      </c>
    </row>
    <row r="85" spans="2:17">
      <c r="B85" s="2">
        <v>2005</v>
      </c>
      <c r="C85" s="6">
        <f t="shared" si="39"/>
        <v>1.0352023240164765</v>
      </c>
      <c r="D85" s="6">
        <f t="shared" si="40"/>
        <v>1.0806120600981726</v>
      </c>
      <c r="E85" s="6">
        <f t="shared" si="41"/>
        <v>1.0344247566366165</v>
      </c>
      <c r="F85" s="6">
        <f t="shared" si="42"/>
        <v>1.0806120600981726</v>
      </c>
      <c r="G85" s="10">
        <f t="shared" si="43"/>
        <v>1.0348134672927307</v>
      </c>
      <c r="H85" s="11">
        <f t="shared" si="44"/>
        <v>1.0806120600981726</v>
      </c>
      <c r="I85" s="11">
        <f t="shared" si="45"/>
        <v>1.0442578244804446</v>
      </c>
      <c r="J85" s="268">
        <f t="shared" si="46"/>
        <v>1.5768471559868019E-2</v>
      </c>
    </row>
    <row r="86" spans="2:17">
      <c r="B86" s="2">
        <v>2006</v>
      </c>
      <c r="C86" s="6">
        <f t="shared" si="39"/>
        <v>1.0412245017004116</v>
      </c>
      <c r="D86" s="6">
        <f t="shared" si="40"/>
        <v>1.1001195195120608</v>
      </c>
      <c r="E86" s="6">
        <f t="shared" si="41"/>
        <v>1.0412483087184756</v>
      </c>
      <c r="F86" s="6">
        <f t="shared" si="42"/>
        <v>1.1001195195120606</v>
      </c>
      <c r="G86" s="10">
        <f t="shared" si="43"/>
        <v>1.0412364051414027</v>
      </c>
      <c r="H86" s="11">
        <f t="shared" si="44"/>
        <v>1.1001195195120606</v>
      </c>
      <c r="I86" s="11">
        <f t="shared" si="45"/>
        <v>1.0565511483078249</v>
      </c>
      <c r="J86" s="268">
        <f t="shared" si="46"/>
        <v>1.1703552590991383E-2</v>
      </c>
    </row>
    <row r="87" spans="2:17">
      <c r="B87" s="2">
        <v>2007</v>
      </c>
      <c r="C87" s="6">
        <f t="shared" si="39"/>
        <v>1.0300567431257166</v>
      </c>
      <c r="D87" s="6">
        <f t="shared" si="40"/>
        <v>0.91911316955654254</v>
      </c>
      <c r="E87" s="6">
        <f t="shared" si="41"/>
        <v>1.0317577204997048</v>
      </c>
      <c r="F87" s="6">
        <f t="shared" si="42"/>
        <v>0.91911316955654232</v>
      </c>
      <c r="G87" s="10">
        <f t="shared" si="43"/>
        <v>1.0309068809901016</v>
      </c>
      <c r="H87" s="11">
        <f t="shared" si="44"/>
        <v>0.91911316955654232</v>
      </c>
      <c r="I87" s="11">
        <f t="shared" si="45"/>
        <v>0.89155789577600786</v>
      </c>
      <c r="J87" s="268">
        <f t="shared" si="46"/>
        <v>-0.1697948716834968</v>
      </c>
    </row>
    <row r="88" spans="2:17">
      <c r="B88" s="2">
        <v>2008</v>
      </c>
      <c r="C88" s="6">
        <f t="shared" si="39"/>
        <v>1.0491653923875199</v>
      </c>
      <c r="D88" s="6">
        <f t="shared" si="40"/>
        <v>0.96801113949908701</v>
      </c>
      <c r="E88" s="6">
        <f t="shared" si="41"/>
        <v>1.0496691752497587</v>
      </c>
      <c r="F88" s="6">
        <f t="shared" si="42"/>
        <v>0.96801113949908679</v>
      </c>
      <c r="G88" s="10">
        <f t="shared" si="43"/>
        <v>1.0494172535879127</v>
      </c>
      <c r="H88" s="11">
        <f t="shared" si="44"/>
        <v>0.96801113949908679</v>
      </c>
      <c r="I88" s="11">
        <f t="shared" si="45"/>
        <v>0.9224273149593244</v>
      </c>
      <c r="J88" s="268">
        <f t="shared" si="46"/>
        <v>3.4038204262977219E-2</v>
      </c>
    </row>
    <row r="89" spans="2:17">
      <c r="B89" s="2">
        <v>2009</v>
      </c>
      <c r="C89" s="6">
        <f t="shared" si="39"/>
        <v>1.0477150668542776</v>
      </c>
      <c r="D89" s="6">
        <f t="shared" si="40"/>
        <v>1.0634000390985496</v>
      </c>
      <c r="E89" s="6">
        <f t="shared" si="41"/>
        <v>1.046738990246235</v>
      </c>
      <c r="F89" s="6">
        <f t="shared" si="42"/>
        <v>1.0634000390985494</v>
      </c>
      <c r="G89" s="10">
        <f t="shared" si="43"/>
        <v>1.0472269148302165</v>
      </c>
      <c r="H89" s="11">
        <f t="shared" si="44"/>
        <v>1.0634000390985494</v>
      </c>
      <c r="I89" s="11">
        <f t="shared" si="45"/>
        <v>1.0154437629889936</v>
      </c>
      <c r="J89" s="268">
        <f t="shared" si="46"/>
        <v>9.6072419406458276E-2</v>
      </c>
    </row>
    <row r="90" spans="2:17">
      <c r="B90" s="2">
        <v>2010</v>
      </c>
      <c r="C90" s="6">
        <f t="shared" si="39"/>
        <v>1.0599386900279835</v>
      </c>
      <c r="D90" s="6">
        <f t="shared" si="40"/>
        <v>1.0150551813076143</v>
      </c>
      <c r="E90" s="6">
        <f t="shared" si="41"/>
        <v>1.0597093131157562</v>
      </c>
      <c r="F90" s="6">
        <f t="shared" si="42"/>
        <v>1.0150551813076141</v>
      </c>
      <c r="G90" s="10">
        <f t="shared" si="43"/>
        <v>1.0598239953663857</v>
      </c>
      <c r="H90" s="11">
        <f t="shared" si="44"/>
        <v>1.0150551813076141</v>
      </c>
      <c r="I90" s="11">
        <f t="shared" si="45"/>
        <v>0.95775825584766561</v>
      </c>
      <c r="J90" s="268">
        <f>LN(I90/I89)</f>
        <v>-5.8485597256777558E-2</v>
      </c>
    </row>
    <row r="91" spans="2:17">
      <c r="B91" s="2">
        <v>2011</v>
      </c>
      <c r="C91" s="6">
        <f t="shared" si="39"/>
        <v>1.036252023510944</v>
      </c>
      <c r="D91" s="6">
        <f t="shared" si="40"/>
        <v>1.0745348765507823</v>
      </c>
      <c r="E91" s="6">
        <f t="shared" si="41"/>
        <v>1.0357617671275849</v>
      </c>
      <c r="F91" s="6">
        <f t="shared" si="42"/>
        <v>1.0745348765507821</v>
      </c>
      <c r="G91" s="10">
        <f t="shared" si="43"/>
        <v>1.036006866319539</v>
      </c>
      <c r="H91" s="11">
        <f t="shared" si="44"/>
        <v>1.0745348765507821</v>
      </c>
      <c r="I91" s="11">
        <f t="shared" si="45"/>
        <v>1.0371889525868836</v>
      </c>
      <c r="J91" s="268">
        <f t="shared" si="46"/>
        <v>7.9673998830741569E-2</v>
      </c>
    </row>
    <row r="92" spans="2:17">
      <c r="B92" s="354">
        <v>2012</v>
      </c>
      <c r="C92" s="11">
        <f t="shared" si="39"/>
        <v>1.0371367923200068</v>
      </c>
      <c r="D92" s="11">
        <f t="shared" si="40"/>
        <v>0.93060506625074912</v>
      </c>
      <c r="E92" s="11">
        <f t="shared" si="41"/>
        <v>1.035728417492489</v>
      </c>
      <c r="F92" s="11">
        <f t="shared" si="42"/>
        <v>0.93060506625074912</v>
      </c>
      <c r="G92" s="10">
        <f t="shared" si="43"/>
        <v>1.0364323656818313</v>
      </c>
      <c r="H92" s="11">
        <f t="shared" si="44"/>
        <v>0.93060506625074912</v>
      </c>
      <c r="I92" s="11">
        <f t="shared" si="45"/>
        <v>0.89789271067247867</v>
      </c>
      <c r="J92" s="268">
        <f t="shared" si="46"/>
        <v>-0.14421881712034212</v>
      </c>
    </row>
    <row r="93" spans="2:17">
      <c r="B93" s="354">
        <v>2013</v>
      </c>
      <c r="C93" s="11">
        <f t="shared" ref="C93:H93" si="47">C92*C75</f>
        <v>1.0403644795620872</v>
      </c>
      <c r="D93" s="11">
        <f t="shared" si="47"/>
        <v>0.95468807316615334</v>
      </c>
      <c r="E93" s="11">
        <f t="shared" si="47"/>
        <v>1.0394654652748023</v>
      </c>
      <c r="F93" s="11">
        <f t="shared" si="47"/>
        <v>0.95468807316615334</v>
      </c>
      <c r="G93" s="10">
        <f t="shared" si="47"/>
        <v>1.0399148752678669</v>
      </c>
      <c r="H93" s="11">
        <f t="shared" si="47"/>
        <v>0.95468807316615334</v>
      </c>
      <c r="I93" s="11">
        <f t="shared" ref="I93:I94" si="48">H93/G93</f>
        <v>0.91804444370529814</v>
      </c>
      <c r="J93" s="268">
        <f t="shared" ref="J93:J94" si="49">LN(I93/I92)</f>
        <v>2.219521777236487E-2</v>
      </c>
      <c r="L93" s="406"/>
      <c r="N93" s="146"/>
    </row>
    <row r="94" spans="2:17" ht="14.25" thickBot="1">
      <c r="B94" s="354">
        <v>2014</v>
      </c>
      <c r="C94" s="11">
        <f t="shared" ref="C94:H94" si="50">C93*C76</f>
        <v>1.0466607335422902</v>
      </c>
      <c r="D94" s="11">
        <f t="shared" si="50"/>
        <v>0.92651004454724484</v>
      </c>
      <c r="E94" s="11">
        <f t="shared" si="50"/>
        <v>1.04579124323701</v>
      </c>
      <c r="F94" s="11">
        <f t="shared" si="50"/>
        <v>0.92651004454724495</v>
      </c>
      <c r="G94" s="12">
        <f t="shared" si="50"/>
        <v>1.0462258980633929</v>
      </c>
      <c r="H94" s="13">
        <f t="shared" si="50"/>
        <v>0.92651004454724495</v>
      </c>
      <c r="I94" s="13">
        <f t="shared" si="48"/>
        <v>0.88557360916246963</v>
      </c>
      <c r="J94" s="269">
        <f t="shared" si="49"/>
        <v>-3.601022207256252E-2</v>
      </c>
    </row>
    <row r="95" spans="2:17">
      <c r="K95" s="147"/>
      <c r="L95" s="146"/>
      <c r="M95" s="146"/>
      <c r="N95" s="146"/>
      <c r="O95" s="146"/>
      <c r="P95" s="146"/>
      <c r="Q95" s="146"/>
    </row>
    <row r="96" spans="2:17" s="357" customFormat="1" ht="15.75" thickBot="1">
      <c r="B96" s="266" t="s">
        <v>272</v>
      </c>
      <c r="C96" s="265"/>
      <c r="D96" s="265"/>
      <c r="E96" s="265"/>
      <c r="F96" s="265"/>
      <c r="G96" s="265"/>
      <c r="H96" s="265"/>
      <c r="I96" s="265"/>
      <c r="J96" s="265"/>
      <c r="K96" s="401"/>
      <c r="L96" s="407"/>
      <c r="M96" s="407"/>
      <c r="N96" s="407"/>
      <c r="O96" s="407"/>
      <c r="P96" s="407"/>
      <c r="Q96" s="407"/>
    </row>
    <row r="97" spans="2:19" ht="15">
      <c r="B97" s="271" t="s">
        <v>270</v>
      </c>
      <c r="C97" s="272"/>
      <c r="D97" s="272"/>
      <c r="E97" s="272"/>
      <c r="F97" s="272"/>
      <c r="G97" s="272"/>
      <c r="H97" s="272"/>
      <c r="I97" s="273"/>
      <c r="R97" s="356"/>
      <c r="S97" s="356"/>
    </row>
    <row r="98" spans="2:19" ht="15.75" customHeight="1">
      <c r="B98" s="274"/>
      <c r="C98" s="83" t="s">
        <v>12</v>
      </c>
      <c r="D98" s="83" t="s">
        <v>12</v>
      </c>
      <c r="E98" s="83" t="s">
        <v>13</v>
      </c>
      <c r="F98" s="83" t="s">
        <v>13</v>
      </c>
      <c r="G98" s="91" t="s">
        <v>14</v>
      </c>
      <c r="H98" s="83" t="s">
        <v>14</v>
      </c>
      <c r="I98" s="92" t="s">
        <v>92</v>
      </c>
    </row>
    <row r="99" spans="2:19" ht="15">
      <c r="B99" s="91" t="s">
        <v>4</v>
      </c>
      <c r="C99" s="83" t="s">
        <v>7</v>
      </c>
      <c r="D99" s="83" t="s">
        <v>8</v>
      </c>
      <c r="E99" s="83" t="s">
        <v>7</v>
      </c>
      <c r="F99" s="83" t="s">
        <v>8</v>
      </c>
      <c r="G99" s="91" t="s">
        <v>220</v>
      </c>
      <c r="H99" s="83" t="s">
        <v>221</v>
      </c>
      <c r="I99" s="92" t="s">
        <v>222</v>
      </c>
    </row>
    <row r="100" spans="2:19">
      <c r="B100" s="275" t="s">
        <v>232</v>
      </c>
      <c r="C100" s="259">
        <f t="shared" ref="C100:I109" si="51">LN(C83/C82)</f>
        <v>2.733538350624188E-2</v>
      </c>
      <c r="D100" s="259">
        <f t="shared" si="51"/>
        <v>9.798200749981674E-2</v>
      </c>
      <c r="E100" s="259">
        <f t="shared" si="51"/>
        <v>2.6490596079184241E-2</v>
      </c>
      <c r="F100" s="259">
        <f t="shared" si="51"/>
        <v>9.798200749981674E-2</v>
      </c>
      <c r="G100" s="259">
        <f t="shared" si="51"/>
        <v>2.6912989792713116E-2</v>
      </c>
      <c r="H100" s="259">
        <f t="shared" si="51"/>
        <v>9.798200749981674E-2</v>
      </c>
      <c r="I100" s="268">
        <f t="shared" si="51"/>
        <v>7.1069017707103652E-2</v>
      </c>
    </row>
    <row r="101" spans="2:19">
      <c r="B101" s="275" t="s">
        <v>233</v>
      </c>
      <c r="C101" s="259">
        <f t="shared" si="51"/>
        <v>6.4663026675763798E-3</v>
      </c>
      <c r="D101" s="259">
        <f t="shared" si="51"/>
        <v>-3.6897791984353397E-2</v>
      </c>
      <c r="E101" s="259">
        <f t="shared" si="51"/>
        <v>6.8002573259318107E-3</v>
      </c>
      <c r="F101" s="259">
        <f t="shared" si="51"/>
        <v>-3.6897791984353397E-2</v>
      </c>
      <c r="G101" s="259">
        <f t="shared" si="51"/>
        <v>6.6332799967541399E-3</v>
      </c>
      <c r="H101" s="259">
        <f t="shared" si="51"/>
        <v>-3.6897791984353397E-2</v>
      </c>
      <c r="I101" s="268">
        <f t="shared" si="51"/>
        <v>-4.3531071981107568E-2</v>
      </c>
    </row>
    <row r="102" spans="2:19" ht="15">
      <c r="B102" s="275" t="s">
        <v>234</v>
      </c>
      <c r="C102" s="259">
        <f t="shared" si="51"/>
        <v>7.9520358089313109E-4</v>
      </c>
      <c r="D102" s="259">
        <f t="shared" si="51"/>
        <v>1.6443387407344107E-2</v>
      </c>
      <c r="E102" s="259">
        <f t="shared" si="51"/>
        <v>5.5462811405939674E-4</v>
      </c>
      <c r="F102" s="259">
        <f t="shared" si="51"/>
        <v>1.6443387407344107E-2</v>
      </c>
      <c r="G102" s="259">
        <f t="shared" si="51"/>
        <v>6.7491584747623741E-4</v>
      </c>
      <c r="H102" s="259">
        <f t="shared" si="51"/>
        <v>1.6443387407344107E-2</v>
      </c>
      <c r="I102" s="268">
        <f t="shared" si="51"/>
        <v>1.5768471559868019E-2</v>
      </c>
      <c r="R102" s="360"/>
      <c r="S102" s="359"/>
    </row>
    <row r="103" spans="2:19">
      <c r="B103" s="275" t="s">
        <v>235</v>
      </c>
      <c r="C103" s="259">
        <f t="shared" si="51"/>
        <v>5.8005362814941069E-3</v>
      </c>
      <c r="D103" s="259">
        <f t="shared" si="51"/>
        <v>1.7891225080961519E-2</v>
      </c>
      <c r="E103" s="259">
        <f t="shared" si="51"/>
        <v>6.5748086984454938E-3</v>
      </c>
      <c r="F103" s="259">
        <f t="shared" si="51"/>
        <v>1.78912250809613E-2</v>
      </c>
      <c r="G103" s="259">
        <f t="shared" si="51"/>
        <v>6.1876724899698546E-3</v>
      </c>
      <c r="H103" s="259">
        <f t="shared" si="51"/>
        <v>1.78912250809613E-2</v>
      </c>
      <c r="I103" s="268">
        <f t="shared" si="51"/>
        <v>1.1703552590991383E-2</v>
      </c>
      <c r="R103" s="361"/>
      <c r="S103" s="359"/>
    </row>
    <row r="104" spans="2:19">
      <c r="B104" s="275" t="s">
        <v>236</v>
      </c>
      <c r="C104" s="259">
        <f t="shared" si="51"/>
        <v>-1.0783534898764978E-2</v>
      </c>
      <c r="D104" s="259">
        <f t="shared" si="51"/>
        <v>-0.17976484797186745</v>
      </c>
      <c r="E104" s="259">
        <f t="shared" si="51"/>
        <v>-9.1564176779762446E-3</v>
      </c>
      <c r="F104" s="259">
        <f t="shared" si="51"/>
        <v>-0.17976484797186745</v>
      </c>
      <c r="G104" s="259">
        <f t="shared" si="51"/>
        <v>-9.9699762883706331E-3</v>
      </c>
      <c r="H104" s="259">
        <f t="shared" si="51"/>
        <v>-0.17976484797186745</v>
      </c>
      <c r="I104" s="268">
        <f t="shared" si="51"/>
        <v>-0.1697948716834968</v>
      </c>
      <c r="R104" s="361"/>
      <c r="S104" s="359"/>
    </row>
    <row r="105" spans="2:19">
      <c r="B105" s="275" t="s">
        <v>237</v>
      </c>
      <c r="C105" s="259">
        <f t="shared" si="51"/>
        <v>1.8381092566951088E-2</v>
      </c>
      <c r="D105" s="259">
        <f t="shared" si="51"/>
        <v>5.1834335943315629E-2</v>
      </c>
      <c r="E105" s="259">
        <f t="shared" si="51"/>
        <v>1.72111707937256E-2</v>
      </c>
      <c r="F105" s="259">
        <f t="shared" si="51"/>
        <v>5.1834335943315629E-2</v>
      </c>
      <c r="G105" s="259">
        <f t="shared" si="51"/>
        <v>1.7796131680338233E-2</v>
      </c>
      <c r="H105" s="259">
        <f t="shared" si="51"/>
        <v>5.1834335943315629E-2</v>
      </c>
      <c r="I105" s="268">
        <f t="shared" si="51"/>
        <v>3.4038204262977219E-2</v>
      </c>
      <c r="R105" s="361"/>
      <c r="S105" s="359"/>
    </row>
    <row r="106" spans="2:19">
      <c r="B106" s="275" t="s">
        <v>238</v>
      </c>
      <c r="C106" s="259">
        <f t="shared" si="51"/>
        <v>-1.3833175449986153E-3</v>
      </c>
      <c r="D106" s="259">
        <f t="shared" si="51"/>
        <v>9.3983042880373985E-2</v>
      </c>
      <c r="E106" s="259">
        <f t="shared" si="51"/>
        <v>-2.7954355071701342E-3</v>
      </c>
      <c r="F106" s="259">
        <f t="shared" si="51"/>
        <v>9.3983042880373985E-2</v>
      </c>
      <c r="G106" s="259">
        <f t="shared" si="51"/>
        <v>-2.0893765260842868E-3</v>
      </c>
      <c r="H106" s="259">
        <f t="shared" si="51"/>
        <v>9.3983042880373985E-2</v>
      </c>
      <c r="I106" s="268">
        <f t="shared" si="51"/>
        <v>9.6072419406458276E-2</v>
      </c>
      <c r="R106" s="361"/>
      <c r="S106" s="359"/>
    </row>
    <row r="107" spans="2:19">
      <c r="B107" s="275" t="s">
        <v>239</v>
      </c>
      <c r="C107" s="259">
        <f t="shared" si="51"/>
        <v>1.1599400695566827E-2</v>
      </c>
      <c r="D107" s="259">
        <f t="shared" si="51"/>
        <v>-4.6528382019298452E-2</v>
      </c>
      <c r="E107" s="259">
        <f t="shared" si="51"/>
        <v>1.2315029779391593E-2</v>
      </c>
      <c r="F107" s="259">
        <f t="shared" si="51"/>
        <v>-4.6528382019298452E-2</v>
      </c>
      <c r="G107" s="259">
        <f t="shared" si="51"/>
        <v>1.1957215237479137E-2</v>
      </c>
      <c r="H107" s="259">
        <f t="shared" si="51"/>
        <v>-4.6528382019298452E-2</v>
      </c>
      <c r="I107" s="268">
        <f t="shared" si="51"/>
        <v>-5.8485597256777558E-2</v>
      </c>
      <c r="R107" s="361"/>
      <c r="S107" s="359"/>
    </row>
    <row r="108" spans="2:19">
      <c r="B108" s="275" t="s">
        <v>240</v>
      </c>
      <c r="C108" s="259">
        <f t="shared" si="51"/>
        <v>-2.260068666482408E-2</v>
      </c>
      <c r="D108" s="259">
        <f t="shared" si="51"/>
        <v>5.6944918137356512E-2</v>
      </c>
      <c r="E108" s="259">
        <f t="shared" si="51"/>
        <v>-2.2857474721945749E-2</v>
      </c>
      <c r="F108" s="259">
        <f t="shared" si="51"/>
        <v>5.6944918137356512E-2</v>
      </c>
      <c r="G108" s="259">
        <f t="shared" si="51"/>
        <v>-2.2729080693384883E-2</v>
      </c>
      <c r="H108" s="259">
        <f t="shared" si="51"/>
        <v>5.6944918137356512E-2</v>
      </c>
      <c r="I108" s="268">
        <f t="shared" si="51"/>
        <v>7.9673998830741569E-2</v>
      </c>
      <c r="R108" s="361"/>
      <c r="S108" s="359"/>
    </row>
    <row r="109" spans="2:19">
      <c r="B109" s="275" t="s">
        <v>241</v>
      </c>
      <c r="C109" s="259">
        <f t="shared" si="51"/>
        <v>8.5345194882047344E-4</v>
      </c>
      <c r="D109" s="259">
        <f t="shared" si="51"/>
        <v>-0.1438081904909089</v>
      </c>
      <c r="E109" s="259">
        <f t="shared" si="51"/>
        <v>-3.2198689954096859E-5</v>
      </c>
      <c r="F109" s="259">
        <f t="shared" si="51"/>
        <v>-0.14380819049090876</v>
      </c>
      <c r="G109" s="259">
        <f t="shared" si="51"/>
        <v>4.1062662943325528E-4</v>
      </c>
      <c r="H109" s="259">
        <f t="shared" si="51"/>
        <v>-0.14380819049090876</v>
      </c>
      <c r="I109" s="268">
        <f t="shared" si="51"/>
        <v>-0.14421881712034212</v>
      </c>
      <c r="J109" s="369"/>
      <c r="R109" s="361"/>
      <c r="S109" s="359"/>
    </row>
    <row r="110" spans="2:19">
      <c r="B110" s="275" t="s">
        <v>300</v>
      </c>
      <c r="C110" s="259">
        <f t="shared" ref="C110:I110" si="52">LN(C93/C92)</f>
        <v>3.1072807345637991E-3</v>
      </c>
      <c r="D110" s="259">
        <f t="shared" si="52"/>
        <v>2.5549678705396178E-2</v>
      </c>
      <c r="E110" s="259">
        <f t="shared" si="52"/>
        <v>3.6016411314987937E-3</v>
      </c>
      <c r="F110" s="259">
        <f t="shared" si="52"/>
        <v>2.5549678705396178E-2</v>
      </c>
      <c r="G110" s="259">
        <f t="shared" si="52"/>
        <v>3.3544609330314222E-3</v>
      </c>
      <c r="H110" s="259">
        <f t="shared" si="52"/>
        <v>2.5549678705396178E-2</v>
      </c>
      <c r="I110" s="268">
        <f t="shared" si="52"/>
        <v>2.219521777236487E-2</v>
      </c>
      <c r="R110" s="361"/>
      <c r="S110" s="359"/>
    </row>
    <row r="111" spans="2:19">
      <c r="B111" s="275" t="s">
        <v>301</v>
      </c>
      <c r="C111" s="259">
        <f t="shared" ref="C111:I111" si="53">LN(C94/C93)</f>
        <v>6.0337297722972642E-3</v>
      </c>
      <c r="D111" s="259">
        <f t="shared" si="53"/>
        <v>-2.9959775114263447E-2</v>
      </c>
      <c r="E111" s="259">
        <f t="shared" si="53"/>
        <v>6.067164144301084E-3</v>
      </c>
      <c r="F111" s="259">
        <f t="shared" si="53"/>
        <v>-2.9959775114263332E-2</v>
      </c>
      <c r="G111" s="259">
        <f t="shared" si="53"/>
        <v>6.050446958299119E-3</v>
      </c>
      <c r="H111" s="259">
        <f t="shared" si="53"/>
        <v>-2.9959775114263332E-2</v>
      </c>
      <c r="I111" s="268">
        <f t="shared" si="53"/>
        <v>-3.601022207256252E-2</v>
      </c>
      <c r="R111" s="361"/>
      <c r="S111" s="359"/>
    </row>
    <row r="112" spans="2:19" ht="15.75" thickBot="1">
      <c r="B112" s="276" t="s">
        <v>91</v>
      </c>
      <c r="C112" s="270">
        <f t="shared" ref="C112:I112" si="54">AVERAGE(C100:C111)</f>
        <v>3.8004035538181072E-3</v>
      </c>
      <c r="D112" s="270">
        <f t="shared" si="54"/>
        <v>-6.3608659938439146E-3</v>
      </c>
      <c r="E112" s="270">
        <f t="shared" si="54"/>
        <v>3.7311474557909824E-3</v>
      </c>
      <c r="F112" s="270">
        <f t="shared" si="54"/>
        <v>-6.3608659938439111E-3</v>
      </c>
      <c r="G112" s="148">
        <f t="shared" si="54"/>
        <v>3.76577550480456E-3</v>
      </c>
      <c r="H112" s="149">
        <f t="shared" si="54"/>
        <v>-6.3608659938439111E-3</v>
      </c>
      <c r="I112" s="137">
        <f t="shared" si="54"/>
        <v>-1.0126641498648465E-2</v>
      </c>
      <c r="R112" s="361"/>
      <c r="S112" s="359"/>
    </row>
    <row r="113" spans="1:18" ht="14.25" thickBot="1">
      <c r="R113" s="359"/>
    </row>
    <row r="114" spans="1:18" ht="15.75" thickBot="1">
      <c r="A114" s="359"/>
      <c r="B114" s="364" t="s">
        <v>271</v>
      </c>
      <c r="C114" s="365"/>
      <c r="D114" s="365"/>
      <c r="E114" s="365"/>
      <c r="F114" s="365"/>
      <c r="G114" s="365"/>
      <c r="H114" s="366"/>
      <c r="I114" s="147"/>
      <c r="J114" s="147"/>
      <c r="K114" s="147"/>
    </row>
    <row r="115" spans="1:18" ht="14.25" thickBot="1">
      <c r="A115"/>
      <c r="B115" s="430" t="s">
        <v>255</v>
      </c>
      <c r="C115" s="430" t="s">
        <v>256</v>
      </c>
      <c r="D115" s="430" t="s">
        <v>303</v>
      </c>
      <c r="E115" s="430" t="s">
        <v>311</v>
      </c>
      <c r="F115" s="430" t="s">
        <v>312</v>
      </c>
      <c r="G115" s="430" t="s">
        <v>313</v>
      </c>
      <c r="H115" s="430" t="s">
        <v>314</v>
      </c>
      <c r="I115" s="33"/>
      <c r="J115" s="33"/>
      <c r="K115" s="147"/>
    </row>
    <row r="116" spans="1:18" ht="14.25" thickBot="1">
      <c r="A116"/>
      <c r="B116" s="431"/>
      <c r="C116" s="431"/>
      <c r="D116" s="431"/>
      <c r="E116" s="431"/>
      <c r="F116" s="431"/>
      <c r="G116" s="431"/>
      <c r="H116" s="431"/>
      <c r="I116" s="33"/>
      <c r="J116" s="33"/>
      <c r="K116" s="147"/>
    </row>
    <row r="117" spans="1:18">
      <c r="A117"/>
      <c r="B117" s="156">
        <v>0</v>
      </c>
      <c r="C117" s="186">
        <f t="shared" ref="C117:C129" si="55">LN(I82)</f>
        <v>0</v>
      </c>
      <c r="D117" s="277">
        <f>SLOPE(C117:C129,$B$117:$B$129)</f>
        <v>-1.1755973417869136E-2</v>
      </c>
      <c r="E117" s="186">
        <f t="shared" ref="E117:E129" si="56">LN(G82)</f>
        <v>0</v>
      </c>
      <c r="F117" s="277">
        <f>SLOPE(E117:E129,$B$117:$B$129)</f>
        <v>2.1745615244362017E-3</v>
      </c>
      <c r="G117" s="363">
        <f t="shared" ref="G117:G129" si="57">LN(H82)</f>
        <v>0</v>
      </c>
      <c r="H117" s="367">
        <f>SLOPE(G117:G129,$B$117:$B$129)</f>
        <v>-9.581411893432935E-3</v>
      </c>
      <c r="I117"/>
      <c r="J117"/>
    </row>
    <row r="118" spans="1:18">
      <c r="A118"/>
      <c r="B118" s="156">
        <f t="shared" ref="B118:B129" si="58">B117+1</f>
        <v>1</v>
      </c>
      <c r="C118" s="186">
        <f t="shared" si="55"/>
        <v>7.1069017707103652E-2</v>
      </c>
      <c r="D118" s="147"/>
      <c r="E118" s="186">
        <f t="shared" si="56"/>
        <v>2.6912989792713116E-2</v>
      </c>
      <c r="F118" s="147"/>
      <c r="G118" s="186">
        <f t="shared" si="57"/>
        <v>9.798200749981674E-2</v>
      </c>
      <c r="H118" s="278"/>
      <c r="I118"/>
      <c r="J118"/>
    </row>
    <row r="119" spans="1:18">
      <c r="A119"/>
      <c r="B119" s="156">
        <f t="shared" si="58"/>
        <v>2</v>
      </c>
      <c r="C119" s="186">
        <f t="shared" si="55"/>
        <v>2.7537945725996136E-2</v>
      </c>
      <c r="D119" s="147"/>
      <c r="E119" s="186">
        <f t="shared" si="56"/>
        <v>3.3546269789467162E-2</v>
      </c>
      <c r="F119" s="147"/>
      <c r="G119" s="186">
        <f t="shared" si="57"/>
        <v>6.1084215515463322E-2</v>
      </c>
      <c r="H119" s="278"/>
      <c r="I119"/>
      <c r="J119"/>
    </row>
    <row r="120" spans="1:18">
      <c r="B120" s="156">
        <f t="shared" si="58"/>
        <v>3</v>
      </c>
      <c r="C120" s="186">
        <f t="shared" si="55"/>
        <v>4.3306417285864082E-2</v>
      </c>
      <c r="D120" s="147"/>
      <c r="E120" s="186">
        <f t="shared" si="56"/>
        <v>3.4221185636943395E-2</v>
      </c>
      <c r="F120" s="147"/>
      <c r="G120" s="186">
        <f t="shared" si="57"/>
        <v>7.7527602922807387E-2</v>
      </c>
      <c r="H120" s="278"/>
    </row>
    <row r="121" spans="1:18">
      <c r="B121" s="156">
        <f t="shared" si="58"/>
        <v>4</v>
      </c>
      <c r="C121" s="186">
        <f t="shared" si="55"/>
        <v>5.5009969876855566E-2</v>
      </c>
      <c r="D121" s="147"/>
      <c r="E121" s="186">
        <f t="shared" si="56"/>
        <v>4.0408858126913222E-2</v>
      </c>
      <c r="F121" s="147"/>
      <c r="G121" s="186">
        <f t="shared" si="57"/>
        <v>9.5418828003768705E-2</v>
      </c>
      <c r="H121" s="278"/>
    </row>
    <row r="122" spans="1:18">
      <c r="B122" s="156">
        <f t="shared" si="58"/>
        <v>5</v>
      </c>
      <c r="C122" s="186">
        <f t="shared" si="55"/>
        <v>-0.11478490180664128</v>
      </c>
      <c r="D122" s="147"/>
      <c r="E122" s="186">
        <f t="shared" si="56"/>
        <v>3.0438881838542587E-2</v>
      </c>
      <c r="F122" s="147"/>
      <c r="G122" s="186">
        <f t="shared" si="57"/>
        <v>-8.4346019968098748E-2</v>
      </c>
      <c r="H122" s="278"/>
    </row>
    <row r="123" spans="1:18">
      <c r="B123" s="156">
        <f t="shared" si="58"/>
        <v>6</v>
      </c>
      <c r="C123" s="186">
        <f t="shared" si="55"/>
        <v>-8.0746697543664078E-2</v>
      </c>
      <c r="D123" s="147"/>
      <c r="E123" s="186">
        <f t="shared" si="56"/>
        <v>4.823501351888089E-2</v>
      </c>
      <c r="F123" s="147"/>
      <c r="G123" s="186">
        <f t="shared" si="57"/>
        <v>-3.2511684024783161E-2</v>
      </c>
      <c r="H123" s="278"/>
    </row>
    <row r="124" spans="1:18">
      <c r="B124" s="156">
        <f t="shared" si="58"/>
        <v>7</v>
      </c>
      <c r="C124" s="186">
        <f t="shared" si="55"/>
        <v>1.5325721862794192E-2</v>
      </c>
      <c r="D124" s="147"/>
      <c r="E124" s="186">
        <f t="shared" si="56"/>
        <v>4.614563699279664E-2</v>
      </c>
      <c r="F124" s="147"/>
      <c r="G124" s="186">
        <f t="shared" si="57"/>
        <v>6.1471358855590894E-2</v>
      </c>
      <c r="H124" s="278"/>
    </row>
    <row r="125" spans="1:18">
      <c r="B125" s="156">
        <f t="shared" si="58"/>
        <v>8</v>
      </c>
      <c r="C125" s="186">
        <f t="shared" si="55"/>
        <v>-4.3159875393983312E-2</v>
      </c>
      <c r="D125" s="147"/>
      <c r="E125" s="186">
        <f t="shared" si="56"/>
        <v>5.8102852230275698E-2</v>
      </c>
      <c r="F125" s="147"/>
      <c r="G125" s="186">
        <f t="shared" si="57"/>
        <v>1.4942976836292438E-2</v>
      </c>
      <c r="H125" s="278"/>
    </row>
    <row r="126" spans="1:18">
      <c r="B126" s="156">
        <f t="shared" si="58"/>
        <v>9</v>
      </c>
      <c r="C126" s="186">
        <f t="shared" si="55"/>
        <v>3.6514123436758243E-2</v>
      </c>
      <c r="D126" s="147"/>
      <c r="E126" s="186">
        <f t="shared" si="56"/>
        <v>3.5373771536890787E-2</v>
      </c>
      <c r="F126" s="147"/>
      <c r="G126" s="186">
        <f t="shared" si="57"/>
        <v>7.1887894973648933E-2</v>
      </c>
      <c r="H126" s="278"/>
    </row>
    <row r="127" spans="1:18">
      <c r="B127" s="156">
        <f t="shared" si="58"/>
        <v>10</v>
      </c>
      <c r="C127" s="186">
        <f t="shared" si="55"/>
        <v>-0.10770469368358392</v>
      </c>
      <c r="D127" s="147"/>
      <c r="E127" s="186">
        <f t="shared" si="56"/>
        <v>3.578439816632413E-2</v>
      </c>
      <c r="F127" s="147"/>
      <c r="G127" s="186">
        <f t="shared" si="57"/>
        <v>-7.1920295517259814E-2</v>
      </c>
      <c r="H127" s="278"/>
    </row>
    <row r="128" spans="1:18">
      <c r="B128" s="156">
        <f t="shared" si="58"/>
        <v>11</v>
      </c>
      <c r="C128" s="186">
        <f t="shared" si="55"/>
        <v>-8.5509475911219046E-2</v>
      </c>
      <c r="D128" s="147"/>
      <c r="E128" s="186">
        <f t="shared" si="56"/>
        <v>3.9138859099355452E-2</v>
      </c>
      <c r="F128" s="147"/>
      <c r="G128" s="186">
        <f t="shared" si="57"/>
        <v>-4.6370616811863594E-2</v>
      </c>
      <c r="H128" s="278"/>
    </row>
    <row r="129" spans="2:8" ht="14.25" thickBot="1">
      <c r="B129" s="399">
        <f t="shared" si="58"/>
        <v>12</v>
      </c>
      <c r="C129" s="400">
        <f t="shared" si="55"/>
        <v>-0.12151969798378155</v>
      </c>
      <c r="D129" s="172"/>
      <c r="E129" s="400">
        <f t="shared" si="56"/>
        <v>4.5189306057654657E-2</v>
      </c>
      <c r="F129" s="172"/>
      <c r="G129" s="400">
        <f t="shared" si="57"/>
        <v>-7.6330391926126881E-2</v>
      </c>
      <c r="H129" s="173"/>
    </row>
    <row r="130" spans="2:8">
      <c r="B130" s="147"/>
      <c r="C130" s="147"/>
      <c r="D130" s="147"/>
      <c r="E130" s="147"/>
      <c r="F130" s="147"/>
      <c r="G130" s="158"/>
      <c r="H130" s="157"/>
    </row>
    <row r="131" spans="2:8">
      <c r="B131" s="147"/>
      <c r="C131" s="147"/>
      <c r="D131" s="147"/>
      <c r="E131" s="147"/>
      <c r="F131" s="147"/>
      <c r="G131" s="147"/>
      <c r="H131" s="147"/>
    </row>
    <row r="132" spans="2:8">
      <c r="B132" s="147"/>
      <c r="C132" s="147"/>
      <c r="D132" s="147"/>
      <c r="E132" s="147"/>
      <c r="F132" s="147"/>
      <c r="G132" s="147"/>
      <c r="H132" s="147"/>
    </row>
    <row r="133" spans="2:8">
      <c r="B133" s="147"/>
      <c r="C133" s="147"/>
      <c r="D133" s="147"/>
      <c r="E133" s="147"/>
      <c r="F133" s="147"/>
      <c r="G133" s="147"/>
      <c r="H133" s="147"/>
    </row>
  </sheetData>
  <dataConsolidate/>
  <mergeCells count="7">
    <mergeCell ref="G115:G116"/>
    <mergeCell ref="H115:H116"/>
    <mergeCell ref="B115:B116"/>
    <mergeCell ref="C115:C116"/>
    <mergeCell ref="D115:D116"/>
    <mergeCell ref="E115:E116"/>
    <mergeCell ref="F115:F116"/>
  </mergeCells>
  <pageMargins left="0.7" right="0.7" top="0.75" bottom="0.75" header="0.3" footer="0.3"/>
  <pageSetup scale="83" orientation="landscape" r:id="rId1"/>
  <headerFooter>
    <oddHeader>&amp;CFiled: 2016-10-26, EB-2016-0152
Exhibit L, Tab 11.1 Schedule 1 Staff-246</oddHeader>
  </headerFooter>
  <rowBreaks count="2" manualBreakCount="2">
    <brk id="39" max="10" man="1"/>
    <brk id="94" max="10" man="1"/>
  </rowBreaks>
  <colBreaks count="1" manualBreakCount="1">
    <brk id="11" max="113"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'OPG hydro peers'!$D$4:$D$23</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H238"/>
  <sheetViews>
    <sheetView showGridLines="0" zoomScale="85" zoomScaleNormal="85" zoomScaleSheetLayoutView="100" workbookViewId="0">
      <pane xSplit="5" ySplit="4" topLeftCell="F185" activePane="bottomRight" state="frozen"/>
      <selection activeCell="I31" sqref="I31"/>
      <selection pane="topRight" activeCell="I31" sqref="I31"/>
      <selection pane="bottomLeft" activeCell="I31" sqref="I31"/>
      <selection pane="bottomRight" activeCell="I31" sqref="I31"/>
    </sheetView>
  </sheetViews>
  <sheetFormatPr defaultRowHeight="13.5"/>
  <cols>
    <col min="1" max="1" width="2.85546875" customWidth="1"/>
    <col min="2" max="2" width="8.28515625" style="2" bestFit="1" customWidth="1"/>
    <col min="3" max="3" width="7.28515625" style="2" bestFit="1" customWidth="1"/>
    <col min="4" max="4" width="20.42578125" style="2" bestFit="1" customWidth="1"/>
    <col min="5" max="5" width="5" style="14" bestFit="1" customWidth="1"/>
    <col min="6" max="6" width="8" style="2" bestFit="1" customWidth="1"/>
    <col min="7" max="7" width="14.140625" style="2" bestFit="1" customWidth="1"/>
    <col min="8" max="8" width="14.7109375" style="2" bestFit="1" customWidth="1"/>
    <col min="9" max="9" width="18.5703125" style="2" bestFit="1" customWidth="1"/>
    <col min="10" max="10" width="12.140625" style="2" bestFit="1" customWidth="1"/>
    <col min="11" max="11" width="19" style="2" bestFit="1" customWidth="1"/>
    <col min="12" max="12" width="20" style="2" bestFit="1" customWidth="1"/>
    <col min="13" max="13" width="15.85546875" style="2" customWidth="1"/>
    <col min="14" max="14" width="12.42578125" style="3" customWidth="1"/>
    <col min="15" max="15" width="12" style="2" customWidth="1"/>
    <col min="16" max="16" width="12.5703125" style="2" customWidth="1"/>
    <col min="17" max="17" width="12.85546875" style="2" customWidth="1"/>
    <col min="18" max="18" width="19.7109375" style="2" customWidth="1"/>
    <col min="19" max="20" width="23.5703125" style="2" customWidth="1"/>
    <col min="21" max="21" width="14.28515625" bestFit="1" customWidth="1"/>
    <col min="22" max="23" width="10.5703125" bestFit="1" customWidth="1"/>
    <col min="24" max="24" width="9.140625" style="15"/>
  </cols>
  <sheetData>
    <row r="1" spans="2:60">
      <c r="K1" s="416">
        <f>AVERAGE(K5:K17)</f>
        <v>0.22554587611543522</v>
      </c>
      <c r="L1" s="416">
        <f>'EUCG L share'!E34</f>
        <v>0.62709408102958719</v>
      </c>
      <c r="M1" s="415"/>
      <c r="N1" s="2"/>
    </row>
    <row r="2" spans="2:60">
      <c r="B2" s="80"/>
      <c r="C2" s="80"/>
      <c r="D2" s="80"/>
      <c r="E2" s="81"/>
      <c r="F2" s="80" t="s">
        <v>1</v>
      </c>
      <c r="G2" s="80"/>
      <c r="H2" s="80" t="s">
        <v>1</v>
      </c>
      <c r="I2" s="80" t="s">
        <v>1</v>
      </c>
      <c r="J2" s="80" t="s">
        <v>1</v>
      </c>
      <c r="K2" s="80"/>
      <c r="L2" s="80"/>
      <c r="M2" s="80" t="s">
        <v>2</v>
      </c>
      <c r="N2" s="80" t="s">
        <v>3</v>
      </c>
      <c r="O2" s="80" t="s">
        <v>3</v>
      </c>
      <c r="P2" s="80" t="s">
        <v>3</v>
      </c>
      <c r="Q2" s="80" t="s">
        <v>3</v>
      </c>
      <c r="R2" s="80" t="s">
        <v>3</v>
      </c>
      <c r="S2" s="80" t="s">
        <v>3</v>
      </c>
      <c r="T2" s="80" t="s">
        <v>167</v>
      </c>
    </row>
    <row r="3" spans="2:60">
      <c r="B3" s="80"/>
      <c r="C3" s="80"/>
      <c r="D3" s="80"/>
      <c r="E3" s="81"/>
      <c r="F3" s="80" t="s">
        <v>18</v>
      </c>
      <c r="G3" s="80" t="s">
        <v>20</v>
      </c>
      <c r="H3" s="80" t="s">
        <v>19</v>
      </c>
      <c r="I3" s="80" t="s">
        <v>19</v>
      </c>
      <c r="J3" s="80" t="s">
        <v>19</v>
      </c>
      <c r="K3" s="80" t="s">
        <v>20</v>
      </c>
      <c r="L3" s="80" t="s">
        <v>20</v>
      </c>
      <c r="M3" s="80" t="s">
        <v>21</v>
      </c>
      <c r="N3" s="80" t="s">
        <v>19</v>
      </c>
      <c r="O3" s="80" t="s">
        <v>19</v>
      </c>
      <c r="P3" s="80" t="s">
        <v>20</v>
      </c>
      <c r="Q3" s="80" t="s">
        <v>20</v>
      </c>
      <c r="R3" s="80" t="s">
        <v>20</v>
      </c>
      <c r="S3" s="80" t="s">
        <v>20</v>
      </c>
      <c r="T3" s="80" t="s">
        <v>168</v>
      </c>
    </row>
    <row r="4" spans="2:60" ht="15">
      <c r="B4" s="68" t="s">
        <v>93</v>
      </c>
      <c r="C4" s="68" t="s">
        <v>22</v>
      </c>
      <c r="D4" s="68" t="s">
        <v>23</v>
      </c>
      <c r="E4" s="82" t="s">
        <v>4</v>
      </c>
      <c r="F4" s="83" t="s">
        <v>24</v>
      </c>
      <c r="G4" s="83" t="s">
        <v>165</v>
      </c>
      <c r="H4" s="68" t="s">
        <v>161</v>
      </c>
      <c r="I4" s="68" t="s">
        <v>160</v>
      </c>
      <c r="J4" s="68" t="s">
        <v>159</v>
      </c>
      <c r="K4" s="68" t="s">
        <v>212</v>
      </c>
      <c r="L4" s="16" t="s">
        <v>25</v>
      </c>
      <c r="M4" s="68" t="s">
        <v>26</v>
      </c>
      <c r="N4" s="68" t="s">
        <v>27</v>
      </c>
      <c r="O4" s="68" t="s">
        <v>28</v>
      </c>
      <c r="P4" s="16" t="s">
        <v>29</v>
      </c>
      <c r="Q4" s="16" t="s">
        <v>162</v>
      </c>
      <c r="R4" s="16" t="s">
        <v>163</v>
      </c>
      <c r="S4" s="16" t="s">
        <v>164</v>
      </c>
      <c r="T4" s="16" t="s">
        <v>166</v>
      </c>
    </row>
    <row r="5" spans="2:60">
      <c r="B5" s="2">
        <f>'OPG hydro peers'!B4</f>
        <v>1</v>
      </c>
      <c r="C5" s="2">
        <v>0</v>
      </c>
      <c r="D5" s="2" t="s">
        <v>31</v>
      </c>
      <c r="E5" s="14">
        <v>2002</v>
      </c>
      <c r="F5" s="408">
        <v>6898.5099999999984</v>
      </c>
      <c r="G5" s="17">
        <f t="shared" ref="G5:G17" si="0">M5/(F5*8760)</f>
        <v>0.56225759067858816</v>
      </c>
      <c r="H5" s="409">
        <v>78723.459999999992</v>
      </c>
      <c r="I5" s="409">
        <v>39165.660000000003</v>
      </c>
      <c r="J5" s="3">
        <f t="shared" ref="J5:J17" si="1">SUM($H5:$I5)</f>
        <v>117889.12</v>
      </c>
      <c r="K5" s="17">
        <f>J5/$J$213</f>
        <v>0.22785108411987368</v>
      </c>
      <c r="L5" s="17">
        <f t="shared" ref="L5:L17" si="2">H5/J5</f>
        <v>0.66777544865887539</v>
      </c>
      <c r="M5" s="408">
        <v>33977759</v>
      </c>
      <c r="N5" s="408">
        <v>2126289.7744959998</v>
      </c>
      <c r="O5" s="3">
        <f t="shared" ref="O5:O15" si="3">N5-J5</f>
        <v>2008400.6544959997</v>
      </c>
      <c r="P5" s="17">
        <f>O5/N5</f>
        <v>0.94455641869041873</v>
      </c>
      <c r="Q5" s="17">
        <f>1-P5</f>
        <v>5.5443581309581269E-2</v>
      </c>
      <c r="R5" s="108">
        <f t="shared" ref="R5:R15" si="4">Q5*L5</f>
        <v>3.7023862384260468E-2</v>
      </c>
      <c r="S5" s="108">
        <f>Q5-R5</f>
        <v>1.8419718925320801E-2</v>
      </c>
      <c r="T5" s="135">
        <f>'Can O&amp;M price indexes'!N15</f>
        <v>1</v>
      </c>
      <c r="X5" s="239"/>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row>
    <row r="6" spans="2:60">
      <c r="B6" s="2">
        <f t="shared" ref="B6:B17" si="5">B5</f>
        <v>1</v>
      </c>
      <c r="C6" s="2">
        <f t="shared" ref="C6:C17" si="6">C5</f>
        <v>0</v>
      </c>
      <c r="D6" s="2" t="s">
        <v>31</v>
      </c>
      <c r="E6" s="14">
        <v>2003</v>
      </c>
      <c r="F6" s="408">
        <v>6926.0099999999984</v>
      </c>
      <c r="G6" s="17">
        <f t="shared" si="0"/>
        <v>0.54725193501442027</v>
      </c>
      <c r="H6" s="409">
        <v>84147.322400000005</v>
      </c>
      <c r="I6" s="409">
        <v>46554.921589999998</v>
      </c>
      <c r="J6" s="3">
        <f t="shared" si="1"/>
        <v>130702.24399</v>
      </c>
      <c r="K6" s="17">
        <f>J6/$J$214</f>
        <v>0.23304621269884321</v>
      </c>
      <c r="L6" s="17">
        <f t="shared" si="2"/>
        <v>0.64380931674316244</v>
      </c>
      <c r="M6" s="408">
        <v>33202786</v>
      </c>
      <c r="N6" s="408">
        <v>2068079.04862</v>
      </c>
      <c r="O6" s="3">
        <f t="shared" si="3"/>
        <v>1937376.8046299999</v>
      </c>
      <c r="P6" s="17">
        <f t="shared" ref="P6:P15" si="7">O6/N6</f>
        <v>0.93680017014958117</v>
      </c>
      <c r="Q6" s="17">
        <f t="shared" ref="Q6:Q15" si="8">1-P6</f>
        <v>6.3199829850418832E-2</v>
      </c>
      <c r="R6" s="108">
        <f t="shared" si="4"/>
        <v>4.0688639274282269E-2</v>
      </c>
      <c r="S6" s="108">
        <f t="shared" ref="S6:S15" si="9">Q6-R6</f>
        <v>2.2511190576136562E-2</v>
      </c>
      <c r="T6" s="135">
        <f>'Can O&amp;M price indexes'!N16</f>
        <v>1.0216477671655084</v>
      </c>
      <c r="X6" s="239"/>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row>
    <row r="7" spans="2:60">
      <c r="B7" s="2">
        <f t="shared" si="5"/>
        <v>1</v>
      </c>
      <c r="C7" s="2">
        <f t="shared" si="6"/>
        <v>0</v>
      </c>
      <c r="D7" s="2" t="s">
        <v>31</v>
      </c>
      <c r="E7" s="14">
        <v>2004</v>
      </c>
      <c r="F7" s="408">
        <v>6958.0099999999984</v>
      </c>
      <c r="G7" s="17">
        <f t="shared" si="0"/>
        <v>0.57998385278097986</v>
      </c>
      <c r="H7" s="409">
        <v>88414.01066</v>
      </c>
      <c r="I7" s="409">
        <v>43797.113089999999</v>
      </c>
      <c r="J7" s="3">
        <f t="shared" si="1"/>
        <v>132211.12375</v>
      </c>
      <c r="K7" s="17">
        <f>J7/$J$215</f>
        <v>0.22010150276544066</v>
      </c>
      <c r="L7" s="17">
        <f t="shared" si="2"/>
        <v>0.66873352371759109</v>
      </c>
      <c r="M7" s="408">
        <v>35351273</v>
      </c>
      <c r="N7" s="408">
        <v>1851547.2550300001</v>
      </c>
      <c r="O7" s="3">
        <f t="shared" si="3"/>
        <v>1719336.1312800001</v>
      </c>
      <c r="P7" s="17">
        <f t="shared" si="7"/>
        <v>0.92859424819386649</v>
      </c>
      <c r="Q7" s="17">
        <f t="shared" si="8"/>
        <v>7.1405751806133511E-2</v>
      </c>
      <c r="R7" s="108">
        <f t="shared" si="4"/>
        <v>4.7751420019019407E-2</v>
      </c>
      <c r="S7" s="108">
        <f t="shared" si="9"/>
        <v>2.3654331787114104E-2</v>
      </c>
      <c r="T7" s="135">
        <f>'Can O&amp;M price indexes'!N17</f>
        <v>1.046469360323721</v>
      </c>
      <c r="X7" s="239"/>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row>
    <row r="8" spans="2:60">
      <c r="B8" s="2">
        <f t="shared" si="5"/>
        <v>1</v>
      </c>
      <c r="C8" s="2">
        <f t="shared" si="6"/>
        <v>0</v>
      </c>
      <c r="D8" s="2" t="s">
        <v>31</v>
      </c>
      <c r="E8" s="14">
        <v>2005</v>
      </c>
      <c r="F8" s="408">
        <v>6923.6099999999988</v>
      </c>
      <c r="G8" s="17">
        <f t="shared" si="0"/>
        <v>0.55212964989316327</v>
      </c>
      <c r="H8" s="409">
        <v>91482.578680000006</v>
      </c>
      <c r="I8" s="409">
        <v>50905.888859999999</v>
      </c>
      <c r="J8" s="3">
        <f t="shared" si="1"/>
        <v>142388.46754000001</v>
      </c>
      <c r="K8" s="17">
        <f>J8/$J$216</f>
        <v>0.22793721029367725</v>
      </c>
      <c r="L8" s="17">
        <f t="shared" si="2"/>
        <v>0.64248587164757964</v>
      </c>
      <c r="M8" s="408">
        <v>33487118</v>
      </c>
      <c r="N8" s="408">
        <v>1837930.4661700001</v>
      </c>
      <c r="O8" s="3">
        <f t="shared" si="3"/>
        <v>1695541.99863</v>
      </c>
      <c r="P8" s="17">
        <f t="shared" si="7"/>
        <v>0.92252782672637312</v>
      </c>
      <c r="Q8" s="17">
        <f t="shared" si="8"/>
        <v>7.7472173273626876E-2</v>
      </c>
      <c r="R8" s="108">
        <f t="shared" si="4"/>
        <v>4.9774776774138489E-2</v>
      </c>
      <c r="S8" s="108">
        <f t="shared" si="9"/>
        <v>2.7697396499488387E-2</v>
      </c>
      <c r="T8" s="135">
        <f>'Can O&amp;M price indexes'!N18</f>
        <v>1.0786967724726459</v>
      </c>
      <c r="X8" s="239"/>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row>
    <row r="9" spans="2:60">
      <c r="B9" s="2">
        <f t="shared" si="5"/>
        <v>1</v>
      </c>
      <c r="C9" s="2">
        <f t="shared" si="6"/>
        <v>0</v>
      </c>
      <c r="D9" s="2" t="s">
        <v>31</v>
      </c>
      <c r="E9" s="14">
        <v>2006</v>
      </c>
      <c r="F9" s="408">
        <v>6971.0099999999984</v>
      </c>
      <c r="G9" s="17">
        <f t="shared" si="0"/>
        <v>0.56216887041498997</v>
      </c>
      <c r="H9" s="409">
        <v>100681.86233</v>
      </c>
      <c r="I9" s="409">
        <v>55924.058429999997</v>
      </c>
      <c r="J9" s="3">
        <f t="shared" si="1"/>
        <v>156605.92076000001</v>
      </c>
      <c r="K9" s="17">
        <f>J9/$J$217</f>
        <v>0.23569870842290067</v>
      </c>
      <c r="L9" s="17">
        <f t="shared" si="2"/>
        <v>0.64289946281338795</v>
      </c>
      <c r="M9" s="408">
        <v>34329431</v>
      </c>
      <c r="N9" s="408">
        <v>1408919.80602</v>
      </c>
      <c r="O9" s="3">
        <f t="shared" si="3"/>
        <v>1252313.8852599999</v>
      </c>
      <c r="P9" s="17">
        <f t="shared" si="7"/>
        <v>0.88884681719225045</v>
      </c>
      <c r="Q9" s="17">
        <f t="shared" si="8"/>
        <v>0.11115318280774955</v>
      </c>
      <c r="R9" s="108">
        <f t="shared" si="4"/>
        <v>7.1460321517100495E-2</v>
      </c>
      <c r="S9" s="108">
        <f t="shared" si="9"/>
        <v>3.9692861290649056E-2</v>
      </c>
      <c r="T9" s="135">
        <f>'Can O&amp;M price indexes'!N19</f>
        <v>1.099250227385117</v>
      </c>
      <c r="X9" s="239"/>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row>
    <row r="10" spans="2:60">
      <c r="B10" s="2">
        <f t="shared" si="5"/>
        <v>1</v>
      </c>
      <c r="C10" s="2">
        <f t="shared" si="6"/>
        <v>0</v>
      </c>
      <c r="D10" s="2" t="s">
        <v>31</v>
      </c>
      <c r="E10" s="14">
        <v>2007</v>
      </c>
      <c r="F10" s="408">
        <v>6970.8099999999986</v>
      </c>
      <c r="G10" s="17">
        <f t="shared" si="0"/>
        <v>0.54019648758545591</v>
      </c>
      <c r="H10" s="409">
        <v>106219.52222</v>
      </c>
      <c r="I10" s="409">
        <v>58734.58023</v>
      </c>
      <c r="J10" s="3">
        <f t="shared" si="1"/>
        <v>164954.10245000001</v>
      </c>
      <c r="K10" s="17">
        <f>J10/$J$218</f>
        <v>0.22869865785028543</v>
      </c>
      <c r="L10" s="17">
        <f t="shared" si="2"/>
        <v>0.64393380123538724</v>
      </c>
      <c r="M10" s="408">
        <v>32986718</v>
      </c>
      <c r="N10" s="408">
        <v>1378521.0506000002</v>
      </c>
      <c r="O10" s="3">
        <f t="shared" si="3"/>
        <v>1213566.9481500001</v>
      </c>
      <c r="P10" s="17">
        <f t="shared" si="7"/>
        <v>0.88033980157342973</v>
      </c>
      <c r="Q10" s="17">
        <f t="shared" si="8"/>
        <v>0.11966019842657027</v>
      </c>
      <c r="R10" s="108">
        <f t="shared" si="4"/>
        <v>7.7053246429402103E-2</v>
      </c>
      <c r="S10" s="108">
        <f t="shared" si="9"/>
        <v>4.2606951997168171E-2</v>
      </c>
      <c r="T10" s="135">
        <f>'Can O&amp;M price indexes'!N20</f>
        <v>1.1354504219317154</v>
      </c>
      <c r="X10" s="239"/>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row>
    <row r="11" spans="2:60">
      <c r="B11" s="2">
        <f t="shared" si="5"/>
        <v>1</v>
      </c>
      <c r="C11" s="2">
        <f t="shared" si="6"/>
        <v>0</v>
      </c>
      <c r="D11" s="2" t="s">
        <v>31</v>
      </c>
      <c r="E11" s="14">
        <v>2008</v>
      </c>
      <c r="F11" s="408">
        <f>7030.41-11.75-10.8-5.2-3.5</f>
        <v>6999.16</v>
      </c>
      <c r="G11" s="17">
        <f t="shared" si="0"/>
        <v>0.61036884276080505</v>
      </c>
      <c r="H11" s="409">
        <v>110503.06468000001</v>
      </c>
      <c r="I11" s="409">
        <v>75236.367070000008</v>
      </c>
      <c r="J11" s="3">
        <f t="shared" si="1"/>
        <v>185739.43175000002</v>
      </c>
      <c r="K11" s="17">
        <f>J11/$J$219</f>
        <v>0.23762543984604442</v>
      </c>
      <c r="L11" s="17">
        <f t="shared" si="2"/>
        <v>0.594935946766188</v>
      </c>
      <c r="M11" s="408">
        <v>37423326.099999994</v>
      </c>
      <c r="N11" s="408">
        <v>1615588.8934800001</v>
      </c>
      <c r="O11" s="3">
        <f t="shared" si="3"/>
        <v>1429849.4617300001</v>
      </c>
      <c r="P11" s="17">
        <f t="shared" si="7"/>
        <v>0.88503298549551501</v>
      </c>
      <c r="Q11" s="17">
        <f t="shared" si="8"/>
        <v>0.11496701450448499</v>
      </c>
      <c r="R11" s="108">
        <f t="shared" si="4"/>
        <v>6.8398009621107841E-2</v>
      </c>
      <c r="S11" s="108">
        <f t="shared" si="9"/>
        <v>4.6569004883377146E-2</v>
      </c>
      <c r="T11" s="135">
        <f>'Can O&amp;M price indexes'!N21</f>
        <v>1.1628231376944895</v>
      </c>
      <c r="X11" s="239"/>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row>
    <row r="12" spans="2:60">
      <c r="B12" s="2">
        <f t="shared" si="5"/>
        <v>1</v>
      </c>
      <c r="C12" s="2">
        <f t="shared" si="6"/>
        <v>0</v>
      </c>
      <c r="D12" s="2" t="s">
        <v>31</v>
      </c>
      <c r="E12" s="14">
        <v>2009</v>
      </c>
      <c r="F12" s="408">
        <f>6919.623-10.8-3.6</f>
        <v>6905.222999999999</v>
      </c>
      <c r="G12" s="17">
        <f t="shared" si="0"/>
        <v>0.60015051329318148</v>
      </c>
      <c r="H12" s="409">
        <v>114132.30885</v>
      </c>
      <c r="I12" s="409">
        <v>70964.519109999994</v>
      </c>
      <c r="J12" s="3">
        <f t="shared" si="1"/>
        <v>185096.82796</v>
      </c>
      <c r="K12" s="17">
        <f>J12/$J$220</f>
        <v>0.23676533742475953</v>
      </c>
      <c r="L12" s="17">
        <f t="shared" si="2"/>
        <v>0.61660866967782046</v>
      </c>
      <c r="M12" s="408">
        <v>36302956.600000001</v>
      </c>
      <c r="N12" s="408">
        <v>1335251.2364000001</v>
      </c>
      <c r="O12" s="3">
        <f t="shared" si="3"/>
        <v>1150154.4084400001</v>
      </c>
      <c r="P12" s="17">
        <f t="shared" si="7"/>
        <v>0.86137677845628247</v>
      </c>
      <c r="Q12" s="17">
        <f t="shared" si="8"/>
        <v>0.13862322154371753</v>
      </c>
      <c r="R12" s="108">
        <f t="shared" si="4"/>
        <v>8.5476280222525444E-2</v>
      </c>
      <c r="S12" s="108">
        <f t="shared" si="9"/>
        <v>5.314694132119209E-2</v>
      </c>
      <c r="T12" s="135">
        <f>'Can O&amp;M price indexes'!N22</f>
        <v>1.177420350781766</v>
      </c>
      <c r="X12" s="239"/>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row>
    <row r="13" spans="2:60">
      <c r="B13" s="2">
        <f t="shared" si="5"/>
        <v>1</v>
      </c>
      <c r="C13" s="2">
        <f t="shared" si="6"/>
        <v>0</v>
      </c>
      <c r="D13" s="2" t="s">
        <v>31</v>
      </c>
      <c r="E13" s="14">
        <v>2010</v>
      </c>
      <c r="F13" s="408">
        <v>6905.5699999999988</v>
      </c>
      <c r="G13" s="17">
        <f t="shared" si="0"/>
        <v>0.50532066189993696</v>
      </c>
      <c r="H13" s="409">
        <v>107411.93009929522</v>
      </c>
      <c r="I13" s="409">
        <v>77281.183353160057</v>
      </c>
      <c r="J13" s="3">
        <f t="shared" si="1"/>
        <v>184693.11345245526</v>
      </c>
      <c r="K13" s="17">
        <f>J13/$J$221</f>
        <v>0.21977972051385733</v>
      </c>
      <c r="L13" s="17">
        <f t="shared" si="2"/>
        <v>0.58156976235578917</v>
      </c>
      <c r="M13" s="408">
        <v>30568258.300000001</v>
      </c>
      <c r="N13" s="408">
        <v>1125925.9085899999</v>
      </c>
      <c r="O13" s="3">
        <f t="shared" si="3"/>
        <v>941232.79513754463</v>
      </c>
      <c r="P13" s="17">
        <f t="shared" si="7"/>
        <v>0.83596335065799587</v>
      </c>
      <c r="Q13" s="17">
        <f t="shared" si="8"/>
        <v>0.16403664934200413</v>
      </c>
      <c r="R13" s="108">
        <f t="shared" si="4"/>
        <v>9.5398755175469252E-2</v>
      </c>
      <c r="S13" s="108">
        <f t="shared" si="9"/>
        <v>6.8637894166534874E-2</v>
      </c>
      <c r="T13" s="135">
        <f>'Can O&amp;M price indexes'!N23</f>
        <v>1.2104167536102524</v>
      </c>
      <c r="X13" s="239"/>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row>
    <row r="14" spans="2:60">
      <c r="B14" s="2">
        <f t="shared" si="5"/>
        <v>1</v>
      </c>
      <c r="C14" s="2">
        <f t="shared" si="6"/>
        <v>0</v>
      </c>
      <c r="D14" s="2" t="s">
        <v>31</v>
      </c>
      <c r="E14" s="14">
        <v>2011</v>
      </c>
      <c r="F14" s="408">
        <v>6422</v>
      </c>
      <c r="G14" s="17">
        <f t="shared" si="0"/>
        <v>0.5396674495064766</v>
      </c>
      <c r="H14" s="409">
        <v>110456.35376672391</v>
      </c>
      <c r="I14" s="409">
        <v>64154.284907597321</v>
      </c>
      <c r="J14" s="3">
        <f t="shared" si="1"/>
        <v>174610.63867432124</v>
      </c>
      <c r="K14" s="17">
        <f>J14/$J$222</f>
        <v>0.21455820880113402</v>
      </c>
      <c r="L14" s="17">
        <f t="shared" si="2"/>
        <v>0.63258662018151102</v>
      </c>
      <c r="M14" s="408">
        <v>30359920.599999994</v>
      </c>
      <c r="N14" s="408">
        <v>1099541.3732</v>
      </c>
      <c r="O14" s="3">
        <f t="shared" si="3"/>
        <v>924930.7345256788</v>
      </c>
      <c r="P14" s="17">
        <f t="shared" si="7"/>
        <v>0.84119684540277817</v>
      </c>
      <c r="Q14" s="17">
        <f t="shared" si="8"/>
        <v>0.15880315459722183</v>
      </c>
      <c r="R14" s="108">
        <f t="shared" si="4"/>
        <v>0.10045675084081854</v>
      </c>
      <c r="S14" s="108">
        <f t="shared" si="9"/>
        <v>5.8346403756403292E-2</v>
      </c>
      <c r="T14" s="135">
        <f>'Can O&amp;M price indexes'!N24</f>
        <v>1.2315008058407915</v>
      </c>
      <c r="X14" s="239"/>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row>
    <row r="15" spans="2:60">
      <c r="B15" s="2">
        <f t="shared" si="5"/>
        <v>1</v>
      </c>
      <c r="C15" s="2">
        <f t="shared" si="6"/>
        <v>0</v>
      </c>
      <c r="D15" s="2" t="s">
        <v>31</v>
      </c>
      <c r="E15" s="14">
        <v>2012</v>
      </c>
      <c r="F15" s="408">
        <v>6422</v>
      </c>
      <c r="G15" s="17">
        <f t="shared" si="0"/>
        <v>0.50587583314491136</v>
      </c>
      <c r="H15" s="409">
        <v>115567.00224012346</v>
      </c>
      <c r="I15" s="409">
        <v>62567.194327740981</v>
      </c>
      <c r="J15" s="3">
        <f t="shared" si="1"/>
        <v>178134.19656786445</v>
      </c>
      <c r="K15" s="17">
        <f>J15/$J$223</f>
        <v>0.21589497078606987</v>
      </c>
      <c r="L15" s="17">
        <f t="shared" si="2"/>
        <v>0.64876370998252131</v>
      </c>
      <c r="M15" s="408">
        <v>28458915.099999998</v>
      </c>
      <c r="N15" s="408">
        <v>941858.41798999987</v>
      </c>
      <c r="O15" s="3">
        <f t="shared" si="3"/>
        <v>763724.22142213536</v>
      </c>
      <c r="P15" s="17">
        <f t="shared" si="7"/>
        <v>0.81086945429864399</v>
      </c>
      <c r="Q15" s="17">
        <f t="shared" si="8"/>
        <v>0.18913054570135601</v>
      </c>
      <c r="R15" s="108">
        <f t="shared" si="4"/>
        <v>0.12270103450023052</v>
      </c>
      <c r="S15" s="108">
        <f t="shared" si="9"/>
        <v>6.6429511201125488E-2</v>
      </c>
      <c r="T15" s="135">
        <f>'Can O&amp;M price indexes'!N25</f>
        <v>1.2501652753742629</v>
      </c>
      <c r="X15" s="239"/>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row>
    <row r="16" spans="2:60">
      <c r="B16" s="2">
        <f t="shared" si="5"/>
        <v>1</v>
      </c>
      <c r="C16" s="2">
        <f t="shared" si="6"/>
        <v>0</v>
      </c>
      <c r="D16" s="2" t="s">
        <v>31</v>
      </c>
      <c r="E16" s="14">
        <v>2013</v>
      </c>
      <c r="F16" s="408">
        <v>6433</v>
      </c>
      <c r="G16" s="17">
        <f t="shared" si="0"/>
        <v>0.53852233098882973</v>
      </c>
      <c r="H16" s="409">
        <v>121788.66470000001</v>
      </c>
      <c r="I16" s="409">
        <v>60795.025349999996</v>
      </c>
      <c r="J16" s="3">
        <f t="shared" si="1"/>
        <v>182583.69005</v>
      </c>
      <c r="K16" s="17">
        <f>J16/$J$224</f>
        <v>0.21686012394197948</v>
      </c>
      <c r="L16" s="17">
        <f t="shared" si="2"/>
        <v>0.66702926568440224</v>
      </c>
      <c r="M16" s="408">
        <v>30347392</v>
      </c>
      <c r="N16" s="408">
        <v>1127001.4199100002</v>
      </c>
      <c r="O16" s="3">
        <f t="shared" ref="O16:O17" si="10">N16-J16</f>
        <v>944417.7298600002</v>
      </c>
      <c r="P16" s="17">
        <f t="shared" ref="P16:P17" si="11">O16/N16</f>
        <v>0.83799160602248335</v>
      </c>
      <c r="Q16" s="17">
        <f t="shared" ref="Q16:Q17" si="12">1-P16</f>
        <v>0.16200839397751665</v>
      </c>
      <c r="R16" s="108">
        <f t="shared" ref="R16:R17" si="13">Q16*L16</f>
        <v>0.10806434006953226</v>
      </c>
      <c r="S16" s="108">
        <f t="shared" ref="S16:S17" si="14">Q16-R16</f>
        <v>5.3944053907984388E-2</v>
      </c>
      <c r="T16" s="135">
        <f>'Can O&amp;M price indexes'!N26</f>
        <v>1.2704232442229755</v>
      </c>
      <c r="X16" s="239"/>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row>
    <row r="17" spans="2:60">
      <c r="B17" s="2">
        <f t="shared" si="5"/>
        <v>1</v>
      </c>
      <c r="C17" s="2">
        <f t="shared" si="6"/>
        <v>0</v>
      </c>
      <c r="D17" s="2" t="s">
        <v>31</v>
      </c>
      <c r="E17" s="14">
        <v>2014</v>
      </c>
      <c r="F17" s="408">
        <v>6433</v>
      </c>
      <c r="G17" s="17">
        <f t="shared" si="0"/>
        <v>0.54345920400446612</v>
      </c>
      <c r="H17" s="409">
        <v>119906.76461697961</v>
      </c>
      <c r="I17" s="409">
        <v>68112.906172668241</v>
      </c>
      <c r="J17" s="3">
        <f t="shared" si="1"/>
        <v>188019.67078964785</v>
      </c>
      <c r="K17" s="17">
        <f>J17/$J$225</f>
        <v>0.21727921203579262</v>
      </c>
      <c r="L17" s="17">
        <f t="shared" si="2"/>
        <v>0.63773521203070593</v>
      </c>
      <c r="M17" s="408">
        <v>30625600</v>
      </c>
      <c r="N17" s="408">
        <v>1310091.24125</v>
      </c>
      <c r="O17" s="3">
        <f t="shared" si="10"/>
        <v>1122071.5704603521</v>
      </c>
      <c r="P17" s="17">
        <f t="shared" si="11"/>
        <v>0.85648352964313212</v>
      </c>
      <c r="Q17" s="17">
        <f t="shared" si="12"/>
        <v>0.14351647035686788</v>
      </c>
      <c r="R17" s="108">
        <f t="shared" si="13"/>
        <v>9.1525506652935656E-2</v>
      </c>
      <c r="S17" s="108">
        <f t="shared" si="14"/>
        <v>5.1990963703932219E-2</v>
      </c>
      <c r="T17" s="135">
        <f>'Can O&amp;M price indexes'!N27</f>
        <v>1.296459337573129</v>
      </c>
      <c r="X17" s="239"/>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row>
    <row r="18" spans="2:60">
      <c r="B18" s="69">
        <f>'OPG hydro peers'!B5</f>
        <v>1</v>
      </c>
      <c r="C18" s="69">
        <f t="shared" ref="C18:C55" si="15">IF(D18=D17,C17,C17+1)</f>
        <v>1</v>
      </c>
      <c r="D18" s="69" t="str">
        <f>'OPG hydro peers'!D5</f>
        <v>PG&amp;E</v>
      </c>
      <c r="E18" s="70">
        <v>2002</v>
      </c>
      <c r="F18" s="373">
        <v>3578</v>
      </c>
      <c r="G18" s="76">
        <f t="shared" ref="G18:G30" si="16">M18/(F18*8760)</f>
        <v>0.32144884007034363</v>
      </c>
      <c r="H18" s="71"/>
      <c r="I18" s="71"/>
      <c r="J18" s="373">
        <v>73604.922000000006</v>
      </c>
      <c r="K18" s="76">
        <f>J18/$J$213</f>
        <v>0.14226046707498319</v>
      </c>
      <c r="L18" s="76"/>
      <c r="M18" s="373">
        <v>10075261</v>
      </c>
      <c r="N18" s="373">
        <v>301224.89378184068</v>
      </c>
      <c r="O18" s="71">
        <f t="shared" ref="O18:O28" si="17">N18-J18</f>
        <v>227619.97178184066</v>
      </c>
      <c r="P18" s="76">
        <f>O18/N18</f>
        <v>0.75564794437836968</v>
      </c>
      <c r="Q18" s="76">
        <f>1-P18</f>
        <v>0.24435205562163032</v>
      </c>
      <c r="R18" s="126">
        <f t="shared" ref="R18:R28" si="18">Q18*L18</f>
        <v>0</v>
      </c>
      <c r="S18" s="126">
        <f>Q18-R18</f>
        <v>0.24435205562163032</v>
      </c>
      <c r="T18" s="126">
        <f>R18-S18</f>
        <v>-0.24435205562163032</v>
      </c>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row>
    <row r="19" spans="2:60">
      <c r="B19" s="69">
        <f t="shared" ref="B19:B30" si="19">B18</f>
        <v>1</v>
      </c>
      <c r="C19" s="69">
        <f t="shared" si="15"/>
        <v>1</v>
      </c>
      <c r="D19" s="69" t="str">
        <f t="shared" ref="D19:D30" si="20">D18</f>
        <v>PG&amp;E</v>
      </c>
      <c r="E19" s="70">
        <v>2003</v>
      </c>
      <c r="F19" s="373">
        <v>3578</v>
      </c>
      <c r="G19" s="76">
        <f t="shared" si="16"/>
        <v>0.36710018862097393</v>
      </c>
      <c r="H19" s="71"/>
      <c r="I19" s="71"/>
      <c r="J19" s="373">
        <v>86473.644480000003</v>
      </c>
      <c r="K19" s="76">
        <f>J19/$J$214</f>
        <v>0.15418522841789986</v>
      </c>
      <c r="L19" s="76"/>
      <c r="M19" s="373">
        <v>11506124</v>
      </c>
      <c r="N19" s="373">
        <v>464670.22848413984</v>
      </c>
      <c r="O19" s="71">
        <f t="shared" si="17"/>
        <v>378196.58400413982</v>
      </c>
      <c r="P19" s="76">
        <f t="shared" ref="P19:P28" si="21">O19/N19</f>
        <v>0.81390319590283033</v>
      </c>
      <c r="Q19" s="76">
        <f t="shared" ref="Q19:Q28" si="22">1-P19</f>
        <v>0.18609680409716967</v>
      </c>
      <c r="R19" s="126">
        <f t="shared" si="18"/>
        <v>0</v>
      </c>
      <c r="S19" s="126">
        <f t="shared" ref="S19:T28" si="23">Q19-R19</f>
        <v>0.18609680409716967</v>
      </c>
      <c r="T19" s="126">
        <f t="shared" si="23"/>
        <v>-0.18609680409716967</v>
      </c>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row>
    <row r="20" spans="2:60">
      <c r="B20" s="69">
        <f t="shared" si="19"/>
        <v>1</v>
      </c>
      <c r="C20" s="69">
        <f t="shared" si="15"/>
        <v>1</v>
      </c>
      <c r="D20" s="69" t="str">
        <f t="shared" si="20"/>
        <v>PG&amp;E</v>
      </c>
      <c r="E20" s="70">
        <v>2004</v>
      </c>
      <c r="F20" s="373">
        <v>3578</v>
      </c>
      <c r="G20" s="76">
        <f t="shared" si="16"/>
        <v>0.33835061295435576</v>
      </c>
      <c r="H20" s="71"/>
      <c r="I20" s="71"/>
      <c r="J20" s="373">
        <v>85405.054919999995</v>
      </c>
      <c r="K20" s="76">
        <f>J20/$J$215</f>
        <v>0.14218002539031435</v>
      </c>
      <c r="L20" s="76"/>
      <c r="M20" s="373">
        <v>10605018</v>
      </c>
      <c r="N20" s="373">
        <v>462125.81081457785</v>
      </c>
      <c r="O20" s="71">
        <f t="shared" si="17"/>
        <v>376720.75589457783</v>
      </c>
      <c r="P20" s="76">
        <f t="shared" si="21"/>
        <v>0.81519090057000143</v>
      </c>
      <c r="Q20" s="76">
        <f t="shared" si="22"/>
        <v>0.18480909942999857</v>
      </c>
      <c r="R20" s="126">
        <f t="shared" si="18"/>
        <v>0</v>
      </c>
      <c r="S20" s="126">
        <f t="shared" si="23"/>
        <v>0.18480909942999857</v>
      </c>
      <c r="T20" s="126">
        <f t="shared" si="23"/>
        <v>-0.18480909942999857</v>
      </c>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row>
    <row r="21" spans="2:60">
      <c r="B21" s="69">
        <f t="shared" si="19"/>
        <v>1</v>
      </c>
      <c r="C21" s="69">
        <f t="shared" si="15"/>
        <v>1</v>
      </c>
      <c r="D21" s="69" t="str">
        <f t="shared" si="20"/>
        <v>PG&amp;E</v>
      </c>
      <c r="E21" s="70">
        <v>2005</v>
      </c>
      <c r="F21" s="373">
        <v>3578</v>
      </c>
      <c r="G21" s="76">
        <f t="shared" si="16"/>
        <v>0.38865060000102092</v>
      </c>
      <c r="H21" s="71"/>
      <c r="I21" s="71"/>
      <c r="J21" s="373">
        <v>84426.819930000012</v>
      </c>
      <c r="K21" s="76">
        <f>J21/$J$216</f>
        <v>0.1351514918397782</v>
      </c>
      <c r="L21" s="76"/>
      <c r="M21" s="373">
        <v>12181584.578</v>
      </c>
      <c r="N21" s="373">
        <v>752856.29426901357</v>
      </c>
      <c r="O21" s="71">
        <f t="shared" si="17"/>
        <v>668429.47433901357</v>
      </c>
      <c r="P21" s="76">
        <f t="shared" si="21"/>
        <v>0.88785798754332756</v>
      </c>
      <c r="Q21" s="76">
        <f t="shared" si="22"/>
        <v>0.11214201245667244</v>
      </c>
      <c r="R21" s="126">
        <f t="shared" si="18"/>
        <v>0</v>
      </c>
      <c r="S21" s="126">
        <f t="shared" si="23"/>
        <v>0.11214201245667244</v>
      </c>
      <c r="T21" s="126">
        <f t="shared" si="23"/>
        <v>-0.11214201245667244</v>
      </c>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row>
    <row r="22" spans="2:60">
      <c r="B22" s="69">
        <f t="shared" si="19"/>
        <v>1</v>
      </c>
      <c r="C22" s="69">
        <f t="shared" si="15"/>
        <v>1</v>
      </c>
      <c r="D22" s="69" t="str">
        <f t="shared" si="20"/>
        <v>PG&amp;E</v>
      </c>
      <c r="E22" s="70">
        <v>2006</v>
      </c>
      <c r="F22" s="373">
        <v>3578</v>
      </c>
      <c r="G22" s="76">
        <f t="shared" si="16"/>
        <v>0.45769552341044079</v>
      </c>
      <c r="H22" s="71"/>
      <c r="I22" s="71"/>
      <c r="J22" s="373">
        <v>76536.088260000004</v>
      </c>
      <c r="K22" s="76">
        <f>J22/$J$217</f>
        <v>0.11519013497751955</v>
      </c>
      <c r="L22" s="76"/>
      <c r="M22" s="373">
        <v>14345678.945</v>
      </c>
      <c r="N22" s="373">
        <v>707159.9691468383</v>
      </c>
      <c r="O22" s="71">
        <f t="shared" si="17"/>
        <v>630623.88088683831</v>
      </c>
      <c r="P22" s="76">
        <f t="shared" si="21"/>
        <v>0.89176976695621235</v>
      </c>
      <c r="Q22" s="76">
        <f t="shared" si="22"/>
        <v>0.10823023304378765</v>
      </c>
      <c r="R22" s="126">
        <f t="shared" si="18"/>
        <v>0</v>
      </c>
      <c r="S22" s="126">
        <f t="shared" si="23"/>
        <v>0.10823023304378765</v>
      </c>
      <c r="T22" s="126">
        <f t="shared" si="23"/>
        <v>-0.10823023304378765</v>
      </c>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row>
    <row r="23" spans="2:60">
      <c r="B23" s="69">
        <f t="shared" si="19"/>
        <v>1</v>
      </c>
      <c r="C23" s="69">
        <f t="shared" si="15"/>
        <v>1</v>
      </c>
      <c r="D23" s="69" t="str">
        <f t="shared" si="20"/>
        <v>PG&amp;E</v>
      </c>
      <c r="E23" s="70">
        <v>2007</v>
      </c>
      <c r="F23" s="373">
        <v>3578</v>
      </c>
      <c r="G23" s="76">
        <f t="shared" si="16"/>
        <v>0.25835035293051656</v>
      </c>
      <c r="H23" s="71"/>
      <c r="I23" s="71"/>
      <c r="J23" s="373">
        <v>101325.88094999999</v>
      </c>
      <c r="K23" s="76">
        <f>J23/$J$218</f>
        <v>0.14048206522045673</v>
      </c>
      <c r="L23" s="76"/>
      <c r="M23" s="373">
        <v>8097547.4500000002</v>
      </c>
      <c r="N23" s="373">
        <v>508252.9828766897</v>
      </c>
      <c r="O23" s="71">
        <f t="shared" si="17"/>
        <v>406927.10192668973</v>
      </c>
      <c r="P23" s="76">
        <f t="shared" si="21"/>
        <v>0.80063888582315856</v>
      </c>
      <c r="Q23" s="76">
        <f t="shared" si="22"/>
        <v>0.19936111417684144</v>
      </c>
      <c r="R23" s="126">
        <f t="shared" si="18"/>
        <v>0</v>
      </c>
      <c r="S23" s="126">
        <f t="shared" si="23"/>
        <v>0.19936111417684144</v>
      </c>
      <c r="T23" s="126">
        <f t="shared" si="23"/>
        <v>-0.19936111417684144</v>
      </c>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row>
    <row r="24" spans="2:60">
      <c r="B24" s="69">
        <f t="shared" si="19"/>
        <v>1</v>
      </c>
      <c r="C24" s="69">
        <f t="shared" si="15"/>
        <v>1</v>
      </c>
      <c r="D24" s="69" t="str">
        <f t="shared" si="20"/>
        <v>PG&amp;E</v>
      </c>
      <c r="E24" s="70">
        <v>2008</v>
      </c>
      <c r="F24" s="373">
        <v>3578</v>
      </c>
      <c r="G24" s="76">
        <f t="shared" si="16"/>
        <v>0.25987209858062077</v>
      </c>
      <c r="H24" s="71"/>
      <c r="I24" s="71"/>
      <c r="J24" s="373">
        <v>109375.75125</v>
      </c>
      <c r="K24" s="76">
        <f>J24/$J$219</f>
        <v>0.13992968942779588</v>
      </c>
      <c r="L24" s="76"/>
      <c r="M24" s="373">
        <v>8145243.9499999993</v>
      </c>
      <c r="N24" s="373">
        <v>725807.2825708458</v>
      </c>
      <c r="O24" s="71">
        <f t="shared" si="17"/>
        <v>616431.53132084582</v>
      </c>
      <c r="P24" s="76">
        <f t="shared" si="21"/>
        <v>0.84930469302734801</v>
      </c>
      <c r="Q24" s="76">
        <f t="shared" si="22"/>
        <v>0.15069530697265199</v>
      </c>
      <c r="R24" s="126">
        <f t="shared" si="18"/>
        <v>0</v>
      </c>
      <c r="S24" s="126">
        <f t="shared" si="23"/>
        <v>0.15069530697265199</v>
      </c>
      <c r="T24" s="126">
        <f t="shared" si="23"/>
        <v>-0.15069530697265199</v>
      </c>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row>
    <row r="25" spans="2:60">
      <c r="B25" s="69">
        <f t="shared" si="19"/>
        <v>1</v>
      </c>
      <c r="C25" s="69">
        <f t="shared" si="15"/>
        <v>1</v>
      </c>
      <c r="D25" s="69" t="str">
        <f t="shared" si="20"/>
        <v>PG&amp;E</v>
      </c>
      <c r="E25" s="70">
        <v>2009</v>
      </c>
      <c r="F25" s="373">
        <v>3578</v>
      </c>
      <c r="G25" s="76">
        <f t="shared" si="16"/>
        <v>0.28482653717160422</v>
      </c>
      <c r="H25" s="71"/>
      <c r="I25" s="71"/>
      <c r="J25" s="373">
        <v>109621.27032</v>
      </c>
      <c r="K25" s="76">
        <f>J25/$J$220</f>
        <v>0.14022129575259079</v>
      </c>
      <c r="L25" s="76"/>
      <c r="M25" s="373">
        <v>8927397.9059999995</v>
      </c>
      <c r="N25" s="373">
        <v>363178.47272082069</v>
      </c>
      <c r="O25" s="71">
        <f t="shared" si="17"/>
        <v>253557.20240082068</v>
      </c>
      <c r="P25" s="76">
        <f t="shared" si="21"/>
        <v>0.69816143148917553</v>
      </c>
      <c r="Q25" s="76">
        <f t="shared" si="22"/>
        <v>0.30183856851082447</v>
      </c>
      <c r="R25" s="126">
        <f t="shared" si="18"/>
        <v>0</v>
      </c>
      <c r="S25" s="126">
        <f t="shared" si="23"/>
        <v>0.30183856851082447</v>
      </c>
      <c r="T25" s="126">
        <f t="shared" si="23"/>
        <v>-0.30183856851082447</v>
      </c>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row>
    <row r="26" spans="2:60">
      <c r="B26" s="69">
        <f t="shared" si="19"/>
        <v>1</v>
      </c>
      <c r="C26" s="69">
        <f t="shared" si="15"/>
        <v>1</v>
      </c>
      <c r="D26" s="69" t="str">
        <f t="shared" si="20"/>
        <v>PG&amp;E</v>
      </c>
      <c r="E26" s="70">
        <v>2010</v>
      </c>
      <c r="F26" s="373">
        <v>3578</v>
      </c>
      <c r="G26" s="76">
        <f t="shared" si="16"/>
        <v>0.33455051350720155</v>
      </c>
      <c r="H26" s="71"/>
      <c r="I26" s="71"/>
      <c r="J26" s="373">
        <v>111628.14201</v>
      </c>
      <c r="K26" s="76">
        <f>J26/$J$221</f>
        <v>0.13283441593372974</v>
      </c>
      <c r="L26" s="76"/>
      <c r="M26" s="373">
        <v>10485910.419</v>
      </c>
      <c r="N26" s="373">
        <v>436466.27453160833</v>
      </c>
      <c r="O26" s="71">
        <f t="shared" si="17"/>
        <v>324838.13252160832</v>
      </c>
      <c r="P26" s="76">
        <f t="shared" si="21"/>
        <v>0.74424566450227292</v>
      </c>
      <c r="Q26" s="76">
        <f t="shared" si="22"/>
        <v>0.25575433549772708</v>
      </c>
      <c r="R26" s="126">
        <f t="shared" si="18"/>
        <v>0</v>
      </c>
      <c r="S26" s="126">
        <f t="shared" si="23"/>
        <v>0.25575433549772708</v>
      </c>
      <c r="T26" s="126">
        <f t="shared" si="23"/>
        <v>-0.25575433549772708</v>
      </c>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row>
    <row r="27" spans="2:60">
      <c r="B27" s="69">
        <f t="shared" si="19"/>
        <v>1</v>
      </c>
      <c r="C27" s="69">
        <f t="shared" si="15"/>
        <v>1</v>
      </c>
      <c r="D27" s="69" t="str">
        <f t="shared" si="20"/>
        <v>PG&amp;E</v>
      </c>
      <c r="E27" s="70">
        <v>2011</v>
      </c>
      <c r="F27" s="373">
        <v>3578</v>
      </c>
      <c r="G27" s="76">
        <f t="shared" si="16"/>
        <v>0.38434691190583758</v>
      </c>
      <c r="H27" s="71"/>
      <c r="I27" s="71"/>
      <c r="J27" s="373">
        <v>116739.90147</v>
      </c>
      <c r="K27" s="76">
        <f>J27/$J$222</f>
        <v>0.14344775521806527</v>
      </c>
      <c r="L27" s="76"/>
      <c r="M27" s="373">
        <v>12046692.877</v>
      </c>
      <c r="N27" s="373">
        <v>432483.2787308151</v>
      </c>
      <c r="O27" s="71">
        <f t="shared" si="17"/>
        <v>315743.37726081512</v>
      </c>
      <c r="P27" s="76">
        <f t="shared" si="21"/>
        <v>0.73007071669316292</v>
      </c>
      <c r="Q27" s="76">
        <f t="shared" si="22"/>
        <v>0.26992928330683708</v>
      </c>
      <c r="R27" s="126">
        <f t="shared" si="18"/>
        <v>0</v>
      </c>
      <c r="S27" s="126">
        <f t="shared" si="23"/>
        <v>0.26992928330683708</v>
      </c>
      <c r="T27" s="126">
        <f t="shared" si="23"/>
        <v>-0.26992928330683708</v>
      </c>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row>
    <row r="28" spans="2:60">
      <c r="B28" s="69">
        <f t="shared" si="19"/>
        <v>1</v>
      </c>
      <c r="C28" s="69">
        <f t="shared" si="15"/>
        <v>1</v>
      </c>
      <c r="D28" s="69" t="str">
        <f t="shared" si="20"/>
        <v>PG&amp;E</v>
      </c>
      <c r="E28" s="70">
        <v>2012</v>
      </c>
      <c r="F28" s="373">
        <v>3578</v>
      </c>
      <c r="G28" s="76">
        <f t="shared" si="16"/>
        <v>0.2512329407451932</v>
      </c>
      <c r="H28" s="71"/>
      <c r="I28" s="71"/>
      <c r="J28" s="373">
        <v>143940.51261000001</v>
      </c>
      <c r="K28" s="76">
        <f>J28/$J$223</f>
        <v>0.17445293134958914</v>
      </c>
      <c r="L28" s="76"/>
      <c r="M28" s="373">
        <v>7874464.4069999997</v>
      </c>
      <c r="N28" s="373">
        <v>267121.38942654611</v>
      </c>
      <c r="O28" s="71">
        <f t="shared" si="17"/>
        <v>123180.87681654611</v>
      </c>
      <c r="P28" s="76">
        <f t="shared" si="21"/>
        <v>0.46114194404644926</v>
      </c>
      <c r="Q28" s="76">
        <f t="shared" si="22"/>
        <v>0.53885805595355074</v>
      </c>
      <c r="R28" s="126">
        <f t="shared" si="18"/>
        <v>0</v>
      </c>
      <c r="S28" s="126">
        <f t="shared" si="23"/>
        <v>0.53885805595355074</v>
      </c>
      <c r="T28" s="126">
        <f t="shared" si="23"/>
        <v>-0.53885805595355074</v>
      </c>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row>
    <row r="29" spans="2:60">
      <c r="B29" s="69">
        <f t="shared" si="19"/>
        <v>1</v>
      </c>
      <c r="C29" s="69">
        <f t="shared" si="15"/>
        <v>1</v>
      </c>
      <c r="D29" s="69" t="str">
        <f t="shared" si="20"/>
        <v>PG&amp;E</v>
      </c>
      <c r="E29" s="70">
        <v>2013</v>
      </c>
      <c r="F29" s="373">
        <v>3566.6399999999994</v>
      </c>
      <c r="G29" s="76">
        <f t="shared" si="16"/>
        <v>0.24348539589004228</v>
      </c>
      <c r="H29" s="69"/>
      <c r="I29" s="69"/>
      <c r="J29" s="373">
        <v>144260.64716999998</v>
      </c>
      <c r="K29" s="76">
        <f>J29/$J$224</f>
        <v>0.17134269669250979</v>
      </c>
      <c r="L29" s="69"/>
      <c r="M29" s="373">
        <v>7607400.8310000002</v>
      </c>
      <c r="N29" s="373">
        <v>358378.3002459819</v>
      </c>
      <c r="O29" s="71">
        <f t="shared" ref="O29:O30" si="24">N29-J29</f>
        <v>214117.65307598191</v>
      </c>
      <c r="P29" s="76">
        <f t="shared" ref="P29:P30" si="25">O29/N29</f>
        <v>0.5974626614642039</v>
      </c>
      <c r="Q29" s="76">
        <f t="shared" ref="Q29:Q30" si="26">1-P29</f>
        <v>0.4025373385357961</v>
      </c>
      <c r="R29" s="126">
        <f t="shared" ref="R29:R30" si="27">Q29*L29</f>
        <v>0</v>
      </c>
      <c r="S29" s="126">
        <f t="shared" ref="S29:S30" si="28">Q29-R29</f>
        <v>0.4025373385357961</v>
      </c>
      <c r="T29" s="126">
        <f t="shared" ref="T29:T30" si="29">R29-S29</f>
        <v>-0.4025373385357961</v>
      </c>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row>
    <row r="30" spans="2:60">
      <c r="B30" s="69">
        <f t="shared" si="19"/>
        <v>1</v>
      </c>
      <c r="C30" s="69">
        <f t="shared" si="15"/>
        <v>1</v>
      </c>
      <c r="D30" s="69" t="str">
        <f t="shared" si="20"/>
        <v>PG&amp;E</v>
      </c>
      <c r="E30" s="70">
        <v>2014</v>
      </c>
      <c r="F30" s="373">
        <v>3567.2699999999995</v>
      </c>
      <c r="G30" s="76">
        <f t="shared" si="16"/>
        <v>0.18368446082088305</v>
      </c>
      <c r="H30" s="69"/>
      <c r="I30" s="69"/>
      <c r="J30" s="373">
        <v>139709.88456000001</v>
      </c>
      <c r="K30" s="76">
        <f>J30/$J$225</f>
        <v>0.1614514774082868</v>
      </c>
      <c r="L30" s="69"/>
      <c r="M30" s="373">
        <v>5740008.1030000001</v>
      </c>
      <c r="N30" s="373">
        <v>325449.49358964752</v>
      </c>
      <c r="O30" s="71">
        <f t="shared" si="24"/>
        <v>185739.60902964752</v>
      </c>
      <c r="P30" s="76">
        <f t="shared" si="25"/>
        <v>0.57071715485242913</v>
      </c>
      <c r="Q30" s="76">
        <f t="shared" si="26"/>
        <v>0.42928284514757087</v>
      </c>
      <c r="R30" s="126">
        <f t="shared" si="27"/>
        <v>0</v>
      </c>
      <c r="S30" s="126">
        <f t="shared" si="28"/>
        <v>0.42928284514757087</v>
      </c>
      <c r="T30" s="126">
        <f t="shared" si="29"/>
        <v>-0.42928284514757087</v>
      </c>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row>
    <row r="31" spans="2:60">
      <c r="B31" s="72">
        <f>'OPG hydro peers'!B6</f>
        <v>1</v>
      </c>
      <c r="C31" s="72">
        <f t="shared" si="15"/>
        <v>2</v>
      </c>
      <c r="D31" s="72" t="str">
        <f>'OPG hydro peers'!D6</f>
        <v>Duke</v>
      </c>
      <c r="E31" s="73">
        <v>2002</v>
      </c>
      <c r="F31" s="374">
        <v>2753.99</v>
      </c>
      <c r="G31" s="75">
        <f t="shared" ref="G31:G43" si="30">M31/(F31*8760)</f>
        <v>0.20556245947245891</v>
      </c>
      <c r="H31" s="74"/>
      <c r="I31" s="74"/>
      <c r="J31" s="374">
        <v>27024.336149999999</v>
      </c>
      <c r="K31" s="75">
        <f>J31/$J$213</f>
        <v>5.2231489126370552E-2</v>
      </c>
      <c r="L31" s="75"/>
      <c r="M31" s="374">
        <v>4959184.55</v>
      </c>
      <c r="N31" s="374">
        <v>31966.46617444171</v>
      </c>
      <c r="O31" s="74">
        <f t="shared" ref="O31:O41" si="31">N31-J31</f>
        <v>4942.1300244417107</v>
      </c>
      <c r="P31" s="75">
        <f>AVERAGE($P$32:$P$40)</f>
        <v>0.57519639821499535</v>
      </c>
      <c r="Q31" s="75">
        <f>1-P31</f>
        <v>0.42480360178500465</v>
      </c>
      <c r="R31" s="125">
        <f t="shared" ref="R31:R41" si="32">Q31*L31</f>
        <v>0</v>
      </c>
      <c r="S31" s="125">
        <f>Q31-R31</f>
        <v>0.42480360178500465</v>
      </c>
      <c r="T31" s="125">
        <f>R31-S31</f>
        <v>-0.42480360178500465</v>
      </c>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row>
    <row r="32" spans="2:60">
      <c r="B32" s="72">
        <f t="shared" ref="B32:B43" si="33">B31</f>
        <v>1</v>
      </c>
      <c r="C32" s="72">
        <f t="shared" si="15"/>
        <v>2</v>
      </c>
      <c r="D32" s="72" t="str">
        <f t="shared" ref="D32:D43" si="34">D31</f>
        <v>Duke</v>
      </c>
      <c r="E32" s="73">
        <v>2003</v>
      </c>
      <c r="F32" s="374">
        <v>2753.99</v>
      </c>
      <c r="G32" s="75">
        <f t="shared" si="30"/>
        <v>0.26319881982440724</v>
      </c>
      <c r="H32" s="74"/>
      <c r="I32" s="74"/>
      <c r="J32" s="374">
        <v>29330.415180000004</v>
      </c>
      <c r="K32" s="75">
        <f>J32/$J$214</f>
        <v>5.2297052949654262E-2</v>
      </c>
      <c r="L32" s="75"/>
      <c r="M32" s="374">
        <v>6349659</v>
      </c>
      <c r="N32" s="374">
        <v>106918.03643717247</v>
      </c>
      <c r="O32" s="74">
        <f t="shared" si="31"/>
        <v>77587.621257172461</v>
      </c>
      <c r="P32" s="75">
        <f t="shared" ref="P32:P43" si="35">O32/N32</f>
        <v>0.72567383242924366</v>
      </c>
      <c r="Q32" s="75">
        <f t="shared" ref="Q32:Q41" si="36">1-P32</f>
        <v>0.27432616757075634</v>
      </c>
      <c r="R32" s="125">
        <f t="shared" si="32"/>
        <v>0</v>
      </c>
      <c r="S32" s="125">
        <f t="shared" ref="S32:T41" si="37">Q32-R32</f>
        <v>0.27432616757075634</v>
      </c>
      <c r="T32" s="125">
        <f t="shared" si="37"/>
        <v>-0.27432616757075634</v>
      </c>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row>
    <row r="33" spans="2:60">
      <c r="B33" s="72">
        <f t="shared" si="33"/>
        <v>1</v>
      </c>
      <c r="C33" s="72">
        <f t="shared" si="15"/>
        <v>2</v>
      </c>
      <c r="D33" s="72" t="str">
        <f t="shared" si="34"/>
        <v>Duke</v>
      </c>
      <c r="E33" s="73">
        <v>2004</v>
      </c>
      <c r="F33" s="374">
        <v>2753.99</v>
      </c>
      <c r="G33" s="75">
        <f t="shared" si="30"/>
        <v>0.21278313485915937</v>
      </c>
      <c r="H33" s="74"/>
      <c r="I33" s="74"/>
      <c r="J33" s="374">
        <v>35768.658299999996</v>
      </c>
      <c r="K33" s="75">
        <f>J33/$J$215</f>
        <v>5.9546694865253734E-2</v>
      </c>
      <c r="L33" s="75"/>
      <c r="M33" s="374">
        <v>5133383</v>
      </c>
      <c r="N33" s="374">
        <v>96427.87587150438</v>
      </c>
      <c r="O33" s="74">
        <f t="shared" si="31"/>
        <v>60659.217571504385</v>
      </c>
      <c r="P33" s="75">
        <f t="shared" si="35"/>
        <v>0.62906309014144657</v>
      </c>
      <c r="Q33" s="75">
        <f t="shared" si="36"/>
        <v>0.37093690985855343</v>
      </c>
      <c r="R33" s="125">
        <f t="shared" si="32"/>
        <v>0</v>
      </c>
      <c r="S33" s="125">
        <f t="shared" si="37"/>
        <v>0.37093690985855343</v>
      </c>
      <c r="T33" s="125">
        <f t="shared" si="37"/>
        <v>-0.37093690985855343</v>
      </c>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row>
    <row r="34" spans="2:60">
      <c r="B34" s="72">
        <f t="shared" si="33"/>
        <v>1</v>
      </c>
      <c r="C34" s="72">
        <f t="shared" si="15"/>
        <v>2</v>
      </c>
      <c r="D34" s="72" t="str">
        <f t="shared" si="34"/>
        <v>Duke</v>
      </c>
      <c r="E34" s="73">
        <v>2005</v>
      </c>
      <c r="F34" s="374">
        <v>2753.99</v>
      </c>
      <c r="G34" s="75">
        <f t="shared" si="30"/>
        <v>0.22907473177024798</v>
      </c>
      <c r="H34" s="74"/>
      <c r="I34" s="74"/>
      <c r="J34" s="374">
        <v>35119.656179999998</v>
      </c>
      <c r="K34" s="75">
        <f>J34/$J$216</f>
        <v>5.6219977603828776E-2</v>
      </c>
      <c r="L34" s="75"/>
      <c r="M34" s="374">
        <v>5526417</v>
      </c>
      <c r="N34" s="374">
        <v>144514.54546023801</v>
      </c>
      <c r="O34" s="74">
        <f t="shared" si="31"/>
        <v>109394.88928023801</v>
      </c>
      <c r="P34" s="75">
        <f t="shared" si="35"/>
        <v>0.75698185903603121</v>
      </c>
      <c r="Q34" s="75">
        <f t="shared" si="36"/>
        <v>0.24301814096396879</v>
      </c>
      <c r="R34" s="125">
        <f t="shared" si="32"/>
        <v>0</v>
      </c>
      <c r="S34" s="125">
        <f t="shared" si="37"/>
        <v>0.24301814096396879</v>
      </c>
      <c r="T34" s="125">
        <f t="shared" si="37"/>
        <v>-0.24301814096396879</v>
      </c>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row>
    <row r="35" spans="2:60">
      <c r="B35" s="72">
        <f t="shared" si="33"/>
        <v>1</v>
      </c>
      <c r="C35" s="72">
        <f t="shared" si="15"/>
        <v>2</v>
      </c>
      <c r="D35" s="72" t="str">
        <f t="shared" si="34"/>
        <v>Duke</v>
      </c>
      <c r="E35" s="73">
        <v>2006</v>
      </c>
      <c r="F35" s="374">
        <v>2755.99</v>
      </c>
      <c r="G35" s="75">
        <f t="shared" si="30"/>
        <v>0.18543017988497318</v>
      </c>
      <c r="H35" s="74"/>
      <c r="I35" s="74"/>
      <c r="J35" s="374">
        <v>27186.254580000001</v>
      </c>
      <c r="K35" s="75">
        <f>J35/$J$217</f>
        <v>4.0916493196844879E-2</v>
      </c>
      <c r="L35" s="75"/>
      <c r="M35" s="374">
        <v>4476743</v>
      </c>
      <c r="N35" s="374">
        <v>82427.668713084277</v>
      </c>
      <c r="O35" s="74">
        <f t="shared" si="31"/>
        <v>55241.414133084276</v>
      </c>
      <c r="P35" s="75">
        <f t="shared" si="35"/>
        <v>0.67018047453664609</v>
      </c>
      <c r="Q35" s="75">
        <f t="shared" si="36"/>
        <v>0.32981952546335391</v>
      </c>
      <c r="R35" s="125">
        <f t="shared" si="32"/>
        <v>0</v>
      </c>
      <c r="S35" s="125">
        <f t="shared" si="37"/>
        <v>0.32981952546335391</v>
      </c>
      <c r="T35" s="125">
        <f t="shared" si="37"/>
        <v>-0.32981952546335391</v>
      </c>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row>
    <row r="36" spans="2:60">
      <c r="B36" s="72">
        <f t="shared" si="33"/>
        <v>1</v>
      </c>
      <c r="C36" s="72">
        <f t="shared" si="15"/>
        <v>2</v>
      </c>
      <c r="D36" s="72" t="str">
        <f t="shared" si="34"/>
        <v>Duke</v>
      </c>
      <c r="E36" s="73">
        <v>2007</v>
      </c>
      <c r="F36" s="374">
        <v>2755.99</v>
      </c>
      <c r="G36" s="75">
        <f t="shared" si="30"/>
        <v>0.18519122341421834</v>
      </c>
      <c r="H36" s="74"/>
      <c r="I36" s="74"/>
      <c r="J36" s="374">
        <v>32580.783659999997</v>
      </c>
      <c r="K36" s="75">
        <f>J36/$J$218</f>
        <v>4.5171240872963869E-2</v>
      </c>
      <c r="L36" s="75"/>
      <c r="M36" s="374">
        <v>4470974</v>
      </c>
      <c r="N36" s="374">
        <v>61098.493511384077</v>
      </c>
      <c r="O36" s="74">
        <f t="shared" si="31"/>
        <v>28517.709851384079</v>
      </c>
      <c r="P36" s="75">
        <f t="shared" si="35"/>
        <v>0.46674980367675617</v>
      </c>
      <c r="Q36" s="75">
        <f t="shared" si="36"/>
        <v>0.53325019632324389</v>
      </c>
      <c r="R36" s="125">
        <f t="shared" si="32"/>
        <v>0</v>
      </c>
      <c r="S36" s="125">
        <f t="shared" si="37"/>
        <v>0.53325019632324389</v>
      </c>
      <c r="T36" s="125">
        <f t="shared" si="37"/>
        <v>-0.53325019632324389</v>
      </c>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row>
    <row r="37" spans="2:60">
      <c r="B37" s="72">
        <f t="shared" si="33"/>
        <v>1</v>
      </c>
      <c r="C37" s="72">
        <f t="shared" si="15"/>
        <v>2</v>
      </c>
      <c r="D37" s="72" t="str">
        <f t="shared" si="34"/>
        <v>Duke</v>
      </c>
      <c r="E37" s="73">
        <v>2008</v>
      </c>
      <c r="F37" s="374">
        <v>2790.99</v>
      </c>
      <c r="G37" s="75">
        <f t="shared" si="30"/>
        <v>0.18891481543487926</v>
      </c>
      <c r="H37" s="74"/>
      <c r="I37" s="74"/>
      <c r="J37" s="374">
        <v>32179.540439999997</v>
      </c>
      <c r="K37" s="75">
        <f>J37/$J$219</f>
        <v>4.1168842711819982E-2</v>
      </c>
      <c r="L37" s="75"/>
      <c r="M37" s="374">
        <v>4618792</v>
      </c>
      <c r="N37" s="374">
        <v>64948.130180598149</v>
      </c>
      <c r="O37" s="74">
        <f t="shared" si="31"/>
        <v>32768.589740598152</v>
      </c>
      <c r="P37" s="75">
        <f t="shared" si="35"/>
        <v>0.50453476719776391</v>
      </c>
      <c r="Q37" s="75">
        <f t="shared" si="36"/>
        <v>0.49546523280223609</v>
      </c>
      <c r="R37" s="125">
        <f t="shared" si="32"/>
        <v>0</v>
      </c>
      <c r="S37" s="125">
        <f t="shared" si="37"/>
        <v>0.49546523280223609</v>
      </c>
      <c r="T37" s="125">
        <f t="shared" si="37"/>
        <v>-0.49546523280223609</v>
      </c>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row>
    <row r="38" spans="2:60">
      <c r="B38" s="72">
        <f t="shared" si="33"/>
        <v>1</v>
      </c>
      <c r="C38" s="72">
        <f t="shared" si="15"/>
        <v>2</v>
      </c>
      <c r="D38" s="72" t="str">
        <f t="shared" si="34"/>
        <v>Duke</v>
      </c>
      <c r="E38" s="73">
        <v>2009</v>
      </c>
      <c r="F38" s="374">
        <v>2790.99</v>
      </c>
      <c r="G38" s="75">
        <f t="shared" si="30"/>
        <v>0.19501717373948307</v>
      </c>
      <c r="H38" s="74"/>
      <c r="I38" s="74"/>
      <c r="J38" s="374">
        <v>35977.063349999997</v>
      </c>
      <c r="K38" s="75">
        <f>J38/$J$220</f>
        <v>4.601981372395799E-2</v>
      </c>
      <c r="L38" s="75"/>
      <c r="M38" s="374">
        <v>4767989</v>
      </c>
      <c r="N38" s="374">
        <v>74688.813029601515</v>
      </c>
      <c r="O38" s="74">
        <f t="shared" si="31"/>
        <v>38711.749679601518</v>
      </c>
      <c r="P38" s="75">
        <f t="shared" si="35"/>
        <v>0.51830720169911981</v>
      </c>
      <c r="Q38" s="75">
        <f t="shared" si="36"/>
        <v>0.48169279830088019</v>
      </c>
      <c r="R38" s="125">
        <f t="shared" si="32"/>
        <v>0</v>
      </c>
      <c r="S38" s="125">
        <f t="shared" si="37"/>
        <v>0.48169279830088019</v>
      </c>
      <c r="T38" s="125">
        <f t="shared" si="37"/>
        <v>-0.48169279830088019</v>
      </c>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row>
    <row r="39" spans="2:60">
      <c r="B39" s="72">
        <f t="shared" si="33"/>
        <v>1</v>
      </c>
      <c r="C39" s="72">
        <f t="shared" si="15"/>
        <v>2</v>
      </c>
      <c r="D39" s="72" t="str">
        <f t="shared" si="34"/>
        <v>Duke</v>
      </c>
      <c r="E39" s="73">
        <v>2010</v>
      </c>
      <c r="F39" s="374">
        <v>2794.99</v>
      </c>
      <c r="G39" s="75">
        <f t="shared" si="30"/>
        <v>0.19432360553940278</v>
      </c>
      <c r="H39" s="74"/>
      <c r="I39" s="74"/>
      <c r="J39" s="374">
        <v>38734.041930000007</v>
      </c>
      <c r="K39" s="75">
        <f>J39/$J$221</f>
        <v>4.6092443570934151E-2</v>
      </c>
      <c r="L39" s="75"/>
      <c r="M39" s="374">
        <v>4757841</v>
      </c>
      <c r="N39" s="374">
        <v>82713.400605902309</v>
      </c>
      <c r="O39" s="74">
        <f t="shared" si="31"/>
        <v>43979.358675902302</v>
      </c>
      <c r="P39" s="75">
        <f t="shared" si="35"/>
        <v>0.53170778076755798</v>
      </c>
      <c r="Q39" s="75">
        <f t="shared" si="36"/>
        <v>0.46829221923244202</v>
      </c>
      <c r="R39" s="125">
        <f t="shared" si="32"/>
        <v>0</v>
      </c>
      <c r="S39" s="125">
        <f t="shared" si="37"/>
        <v>0.46829221923244202</v>
      </c>
      <c r="T39" s="125">
        <f t="shared" si="37"/>
        <v>-0.46829221923244202</v>
      </c>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row>
    <row r="40" spans="2:60">
      <c r="B40" s="72">
        <f t="shared" si="33"/>
        <v>1</v>
      </c>
      <c r="C40" s="72">
        <f t="shared" si="15"/>
        <v>2</v>
      </c>
      <c r="D40" s="72" t="str">
        <f t="shared" si="34"/>
        <v>Duke</v>
      </c>
      <c r="E40" s="73">
        <v>2011</v>
      </c>
      <c r="F40" s="374">
        <v>2846.3199999999997</v>
      </c>
      <c r="G40" s="75">
        <f t="shared" si="30"/>
        <v>0.17070203024948918</v>
      </c>
      <c r="H40" s="74"/>
      <c r="I40" s="74"/>
      <c r="J40" s="374">
        <v>38866.244789999997</v>
      </c>
      <c r="K40" s="75">
        <f>J40/$J$222</f>
        <v>4.7758097263034496E-2</v>
      </c>
      <c r="L40" s="75"/>
      <c r="M40" s="374">
        <v>4256244</v>
      </c>
      <c r="N40" s="374">
        <v>62043.913529214951</v>
      </c>
      <c r="O40" s="74">
        <f t="shared" si="31"/>
        <v>23177.668739214954</v>
      </c>
      <c r="P40" s="75">
        <f t="shared" si="35"/>
        <v>0.37356877445039249</v>
      </c>
      <c r="Q40" s="75">
        <f t="shared" si="36"/>
        <v>0.62643122554960751</v>
      </c>
      <c r="R40" s="125">
        <f t="shared" si="32"/>
        <v>0</v>
      </c>
      <c r="S40" s="125">
        <f t="shared" si="37"/>
        <v>0.62643122554960751</v>
      </c>
      <c r="T40" s="125">
        <f t="shared" si="37"/>
        <v>-0.62643122554960751</v>
      </c>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row>
    <row r="41" spans="2:60">
      <c r="B41" s="72">
        <f t="shared" si="33"/>
        <v>1</v>
      </c>
      <c r="C41" s="72">
        <f t="shared" si="15"/>
        <v>2</v>
      </c>
      <c r="D41" s="72" t="str">
        <f t="shared" si="34"/>
        <v>Duke</v>
      </c>
      <c r="E41" s="73">
        <v>2012</v>
      </c>
      <c r="F41" s="374">
        <v>2851.8999999999996</v>
      </c>
      <c r="G41" s="75">
        <f t="shared" si="30"/>
        <v>0.15971059748519814</v>
      </c>
      <c r="H41" s="74"/>
      <c r="I41" s="74"/>
      <c r="J41" s="374">
        <v>39629.096939999996</v>
      </c>
      <c r="K41" s="75">
        <f>J41/$J$223</f>
        <v>4.8029647821608047E-2</v>
      </c>
      <c r="L41" s="75"/>
      <c r="M41" s="374">
        <v>3989993</v>
      </c>
      <c r="N41" s="374">
        <v>46976.678070155358</v>
      </c>
      <c r="O41" s="74">
        <f t="shared" si="31"/>
        <v>7347.5811301553622</v>
      </c>
      <c r="P41" s="75">
        <f>AVERAGE($P$32:$P$40)</f>
        <v>0.57519639821499535</v>
      </c>
      <c r="Q41" s="75">
        <f t="shared" si="36"/>
        <v>0.42480360178500465</v>
      </c>
      <c r="R41" s="125">
        <f t="shared" si="32"/>
        <v>0</v>
      </c>
      <c r="S41" s="125">
        <f t="shared" si="37"/>
        <v>0.42480360178500465</v>
      </c>
      <c r="T41" s="125">
        <f t="shared" si="37"/>
        <v>-0.42480360178500465</v>
      </c>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row>
    <row r="42" spans="2:60">
      <c r="B42" s="72">
        <f t="shared" si="33"/>
        <v>1</v>
      </c>
      <c r="C42" s="72">
        <f t="shared" si="15"/>
        <v>2</v>
      </c>
      <c r="D42" s="72" t="str">
        <f t="shared" si="34"/>
        <v>Duke</v>
      </c>
      <c r="E42" s="73">
        <v>2013</v>
      </c>
      <c r="F42" s="374">
        <v>2858.27</v>
      </c>
      <c r="G42" s="75">
        <f t="shared" si="30"/>
        <v>0.21003005410256065</v>
      </c>
      <c r="H42" s="72"/>
      <c r="I42" s="72"/>
      <c r="J42" s="374">
        <v>41250.778140000002</v>
      </c>
      <c r="K42" s="75">
        <f>J42/$J$224</f>
        <v>4.8994786213893249E-2</v>
      </c>
      <c r="L42" s="72"/>
      <c r="M42" s="374">
        <v>5258826</v>
      </c>
      <c r="N42" s="374">
        <v>105619.0259207112</v>
      </c>
      <c r="O42" s="74">
        <f t="shared" ref="O42:O43" si="38">N42-J42</f>
        <v>64368.247780711194</v>
      </c>
      <c r="P42" s="75">
        <f t="shared" si="35"/>
        <v>0.60943799869005422</v>
      </c>
      <c r="Q42" s="75">
        <f t="shared" ref="Q42:Q43" si="39">1-P42</f>
        <v>0.39056200130994578</v>
      </c>
      <c r="R42" s="125">
        <f t="shared" ref="R42:R43" si="40">Q42*L42</f>
        <v>0</v>
      </c>
      <c r="S42" s="125">
        <f t="shared" ref="S42:S43" si="41">Q42-R42</f>
        <v>0.39056200130994578</v>
      </c>
      <c r="T42" s="125">
        <f t="shared" ref="T42:T43" si="42">R42-S42</f>
        <v>-0.39056200130994578</v>
      </c>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row>
    <row r="43" spans="2:60">
      <c r="B43" s="72">
        <f t="shared" si="33"/>
        <v>1</v>
      </c>
      <c r="C43" s="72">
        <f t="shared" si="15"/>
        <v>2</v>
      </c>
      <c r="D43" s="72" t="str">
        <f t="shared" si="34"/>
        <v>Duke</v>
      </c>
      <c r="E43" s="73">
        <v>2014</v>
      </c>
      <c r="F43" s="374">
        <v>2858.72</v>
      </c>
      <c r="G43" s="75">
        <f t="shared" si="30"/>
        <v>0.20002026803578854</v>
      </c>
      <c r="H43" s="72"/>
      <c r="I43" s="72"/>
      <c r="J43" s="374">
        <v>40395.289770000003</v>
      </c>
      <c r="K43" s="75">
        <f>J43/$J$225</f>
        <v>4.6681587593048642E-2</v>
      </c>
      <c r="L43" s="72"/>
      <c r="M43" s="374">
        <v>5008985</v>
      </c>
      <c r="N43" s="374">
        <v>98705.61970064271</v>
      </c>
      <c r="O43" s="74">
        <f t="shared" si="38"/>
        <v>58310.329930642707</v>
      </c>
      <c r="P43" s="75">
        <f t="shared" si="35"/>
        <v>0.5907498489699774</v>
      </c>
      <c r="Q43" s="75">
        <f t="shared" si="39"/>
        <v>0.4092501510300226</v>
      </c>
      <c r="R43" s="125">
        <f t="shared" si="40"/>
        <v>0</v>
      </c>
      <c r="S43" s="125">
        <f t="shared" si="41"/>
        <v>0.4092501510300226</v>
      </c>
      <c r="T43" s="125">
        <f t="shared" si="42"/>
        <v>-0.4092501510300226</v>
      </c>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row>
    <row r="44" spans="2:60">
      <c r="B44" s="69">
        <f>'OPG hydro peers'!B7</f>
        <v>1</v>
      </c>
      <c r="C44" s="69">
        <f t="shared" si="15"/>
        <v>3</v>
      </c>
      <c r="D44" s="69" t="str">
        <f>'OPG hydro peers'!D7</f>
        <v>VA Electric</v>
      </c>
      <c r="E44" s="70">
        <v>2002</v>
      </c>
      <c r="F44" s="373">
        <v>1718</v>
      </c>
      <c r="G44" s="76">
        <f t="shared" ref="G44:G56" si="43">M44/(F44*8760)</f>
        <v>0.18245623827217589</v>
      </c>
      <c r="H44" s="71"/>
      <c r="I44" s="71"/>
      <c r="J44" s="373">
        <v>7381.7035500000002</v>
      </c>
      <c r="K44" s="76">
        <f>J44/$J$213</f>
        <v>1.4267043103884568E-2</v>
      </c>
      <c r="L44" s="76"/>
      <c r="M44" s="373">
        <v>2745908</v>
      </c>
      <c r="N44" s="373">
        <v>10366.585716138656</v>
      </c>
      <c r="O44" s="71">
        <f t="shared" ref="O44:O54" si="44">N44-J44</f>
        <v>2984.8821661386555</v>
      </c>
      <c r="P44" s="76">
        <f>O44/N44</f>
        <v>0.28793300396791238</v>
      </c>
      <c r="Q44" s="76">
        <f>1-P44</f>
        <v>0.71206699603208756</v>
      </c>
      <c r="R44" s="126">
        <f t="shared" ref="R44:R54" si="45">Q44*L44</f>
        <v>0</v>
      </c>
      <c r="S44" s="126">
        <f>Q44-R44</f>
        <v>0.71206699603208756</v>
      </c>
      <c r="T44" s="126">
        <f>R44-S44</f>
        <v>-0.71206699603208756</v>
      </c>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row>
    <row r="45" spans="2:60">
      <c r="B45" s="69">
        <f t="shared" ref="B45:B56" si="46">B44</f>
        <v>1</v>
      </c>
      <c r="C45" s="69">
        <f t="shared" si="15"/>
        <v>3</v>
      </c>
      <c r="D45" s="69" t="str">
        <f t="shared" ref="D45:D56" si="47">D44</f>
        <v>VA Electric</v>
      </c>
      <c r="E45" s="70">
        <v>2003</v>
      </c>
      <c r="F45" s="373">
        <v>2379</v>
      </c>
      <c r="G45" s="76">
        <f t="shared" si="43"/>
        <v>0.16910116295362196</v>
      </c>
      <c r="H45" s="71"/>
      <c r="I45" s="71"/>
      <c r="J45" s="373">
        <v>7403.8337100000008</v>
      </c>
      <c r="K45" s="76">
        <f>J45/$J$214</f>
        <v>1.3201268416627478E-2</v>
      </c>
      <c r="L45" s="76"/>
      <c r="M45" s="373">
        <v>3524075</v>
      </c>
      <c r="N45" s="373">
        <v>60446.254734085582</v>
      </c>
      <c r="O45" s="71">
        <f t="shared" si="44"/>
        <v>53042.421024085583</v>
      </c>
      <c r="P45" s="76">
        <f t="shared" ref="P45:P54" si="48">O45/N45</f>
        <v>0.87751377248150686</v>
      </c>
      <c r="Q45" s="76">
        <f t="shared" ref="Q45:Q54" si="49">1-P45</f>
        <v>0.12248622751849314</v>
      </c>
      <c r="R45" s="126">
        <f t="shared" si="45"/>
        <v>0</v>
      </c>
      <c r="S45" s="126">
        <f t="shared" ref="S45:T54" si="50">Q45-R45</f>
        <v>0.12248622751849314</v>
      </c>
      <c r="T45" s="126">
        <f t="shared" si="50"/>
        <v>-0.12248622751849314</v>
      </c>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row>
    <row r="46" spans="2:60">
      <c r="B46" s="69">
        <f t="shared" si="46"/>
        <v>1</v>
      </c>
      <c r="C46" s="69">
        <f t="shared" si="15"/>
        <v>3</v>
      </c>
      <c r="D46" s="69" t="str">
        <f t="shared" si="47"/>
        <v>VA Electric</v>
      </c>
      <c r="E46" s="70">
        <v>2004</v>
      </c>
      <c r="F46" s="373">
        <v>2379</v>
      </c>
      <c r="G46" s="76">
        <f t="shared" si="43"/>
        <v>0.14741137732941012</v>
      </c>
      <c r="H46" s="71"/>
      <c r="I46" s="71"/>
      <c r="J46" s="373">
        <v>7900.3182900000002</v>
      </c>
      <c r="K46" s="76">
        <f>J46/$J$215</f>
        <v>1.3152236200959577E-2</v>
      </c>
      <c r="L46" s="76"/>
      <c r="M46" s="373">
        <v>3072059</v>
      </c>
      <c r="N46" s="373">
        <v>41524.247009285973</v>
      </c>
      <c r="O46" s="71">
        <f t="shared" si="44"/>
        <v>33623.92871928597</v>
      </c>
      <c r="P46" s="76">
        <f t="shared" si="48"/>
        <v>0.80974204569601771</v>
      </c>
      <c r="Q46" s="76">
        <f t="shared" si="49"/>
        <v>0.19025795430398229</v>
      </c>
      <c r="R46" s="126">
        <f t="shared" si="45"/>
        <v>0</v>
      </c>
      <c r="S46" s="126">
        <f t="shared" si="50"/>
        <v>0.19025795430398229</v>
      </c>
      <c r="T46" s="126">
        <f t="shared" si="50"/>
        <v>-0.19025795430398229</v>
      </c>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row>
    <row r="47" spans="2:60">
      <c r="B47" s="69">
        <f t="shared" si="46"/>
        <v>1</v>
      </c>
      <c r="C47" s="69">
        <f t="shared" si="15"/>
        <v>3</v>
      </c>
      <c r="D47" s="69" t="str">
        <f t="shared" si="47"/>
        <v>VA Electric</v>
      </c>
      <c r="E47" s="70">
        <v>2005</v>
      </c>
      <c r="F47" s="373">
        <v>2379</v>
      </c>
      <c r="G47" s="76">
        <f t="shared" si="43"/>
        <v>0.12423647939255396</v>
      </c>
      <c r="H47" s="71"/>
      <c r="I47" s="71"/>
      <c r="J47" s="373">
        <v>9619.5188099999996</v>
      </c>
      <c r="K47" s="76">
        <f>J47/$J$216</f>
        <v>1.5399044036364757E-2</v>
      </c>
      <c r="L47" s="76"/>
      <c r="M47" s="373">
        <v>2589093.2000000002</v>
      </c>
      <c r="N47" s="373">
        <v>43432.628896851224</v>
      </c>
      <c r="O47" s="71">
        <f t="shared" si="44"/>
        <v>33813.110086851222</v>
      </c>
      <c r="P47" s="76">
        <f t="shared" si="48"/>
        <v>0.77851861482192264</v>
      </c>
      <c r="Q47" s="76">
        <f t="shared" si="49"/>
        <v>0.22148138517807736</v>
      </c>
      <c r="R47" s="126">
        <f t="shared" si="45"/>
        <v>0</v>
      </c>
      <c r="S47" s="126">
        <f t="shared" si="50"/>
        <v>0.22148138517807736</v>
      </c>
      <c r="T47" s="126">
        <f t="shared" si="50"/>
        <v>-0.22148138517807736</v>
      </c>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row>
    <row r="48" spans="2:60">
      <c r="B48" s="69">
        <f t="shared" si="46"/>
        <v>1</v>
      </c>
      <c r="C48" s="69">
        <f t="shared" si="15"/>
        <v>3</v>
      </c>
      <c r="D48" s="69" t="str">
        <f t="shared" si="47"/>
        <v>VA Electric</v>
      </c>
      <c r="E48" s="70">
        <v>2006</v>
      </c>
      <c r="F48" s="373">
        <v>2379</v>
      </c>
      <c r="G48" s="76">
        <f t="shared" si="43"/>
        <v>0.14059361690284664</v>
      </c>
      <c r="H48" s="71"/>
      <c r="I48" s="71"/>
      <c r="J48" s="373">
        <v>10982.850810000002</v>
      </c>
      <c r="K48" s="76">
        <f>J48/$J$217</f>
        <v>1.6529667193653098E-2</v>
      </c>
      <c r="L48" s="76"/>
      <c r="M48" s="373">
        <v>2929976.6</v>
      </c>
      <c r="N48" s="373">
        <v>32011.665064379726</v>
      </c>
      <c r="O48" s="71">
        <f t="shared" si="44"/>
        <v>21028.814254379722</v>
      </c>
      <c r="P48" s="76">
        <f t="shared" si="48"/>
        <v>0.6569109795472361</v>
      </c>
      <c r="Q48" s="76">
        <f t="shared" si="49"/>
        <v>0.3430890204527639</v>
      </c>
      <c r="R48" s="126">
        <f t="shared" si="45"/>
        <v>0</v>
      </c>
      <c r="S48" s="126">
        <f t="shared" si="50"/>
        <v>0.3430890204527639</v>
      </c>
      <c r="T48" s="126">
        <f t="shared" si="50"/>
        <v>-0.3430890204527639</v>
      </c>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row>
    <row r="49" spans="2:60">
      <c r="B49" s="69">
        <f t="shared" si="46"/>
        <v>1</v>
      </c>
      <c r="C49" s="69">
        <f t="shared" si="15"/>
        <v>3</v>
      </c>
      <c r="D49" s="69" t="str">
        <f t="shared" si="47"/>
        <v>VA Electric</v>
      </c>
      <c r="E49" s="70">
        <v>2007</v>
      </c>
      <c r="F49" s="373">
        <v>1694</v>
      </c>
      <c r="G49" s="76">
        <f t="shared" si="43"/>
        <v>0.18650304863256295</v>
      </c>
      <c r="H49" s="71"/>
      <c r="I49" s="71"/>
      <c r="J49" s="373">
        <v>11785.71117</v>
      </c>
      <c r="K49" s="76">
        <f>J49/$J$218</f>
        <v>1.6340159391956471E-2</v>
      </c>
      <c r="L49" s="76"/>
      <c r="M49" s="373">
        <v>2767600.8</v>
      </c>
      <c r="N49" s="373">
        <v>33715.080391950483</v>
      </c>
      <c r="O49" s="71">
        <f t="shared" si="44"/>
        <v>21929.369221950481</v>
      </c>
      <c r="P49" s="76">
        <f t="shared" si="48"/>
        <v>0.65043206087641847</v>
      </c>
      <c r="Q49" s="76">
        <f t="shared" si="49"/>
        <v>0.34956793912358153</v>
      </c>
      <c r="R49" s="126">
        <f t="shared" si="45"/>
        <v>0</v>
      </c>
      <c r="S49" s="126">
        <f t="shared" si="50"/>
        <v>0.34956793912358153</v>
      </c>
      <c r="T49" s="126">
        <f t="shared" si="50"/>
        <v>-0.34956793912358153</v>
      </c>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row>
    <row r="50" spans="2:60">
      <c r="B50" s="69">
        <f t="shared" si="46"/>
        <v>1</v>
      </c>
      <c r="C50" s="69">
        <f t="shared" si="15"/>
        <v>3</v>
      </c>
      <c r="D50" s="69" t="str">
        <f t="shared" si="47"/>
        <v>VA Electric</v>
      </c>
      <c r="E50" s="70">
        <v>2008</v>
      </c>
      <c r="F50" s="373">
        <v>1950</v>
      </c>
      <c r="G50" s="76">
        <f t="shared" si="43"/>
        <v>0.11967088162978574</v>
      </c>
      <c r="H50" s="71"/>
      <c r="I50" s="71"/>
      <c r="J50" s="373">
        <v>12597.277470000001</v>
      </c>
      <c r="K50" s="76">
        <f>J50/$J$219</f>
        <v>1.6116306437830026E-2</v>
      </c>
      <c r="L50" s="76"/>
      <c r="M50" s="373">
        <v>2044218</v>
      </c>
      <c r="N50" s="373">
        <v>30817.60441221339</v>
      </c>
      <c r="O50" s="71">
        <f t="shared" si="44"/>
        <v>18220.326942213389</v>
      </c>
      <c r="P50" s="76">
        <f t="shared" si="48"/>
        <v>0.59123112551189905</v>
      </c>
      <c r="Q50" s="76">
        <f t="shared" si="49"/>
        <v>0.40876887448810095</v>
      </c>
      <c r="R50" s="126">
        <f t="shared" si="45"/>
        <v>0</v>
      </c>
      <c r="S50" s="126">
        <f t="shared" si="50"/>
        <v>0.40876887448810095</v>
      </c>
      <c r="T50" s="126">
        <f t="shared" si="50"/>
        <v>-0.40876887448810095</v>
      </c>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row>
    <row r="51" spans="2:60">
      <c r="B51" s="69">
        <f t="shared" si="46"/>
        <v>1</v>
      </c>
      <c r="C51" s="69">
        <f t="shared" si="15"/>
        <v>3</v>
      </c>
      <c r="D51" s="69" t="str">
        <f t="shared" si="47"/>
        <v>VA Electric</v>
      </c>
      <c r="E51" s="70">
        <v>2009</v>
      </c>
      <c r="F51" s="373">
        <v>2080</v>
      </c>
      <c r="G51" s="76">
        <f t="shared" si="43"/>
        <v>0.15440930145767476</v>
      </c>
      <c r="H51" s="71"/>
      <c r="I51" s="71"/>
      <c r="J51" s="373">
        <v>12129.21819</v>
      </c>
      <c r="K51" s="76">
        <f>J51/$J$220</f>
        <v>1.5515006221902848E-2</v>
      </c>
      <c r="L51" s="76"/>
      <c r="M51" s="373">
        <v>2813461</v>
      </c>
      <c r="N51" s="373">
        <v>32547.346347249768</v>
      </c>
      <c r="O51" s="71">
        <f t="shared" si="44"/>
        <v>20418.128157249768</v>
      </c>
      <c r="P51" s="76">
        <f t="shared" si="48"/>
        <v>0.62733618708595851</v>
      </c>
      <c r="Q51" s="76">
        <f t="shared" si="49"/>
        <v>0.37266381291404149</v>
      </c>
      <c r="R51" s="126">
        <f t="shared" si="45"/>
        <v>0</v>
      </c>
      <c r="S51" s="126">
        <f t="shared" si="50"/>
        <v>0.37266381291404149</v>
      </c>
      <c r="T51" s="126">
        <f t="shared" si="50"/>
        <v>-0.37266381291404149</v>
      </c>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row>
    <row r="52" spans="2:60">
      <c r="B52" s="69">
        <f t="shared" si="46"/>
        <v>1</v>
      </c>
      <c r="C52" s="69">
        <f t="shared" si="15"/>
        <v>3</v>
      </c>
      <c r="D52" s="69" t="str">
        <f t="shared" si="47"/>
        <v>VA Electric</v>
      </c>
      <c r="E52" s="70">
        <v>2010</v>
      </c>
      <c r="F52" s="373">
        <v>2080</v>
      </c>
      <c r="G52" s="76">
        <f t="shared" si="43"/>
        <v>0.17907203525641024</v>
      </c>
      <c r="H52" s="71"/>
      <c r="I52" s="71"/>
      <c r="J52" s="373">
        <v>10527.637650000001</v>
      </c>
      <c r="K52" s="76">
        <f>J52/$J$221</f>
        <v>1.2527598983725961E-2</v>
      </c>
      <c r="L52" s="76"/>
      <c r="M52" s="373">
        <v>3262835.7399999998</v>
      </c>
      <c r="N52" s="373">
        <v>42458.519756243048</v>
      </c>
      <c r="O52" s="71">
        <f t="shared" si="44"/>
        <v>31930.882106243047</v>
      </c>
      <c r="P52" s="76">
        <f t="shared" si="48"/>
        <v>0.75204887710547119</v>
      </c>
      <c r="Q52" s="76">
        <f t="shared" si="49"/>
        <v>0.24795112289452881</v>
      </c>
      <c r="R52" s="126">
        <f t="shared" si="45"/>
        <v>0</v>
      </c>
      <c r="S52" s="126">
        <f t="shared" si="50"/>
        <v>0.24795112289452881</v>
      </c>
      <c r="T52" s="126">
        <f t="shared" si="50"/>
        <v>-0.24795112289452881</v>
      </c>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row>
    <row r="53" spans="2:60">
      <c r="B53" s="69">
        <f t="shared" si="46"/>
        <v>1</v>
      </c>
      <c r="C53" s="69">
        <f t="shared" si="15"/>
        <v>3</v>
      </c>
      <c r="D53" s="69" t="str">
        <f t="shared" si="47"/>
        <v>VA Electric</v>
      </c>
      <c r="E53" s="70">
        <v>2011</v>
      </c>
      <c r="F53" s="373">
        <v>2080</v>
      </c>
      <c r="G53" s="76">
        <f t="shared" si="43"/>
        <v>0.16115412001668425</v>
      </c>
      <c r="H53" s="71"/>
      <c r="I53" s="71"/>
      <c r="J53" s="373">
        <v>11333.77965</v>
      </c>
      <c r="K53" s="76">
        <f>J53/$J$222</f>
        <v>1.3926731378529487E-2</v>
      </c>
      <c r="L53" s="76"/>
      <c r="M53" s="373">
        <v>2936356.99</v>
      </c>
      <c r="N53" s="373">
        <v>21335.973696428639</v>
      </c>
      <c r="O53" s="71">
        <f t="shared" si="44"/>
        <v>10002.194046428638</v>
      </c>
      <c r="P53" s="76">
        <f t="shared" si="48"/>
        <v>0.46879482458786842</v>
      </c>
      <c r="Q53" s="76">
        <f t="shared" si="49"/>
        <v>0.53120517541213164</v>
      </c>
      <c r="R53" s="126">
        <f t="shared" si="45"/>
        <v>0</v>
      </c>
      <c r="S53" s="126">
        <f t="shared" si="50"/>
        <v>0.53120517541213164</v>
      </c>
      <c r="T53" s="126">
        <f t="shared" si="50"/>
        <v>-0.53120517541213164</v>
      </c>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row>
    <row r="54" spans="2:60">
      <c r="B54" s="69">
        <f t="shared" si="46"/>
        <v>1</v>
      </c>
      <c r="C54" s="69">
        <f t="shared" si="15"/>
        <v>3</v>
      </c>
      <c r="D54" s="69" t="str">
        <f t="shared" si="47"/>
        <v>VA Electric</v>
      </c>
      <c r="E54" s="70">
        <v>2012</v>
      </c>
      <c r="F54" s="373">
        <v>2122</v>
      </c>
      <c r="G54" s="76">
        <f t="shared" si="43"/>
        <v>0.24182379582886826</v>
      </c>
      <c r="H54" s="71"/>
      <c r="I54" s="71"/>
      <c r="J54" s="373">
        <v>10517.659889999999</v>
      </c>
      <c r="K54" s="76">
        <f>J54/$J$223</f>
        <v>1.2747186775136058E-2</v>
      </c>
      <c r="L54" s="76"/>
      <c r="M54" s="373">
        <v>4495194.83</v>
      </c>
      <c r="N54" s="373">
        <v>13773.14417815394</v>
      </c>
      <c r="O54" s="71">
        <f t="shared" si="44"/>
        <v>3255.4842881539407</v>
      </c>
      <c r="P54" s="76">
        <f t="shared" si="48"/>
        <v>0.2363646416565926</v>
      </c>
      <c r="Q54" s="76">
        <f t="shared" si="49"/>
        <v>0.76363535834340746</v>
      </c>
      <c r="R54" s="126">
        <f t="shared" si="45"/>
        <v>0</v>
      </c>
      <c r="S54" s="126">
        <f t="shared" si="50"/>
        <v>0.76363535834340746</v>
      </c>
      <c r="T54" s="126">
        <f t="shared" si="50"/>
        <v>-0.76363535834340746</v>
      </c>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row>
    <row r="55" spans="2:60">
      <c r="B55" s="69">
        <f t="shared" si="46"/>
        <v>1</v>
      </c>
      <c r="C55" s="69">
        <f t="shared" si="15"/>
        <v>3</v>
      </c>
      <c r="D55" s="69" t="str">
        <f t="shared" si="47"/>
        <v>VA Electric</v>
      </c>
      <c r="E55" s="70">
        <v>2013</v>
      </c>
      <c r="F55" s="373">
        <v>2122</v>
      </c>
      <c r="G55" s="76">
        <f t="shared" si="43"/>
        <v>0.15774044097710871</v>
      </c>
      <c r="H55" s="69"/>
      <c r="I55" s="69"/>
      <c r="J55" s="376">
        <v>10047.65229</v>
      </c>
      <c r="K55" s="76">
        <f>J55/$J$224</f>
        <v>1.1933897931072699E-2</v>
      </c>
      <c r="L55" s="69"/>
      <c r="M55" s="373">
        <v>2932192.89</v>
      </c>
      <c r="N55" s="373">
        <v>29588.882999244845</v>
      </c>
      <c r="O55" s="71">
        <f t="shared" ref="O55:O56" si="51">N55-J55</f>
        <v>19541.230709244846</v>
      </c>
      <c r="P55" s="76">
        <f t="shared" ref="P55:P56" si="52">O55/N55</f>
        <v>0.66042475174691695</v>
      </c>
      <c r="Q55" s="76">
        <f t="shared" ref="Q55:Q56" si="53">1-P55</f>
        <v>0.33957524825308305</v>
      </c>
      <c r="R55" s="126">
        <f t="shared" ref="R55:R56" si="54">Q55*L55</f>
        <v>0</v>
      </c>
      <c r="S55" s="126">
        <f t="shared" ref="S55:S56" si="55">Q55-R55</f>
        <v>0.33957524825308305</v>
      </c>
      <c r="T55" s="126">
        <f t="shared" ref="T55:T56" si="56">R55-S55</f>
        <v>-0.33957524825308305</v>
      </c>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row>
    <row r="56" spans="2:60">
      <c r="B56" s="69">
        <f t="shared" si="46"/>
        <v>1</v>
      </c>
      <c r="C56" s="69">
        <f t="shared" ref="C56:C92" si="57">IF(D56=D55,C55,C55+1)</f>
        <v>3</v>
      </c>
      <c r="D56" s="69" t="str">
        <f t="shared" si="47"/>
        <v>VA Electric</v>
      </c>
      <c r="E56" s="70">
        <v>2014</v>
      </c>
      <c r="F56" s="373">
        <v>2122</v>
      </c>
      <c r="G56" s="76">
        <f t="shared" si="43"/>
        <v>0.16653830979217502</v>
      </c>
      <c r="H56" s="69"/>
      <c r="I56" s="69"/>
      <c r="J56" s="376">
        <v>13058.98503</v>
      </c>
      <c r="K56" s="76">
        <f>J56/$J$225</f>
        <v>1.5091218729342857E-2</v>
      </c>
      <c r="L56" s="69"/>
      <c r="M56" s="373">
        <v>3095734.01</v>
      </c>
      <c r="N56" s="373">
        <v>50652.218574332495</v>
      </c>
      <c r="O56" s="71">
        <f t="shared" si="51"/>
        <v>37593.233544332499</v>
      </c>
      <c r="P56" s="76">
        <f t="shared" si="52"/>
        <v>0.74218335548647607</v>
      </c>
      <c r="Q56" s="76">
        <f t="shared" si="53"/>
        <v>0.25781664451352393</v>
      </c>
      <c r="R56" s="126">
        <f t="shared" si="54"/>
        <v>0</v>
      </c>
      <c r="S56" s="126">
        <f t="shared" si="55"/>
        <v>0.25781664451352393</v>
      </c>
      <c r="T56" s="126">
        <f t="shared" si="56"/>
        <v>-0.25781664451352393</v>
      </c>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row>
    <row r="57" spans="2:60">
      <c r="B57" s="72">
        <f>'OPG hydro peers'!B8</f>
        <v>1</v>
      </c>
      <c r="C57" s="72">
        <f t="shared" si="57"/>
        <v>4</v>
      </c>
      <c r="D57" s="72" t="str">
        <f>'OPG hydro peers'!D8</f>
        <v>ID Power</v>
      </c>
      <c r="E57" s="73">
        <v>2002</v>
      </c>
      <c r="F57" s="374">
        <v>1695.38</v>
      </c>
      <c r="G57" s="75">
        <f t="shared" ref="G57:G69" si="58">M57/(F57*8760)</f>
        <v>0.40214344801997753</v>
      </c>
      <c r="H57" s="74"/>
      <c r="I57" s="74"/>
      <c r="J57" s="374">
        <v>19531.863720000001</v>
      </c>
      <c r="K57" s="75">
        <f>J57/$J$213</f>
        <v>3.7750356635825509E-2</v>
      </c>
      <c r="L57" s="75"/>
      <c r="M57" s="374">
        <v>5972445</v>
      </c>
      <c r="N57" s="374">
        <v>164988.6196401761</v>
      </c>
      <c r="O57" s="74">
        <f t="shared" ref="O57:O67" si="59">N57-J57</f>
        <v>145456.7559201761</v>
      </c>
      <c r="P57" s="75">
        <f>O57/N57</f>
        <v>0.88161690325916375</v>
      </c>
      <c r="Q57" s="75">
        <f>1-P57</f>
        <v>0.11838309674083625</v>
      </c>
      <c r="R57" s="125">
        <f t="shared" ref="R57:R67" si="60">Q57*L57</f>
        <v>0</v>
      </c>
      <c r="S57" s="125">
        <f>Q57-R57</f>
        <v>0.11838309674083625</v>
      </c>
      <c r="T57" s="125">
        <f>R57-S57</f>
        <v>-0.11838309674083625</v>
      </c>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row>
    <row r="58" spans="2:60">
      <c r="B58" s="72">
        <f t="shared" ref="B58:B69" si="61">B57</f>
        <v>1</v>
      </c>
      <c r="C58" s="72">
        <f t="shared" si="57"/>
        <v>4</v>
      </c>
      <c r="D58" s="72" t="str">
        <f t="shared" ref="D58:D69" si="62">D57</f>
        <v>ID Power</v>
      </c>
      <c r="E58" s="73">
        <v>2003</v>
      </c>
      <c r="F58" s="374">
        <v>1695.38</v>
      </c>
      <c r="G58" s="75">
        <f t="shared" si="58"/>
        <v>0.40998358364291759</v>
      </c>
      <c r="H58" s="74"/>
      <c r="I58" s="74"/>
      <c r="J58" s="374">
        <v>20580.041430000001</v>
      </c>
      <c r="K58" s="75">
        <f>J58/$J$214</f>
        <v>3.6694861281905258E-2</v>
      </c>
      <c r="L58" s="75"/>
      <c r="M58" s="374">
        <v>6088883</v>
      </c>
      <c r="N58" s="374">
        <v>284528.62400695944</v>
      </c>
      <c r="O58" s="74">
        <f t="shared" si="59"/>
        <v>263948.58257695945</v>
      </c>
      <c r="P58" s="75">
        <f t="shared" ref="P58:P67" si="63">O58/N58</f>
        <v>0.92766969755037154</v>
      </c>
      <c r="Q58" s="75">
        <f t="shared" ref="Q58:Q67" si="64">1-P58</f>
        <v>7.2330302449628459E-2</v>
      </c>
      <c r="R58" s="125">
        <f t="shared" si="60"/>
        <v>0</v>
      </c>
      <c r="S58" s="125">
        <f t="shared" ref="S58:T67" si="65">Q58-R58</f>
        <v>7.2330302449628459E-2</v>
      </c>
      <c r="T58" s="125">
        <f t="shared" si="65"/>
        <v>-7.2330302449628459E-2</v>
      </c>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row>
    <row r="59" spans="2:60">
      <c r="B59" s="72">
        <f t="shared" si="61"/>
        <v>1</v>
      </c>
      <c r="C59" s="72">
        <f t="shared" si="57"/>
        <v>4</v>
      </c>
      <c r="D59" s="72" t="str">
        <f t="shared" si="62"/>
        <v>ID Power</v>
      </c>
      <c r="E59" s="73">
        <v>2004</v>
      </c>
      <c r="F59" s="374">
        <v>1695.38</v>
      </c>
      <c r="G59" s="75">
        <f t="shared" si="58"/>
        <v>0.4021234500787555</v>
      </c>
      <c r="H59" s="74"/>
      <c r="I59" s="74"/>
      <c r="J59" s="374">
        <v>24071.931479999999</v>
      </c>
      <c r="K59" s="75">
        <f>J59/$J$215</f>
        <v>4.0074300429011507E-2</v>
      </c>
      <c r="L59" s="75"/>
      <c r="M59" s="374">
        <v>5972148</v>
      </c>
      <c r="N59" s="374">
        <v>305563.26775860606</v>
      </c>
      <c r="O59" s="74">
        <f t="shared" si="59"/>
        <v>281491.33627860609</v>
      </c>
      <c r="P59" s="75">
        <f t="shared" si="63"/>
        <v>0.921221121712127</v>
      </c>
      <c r="Q59" s="75">
        <f t="shared" si="64"/>
        <v>7.8778878287873E-2</v>
      </c>
      <c r="R59" s="125">
        <f t="shared" si="60"/>
        <v>0</v>
      </c>
      <c r="S59" s="125">
        <f t="shared" si="65"/>
        <v>7.8778878287873E-2</v>
      </c>
      <c r="T59" s="125">
        <f t="shared" si="65"/>
        <v>-7.8778878287873E-2</v>
      </c>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row>
    <row r="60" spans="2:60">
      <c r="B60" s="72">
        <f t="shared" si="61"/>
        <v>1</v>
      </c>
      <c r="C60" s="72">
        <f t="shared" si="57"/>
        <v>4</v>
      </c>
      <c r="D60" s="72" t="str">
        <f t="shared" si="62"/>
        <v>ID Power</v>
      </c>
      <c r="E60" s="73">
        <v>2005</v>
      </c>
      <c r="F60" s="374">
        <v>1695.38</v>
      </c>
      <c r="G60" s="75">
        <f t="shared" si="58"/>
        <v>0.41375019923874773</v>
      </c>
      <c r="H60" s="74"/>
      <c r="I60" s="74"/>
      <c r="J60" s="374">
        <v>25021.325430000001</v>
      </c>
      <c r="K60" s="75">
        <f>J60/$J$216</f>
        <v>4.005444552426457E-2</v>
      </c>
      <c r="L60" s="75"/>
      <c r="M60" s="374">
        <v>6144823</v>
      </c>
      <c r="N60" s="374">
        <v>431549.9626206687</v>
      </c>
      <c r="O60" s="74">
        <f t="shared" si="59"/>
        <v>406528.63719066867</v>
      </c>
      <c r="P60" s="75">
        <f t="shared" si="63"/>
        <v>0.94201986421675654</v>
      </c>
      <c r="Q60" s="75">
        <f t="shared" si="64"/>
        <v>5.7980135783243458E-2</v>
      </c>
      <c r="R60" s="125">
        <f t="shared" si="60"/>
        <v>0</v>
      </c>
      <c r="S60" s="125">
        <f t="shared" si="65"/>
        <v>5.7980135783243458E-2</v>
      </c>
      <c r="T60" s="125">
        <f t="shared" si="65"/>
        <v>-5.7980135783243458E-2</v>
      </c>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row>
    <row r="61" spans="2:60">
      <c r="B61" s="72">
        <f t="shared" si="61"/>
        <v>1</v>
      </c>
      <c r="C61" s="72">
        <f t="shared" si="57"/>
        <v>4</v>
      </c>
      <c r="D61" s="72" t="str">
        <f t="shared" si="62"/>
        <v>ID Power</v>
      </c>
      <c r="E61" s="73">
        <v>2006</v>
      </c>
      <c r="F61" s="374">
        <v>1695.38</v>
      </c>
      <c r="G61" s="75">
        <f t="shared" si="58"/>
        <v>0.61545313772680421</v>
      </c>
      <c r="H61" s="74"/>
      <c r="I61" s="74"/>
      <c r="J61" s="374">
        <v>27153.40005</v>
      </c>
      <c r="K61" s="75">
        <f>J61/$J$217</f>
        <v>4.0867045703102227E-2</v>
      </c>
      <c r="L61" s="75"/>
      <c r="M61" s="374">
        <v>9140420</v>
      </c>
      <c r="N61" s="374">
        <v>508252.05472358083</v>
      </c>
      <c r="O61" s="74">
        <f t="shared" si="59"/>
        <v>481098.65467358084</v>
      </c>
      <c r="P61" s="75">
        <f t="shared" si="63"/>
        <v>0.94657493305212959</v>
      </c>
      <c r="Q61" s="75">
        <f t="shared" si="64"/>
        <v>5.3425066947870414E-2</v>
      </c>
      <c r="R61" s="125">
        <f t="shared" si="60"/>
        <v>0</v>
      </c>
      <c r="S61" s="125">
        <f t="shared" si="65"/>
        <v>5.3425066947870414E-2</v>
      </c>
      <c r="T61" s="125">
        <f t="shared" si="65"/>
        <v>-5.3425066947870414E-2</v>
      </c>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row>
    <row r="62" spans="2:60">
      <c r="B62" s="72">
        <f t="shared" si="61"/>
        <v>1</v>
      </c>
      <c r="C62" s="72">
        <f t="shared" si="57"/>
        <v>4</v>
      </c>
      <c r="D62" s="72" t="str">
        <f t="shared" si="62"/>
        <v>ID Power</v>
      </c>
      <c r="E62" s="73">
        <v>2007</v>
      </c>
      <c r="F62" s="374">
        <v>1695.38</v>
      </c>
      <c r="G62" s="75">
        <f t="shared" si="58"/>
        <v>0.4115001278521575</v>
      </c>
      <c r="H62" s="74"/>
      <c r="I62" s="74"/>
      <c r="J62" s="374">
        <v>28498.606769999999</v>
      </c>
      <c r="K62" s="75">
        <f>J62/$J$218</f>
        <v>3.951155516655086E-2</v>
      </c>
      <c r="L62" s="75"/>
      <c r="M62" s="374">
        <v>6111406</v>
      </c>
      <c r="N62" s="374">
        <v>394717.87990298856</v>
      </c>
      <c r="O62" s="74">
        <f t="shared" si="59"/>
        <v>366219.27313298854</v>
      </c>
      <c r="P62" s="75">
        <f t="shared" si="63"/>
        <v>0.92780006120572944</v>
      </c>
      <c r="Q62" s="75">
        <f t="shared" si="64"/>
        <v>7.2199938794270557E-2</v>
      </c>
      <c r="R62" s="125">
        <f t="shared" si="60"/>
        <v>0</v>
      </c>
      <c r="S62" s="125">
        <f t="shared" si="65"/>
        <v>7.2199938794270557E-2</v>
      </c>
      <c r="T62" s="125">
        <f t="shared" si="65"/>
        <v>-7.2199938794270557E-2</v>
      </c>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row>
    <row r="63" spans="2:60">
      <c r="B63" s="72">
        <f t="shared" si="61"/>
        <v>1</v>
      </c>
      <c r="C63" s="72">
        <f t="shared" si="57"/>
        <v>4</v>
      </c>
      <c r="D63" s="72" t="str">
        <f t="shared" si="62"/>
        <v>ID Power</v>
      </c>
      <c r="E63" s="73">
        <v>2008</v>
      </c>
      <c r="F63" s="374">
        <v>1695.38</v>
      </c>
      <c r="G63" s="75">
        <f t="shared" si="58"/>
        <v>0.46053817705285666</v>
      </c>
      <c r="H63" s="74"/>
      <c r="I63" s="74"/>
      <c r="J63" s="374">
        <v>30234.393840000001</v>
      </c>
      <c r="K63" s="75">
        <f>J63/$J$219</f>
        <v>3.8680322573499716E-2</v>
      </c>
      <c r="L63" s="75"/>
      <c r="M63" s="374">
        <v>6839696</v>
      </c>
      <c r="N63" s="374">
        <v>518482.50622869655</v>
      </c>
      <c r="O63" s="74">
        <f t="shared" si="59"/>
        <v>488248.11238869658</v>
      </c>
      <c r="P63" s="75">
        <f t="shared" si="63"/>
        <v>0.94168676189305422</v>
      </c>
      <c r="Q63" s="75">
        <f t="shared" si="64"/>
        <v>5.8313238106945775E-2</v>
      </c>
      <c r="R63" s="125">
        <f t="shared" si="60"/>
        <v>0</v>
      </c>
      <c r="S63" s="125">
        <f t="shared" si="65"/>
        <v>5.8313238106945775E-2</v>
      </c>
      <c r="T63" s="125">
        <f t="shared" si="65"/>
        <v>-5.8313238106945775E-2</v>
      </c>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row>
    <row r="64" spans="2:60">
      <c r="B64" s="72">
        <f t="shared" si="61"/>
        <v>1</v>
      </c>
      <c r="C64" s="72">
        <f t="shared" si="57"/>
        <v>4</v>
      </c>
      <c r="D64" s="72" t="str">
        <f t="shared" si="62"/>
        <v>ID Power</v>
      </c>
      <c r="E64" s="73">
        <v>2009</v>
      </c>
      <c r="F64" s="374">
        <v>1695.38</v>
      </c>
      <c r="G64" s="75">
        <f t="shared" si="58"/>
        <v>0.54055593253133638</v>
      </c>
      <c r="H64" s="74"/>
      <c r="I64" s="74"/>
      <c r="J64" s="374">
        <v>29840.7225</v>
      </c>
      <c r="K64" s="75">
        <f>J64/$J$220</f>
        <v>3.8170555430792882E-2</v>
      </c>
      <c r="L64" s="75"/>
      <c r="M64" s="374">
        <v>8028082</v>
      </c>
      <c r="N64" s="374">
        <v>304444.61121872417</v>
      </c>
      <c r="O64" s="74">
        <f t="shared" si="59"/>
        <v>274603.88871872419</v>
      </c>
      <c r="P64" s="75">
        <f t="shared" si="63"/>
        <v>0.90198308197821475</v>
      </c>
      <c r="Q64" s="75">
        <f t="shared" si="64"/>
        <v>9.8016918021785249E-2</v>
      </c>
      <c r="R64" s="125">
        <f t="shared" si="60"/>
        <v>0</v>
      </c>
      <c r="S64" s="125">
        <f t="shared" si="65"/>
        <v>9.8016918021785249E-2</v>
      </c>
      <c r="T64" s="125">
        <f t="shared" si="65"/>
        <v>-9.8016918021785249E-2</v>
      </c>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row>
    <row r="65" spans="2:60">
      <c r="B65" s="72">
        <f t="shared" si="61"/>
        <v>1</v>
      </c>
      <c r="C65" s="72">
        <f t="shared" si="57"/>
        <v>4</v>
      </c>
      <c r="D65" s="72" t="str">
        <f t="shared" si="62"/>
        <v>ID Power</v>
      </c>
      <c r="E65" s="73">
        <v>2010</v>
      </c>
      <c r="F65" s="374">
        <v>1695.38</v>
      </c>
      <c r="G65" s="75">
        <f t="shared" si="58"/>
        <v>0.48997124120986113</v>
      </c>
      <c r="H65" s="74"/>
      <c r="I65" s="74"/>
      <c r="J65" s="374">
        <v>30973.16259</v>
      </c>
      <c r="K65" s="75">
        <f>J65/$J$221</f>
        <v>3.6857210808852535E-2</v>
      </c>
      <c r="L65" s="75"/>
      <c r="M65" s="374">
        <v>7276822</v>
      </c>
      <c r="N65" s="374">
        <v>292885.50805444067</v>
      </c>
      <c r="O65" s="74">
        <f t="shared" si="59"/>
        <v>261912.34546444067</v>
      </c>
      <c r="P65" s="75">
        <f t="shared" si="63"/>
        <v>0.89424822417556149</v>
      </c>
      <c r="Q65" s="75">
        <f t="shared" si="64"/>
        <v>0.10575177582443851</v>
      </c>
      <c r="R65" s="125">
        <f t="shared" si="60"/>
        <v>0</v>
      </c>
      <c r="S65" s="125">
        <f t="shared" si="65"/>
        <v>0.10575177582443851</v>
      </c>
      <c r="T65" s="125">
        <f t="shared" si="65"/>
        <v>-0.10575177582443851</v>
      </c>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row>
    <row r="66" spans="2:60">
      <c r="B66" s="72">
        <f t="shared" si="61"/>
        <v>1</v>
      </c>
      <c r="C66" s="72">
        <f t="shared" si="57"/>
        <v>4</v>
      </c>
      <c r="D66" s="72" t="str">
        <f t="shared" si="62"/>
        <v>ID Power</v>
      </c>
      <c r="E66" s="73">
        <v>2011</v>
      </c>
      <c r="F66" s="374">
        <v>1695.38</v>
      </c>
      <c r="G66" s="75">
        <f t="shared" si="58"/>
        <v>0.73414098621281332</v>
      </c>
      <c r="H66" s="74"/>
      <c r="I66" s="74"/>
      <c r="J66" s="374">
        <v>31170.94413</v>
      </c>
      <c r="K66" s="75">
        <f>J66/$J$222</f>
        <v>3.830225918620718E-2</v>
      </c>
      <c r="L66" s="75"/>
      <c r="M66" s="374">
        <v>10903116</v>
      </c>
      <c r="N66" s="374">
        <v>348149.23518379143</v>
      </c>
      <c r="O66" s="74">
        <f t="shared" si="59"/>
        <v>316978.29105379141</v>
      </c>
      <c r="P66" s="75">
        <f t="shared" si="63"/>
        <v>0.91046671662643586</v>
      </c>
      <c r="Q66" s="75">
        <f t="shared" si="64"/>
        <v>8.9533283373564143E-2</v>
      </c>
      <c r="R66" s="125">
        <f t="shared" si="60"/>
        <v>0</v>
      </c>
      <c r="S66" s="125">
        <f t="shared" si="65"/>
        <v>8.9533283373564143E-2</v>
      </c>
      <c r="T66" s="125">
        <f t="shared" si="65"/>
        <v>-8.9533283373564143E-2</v>
      </c>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row>
    <row r="67" spans="2:60">
      <c r="B67" s="72">
        <f t="shared" si="61"/>
        <v>1</v>
      </c>
      <c r="C67" s="72">
        <f t="shared" si="57"/>
        <v>4</v>
      </c>
      <c r="D67" s="72" t="str">
        <f t="shared" si="62"/>
        <v>ID Power</v>
      </c>
      <c r="E67" s="73">
        <v>2012</v>
      </c>
      <c r="F67" s="374">
        <v>1695.38</v>
      </c>
      <c r="G67" s="75">
        <f t="shared" si="58"/>
        <v>0.5307817872595042</v>
      </c>
      <c r="H67" s="74"/>
      <c r="I67" s="74"/>
      <c r="J67" s="374">
        <v>32385.165689999998</v>
      </c>
      <c r="K67" s="75">
        <f>J67/$J$223</f>
        <v>3.9250152611101215E-2</v>
      </c>
      <c r="L67" s="75"/>
      <c r="M67" s="374">
        <v>7882921</v>
      </c>
      <c r="N67" s="374">
        <v>199877.43332441684</v>
      </c>
      <c r="O67" s="74">
        <f t="shared" si="59"/>
        <v>167492.26763441684</v>
      </c>
      <c r="P67" s="75">
        <f t="shared" si="63"/>
        <v>0.83797487714665464</v>
      </c>
      <c r="Q67" s="75">
        <f t="shared" si="64"/>
        <v>0.16202512285334536</v>
      </c>
      <c r="R67" s="125">
        <f t="shared" si="60"/>
        <v>0</v>
      </c>
      <c r="S67" s="125">
        <f t="shared" si="65"/>
        <v>0.16202512285334536</v>
      </c>
      <c r="T67" s="125">
        <f t="shared" si="65"/>
        <v>-0.16202512285334536</v>
      </c>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row>
    <row r="68" spans="2:60">
      <c r="B68" s="72">
        <f t="shared" si="61"/>
        <v>1</v>
      </c>
      <c r="C68" s="72">
        <f t="shared" si="57"/>
        <v>4</v>
      </c>
      <c r="D68" s="72" t="str">
        <f t="shared" si="62"/>
        <v>ID Power</v>
      </c>
      <c r="E68" s="73">
        <v>2013</v>
      </c>
      <c r="F68" s="374">
        <v>1695.38</v>
      </c>
      <c r="G68" s="75">
        <f t="shared" si="58"/>
        <v>0.37624887479597385</v>
      </c>
      <c r="H68" s="72"/>
      <c r="I68" s="72"/>
      <c r="J68" s="374">
        <v>33355.754999999997</v>
      </c>
      <c r="K68" s="75">
        <f>J68/$J$224</f>
        <v>3.961763047672779E-2</v>
      </c>
      <c r="L68" s="72"/>
      <c r="M68" s="374">
        <v>5587871</v>
      </c>
      <c r="N68" s="374">
        <v>230877.14055239077</v>
      </c>
      <c r="O68" s="74">
        <f t="shared" ref="O68:O69" si="66">N68-J68</f>
        <v>197521.38555239077</v>
      </c>
      <c r="P68" s="75">
        <f t="shared" ref="P68:P69" si="67">O68/N68</f>
        <v>0.85552595237365692</v>
      </c>
      <c r="Q68" s="75">
        <f t="shared" ref="Q68:Q69" si="68">1-P68</f>
        <v>0.14447404762634308</v>
      </c>
      <c r="R68" s="125">
        <f t="shared" ref="R68:R69" si="69">Q68*L68</f>
        <v>0</v>
      </c>
      <c r="S68" s="125">
        <f t="shared" ref="S68:S69" si="70">Q68-R68</f>
        <v>0.14447404762634308</v>
      </c>
      <c r="T68" s="125">
        <f t="shared" ref="T68:T69" si="71">R68-S68</f>
        <v>-0.14447404762634308</v>
      </c>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row>
    <row r="69" spans="2:60">
      <c r="B69" s="72">
        <f t="shared" si="61"/>
        <v>1</v>
      </c>
      <c r="C69" s="72">
        <f t="shared" si="57"/>
        <v>4</v>
      </c>
      <c r="D69" s="72" t="str">
        <f t="shared" si="62"/>
        <v>ID Power</v>
      </c>
      <c r="E69" s="73">
        <v>2014</v>
      </c>
      <c r="F69" s="374">
        <v>1695.38</v>
      </c>
      <c r="G69" s="75">
        <f t="shared" si="58"/>
        <v>0.41055934928396054</v>
      </c>
      <c r="H69" s="72"/>
      <c r="I69" s="72"/>
      <c r="J69" s="374">
        <v>32514.545700000002</v>
      </c>
      <c r="K69" s="75">
        <f>J69/$J$225</f>
        <v>3.7574445480769061E-2</v>
      </c>
      <c r="L69" s="72"/>
      <c r="M69" s="374">
        <v>6097434</v>
      </c>
      <c r="N69" s="374">
        <v>257485.54271276909</v>
      </c>
      <c r="O69" s="74">
        <f t="shared" si="66"/>
        <v>224970.9970127691</v>
      </c>
      <c r="P69" s="75">
        <f t="shared" si="67"/>
        <v>0.87372282980458171</v>
      </c>
      <c r="Q69" s="75">
        <f t="shared" si="68"/>
        <v>0.12627717019541829</v>
      </c>
      <c r="R69" s="125">
        <f t="shared" si="69"/>
        <v>0</v>
      </c>
      <c r="S69" s="125">
        <f t="shared" si="70"/>
        <v>0.12627717019541829</v>
      </c>
      <c r="T69" s="125">
        <f t="shared" si="71"/>
        <v>-0.12627717019541829</v>
      </c>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row>
    <row r="70" spans="2:60">
      <c r="B70" s="69">
        <f>'OPG hydro peers'!B9</f>
        <v>1</v>
      </c>
      <c r="C70" s="69">
        <f t="shared" si="57"/>
        <v>5</v>
      </c>
      <c r="D70" s="69" t="str">
        <f>'OPG hydro peers'!D9</f>
        <v>AB Power</v>
      </c>
      <c r="E70" s="70">
        <v>2002</v>
      </c>
      <c r="F70" s="373">
        <v>1582.8</v>
      </c>
      <c r="G70" s="76">
        <f t="shared" ref="G70:G82" si="72">M70/(F70*8760)</f>
        <v>0.29489457443776301</v>
      </c>
      <c r="H70" s="71"/>
      <c r="I70" s="71"/>
      <c r="J70" s="373">
        <v>20800.446360000002</v>
      </c>
      <c r="K70" s="76">
        <f>J70/$J$213</f>
        <v>4.0202219282859018E-2</v>
      </c>
      <c r="L70" s="76"/>
      <c r="M70" s="373">
        <v>4088810</v>
      </c>
      <c r="N70" s="373">
        <v>117928.58339124071</v>
      </c>
      <c r="O70" s="71">
        <f t="shared" ref="O70:O80" si="73">N70-J70</f>
        <v>97128.137031240709</v>
      </c>
      <c r="P70" s="76">
        <f>O70/N70</f>
        <v>0.82361828013322014</v>
      </c>
      <c r="Q70" s="76">
        <f>1-P70</f>
        <v>0.17638171986677986</v>
      </c>
      <c r="R70" s="126">
        <f t="shared" ref="R70:R80" si="74">Q70*L70</f>
        <v>0</v>
      </c>
      <c r="S70" s="126">
        <f>Q70-R70</f>
        <v>0.17638171986677986</v>
      </c>
      <c r="T70" s="126">
        <f>R70-S70</f>
        <v>-0.17638171986677986</v>
      </c>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row>
    <row r="71" spans="2:60">
      <c r="B71" s="69">
        <f t="shared" ref="B71:B82" si="75">B70</f>
        <v>1</v>
      </c>
      <c r="C71" s="69">
        <f t="shared" si="57"/>
        <v>5</v>
      </c>
      <c r="D71" s="69" t="str">
        <f t="shared" ref="D71:D82" si="76">D70</f>
        <v>AB Power</v>
      </c>
      <c r="E71" s="70">
        <v>2003</v>
      </c>
      <c r="F71" s="373">
        <v>1582.8</v>
      </c>
      <c r="G71" s="76">
        <f t="shared" si="72"/>
        <v>0.4155499242426865</v>
      </c>
      <c r="H71" s="71"/>
      <c r="I71" s="71"/>
      <c r="J71" s="373">
        <v>22378.131689999998</v>
      </c>
      <c r="K71" s="76">
        <f>J71/$J$214</f>
        <v>3.990091278026927E-2</v>
      </c>
      <c r="L71" s="76"/>
      <c r="M71" s="373">
        <v>5761736</v>
      </c>
      <c r="N71" s="373">
        <v>219629.73858335527</v>
      </c>
      <c r="O71" s="71">
        <f t="shared" si="73"/>
        <v>197251.60689335526</v>
      </c>
      <c r="P71" s="76">
        <f t="shared" ref="P71:P80" si="77">O71/N71</f>
        <v>0.89810973762322754</v>
      </c>
      <c r="Q71" s="76">
        <f t="shared" ref="Q71:Q80" si="78">1-P71</f>
        <v>0.10189026237677246</v>
      </c>
      <c r="R71" s="126">
        <f t="shared" si="74"/>
        <v>0</v>
      </c>
      <c r="S71" s="126">
        <f t="shared" ref="S71:T80" si="79">Q71-R71</f>
        <v>0.10189026237677246</v>
      </c>
      <c r="T71" s="126">
        <f t="shared" si="79"/>
        <v>-0.10189026237677246</v>
      </c>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row>
    <row r="72" spans="2:60">
      <c r="B72" s="69">
        <f t="shared" si="75"/>
        <v>1</v>
      </c>
      <c r="C72" s="69">
        <f t="shared" si="57"/>
        <v>5</v>
      </c>
      <c r="D72" s="69" t="str">
        <f t="shared" si="76"/>
        <v>AB Power</v>
      </c>
      <c r="E72" s="70">
        <v>2004</v>
      </c>
      <c r="F72" s="373">
        <v>1582.8</v>
      </c>
      <c r="G72" s="76">
        <f t="shared" si="72"/>
        <v>0.31760164635124388</v>
      </c>
      <c r="H72" s="71"/>
      <c r="I72" s="71"/>
      <c r="J72" s="373">
        <v>23266.614809999999</v>
      </c>
      <c r="K72" s="76">
        <f>J72/$J$215</f>
        <v>3.8733631019043945E-2</v>
      </c>
      <c r="L72" s="76"/>
      <c r="M72" s="373">
        <v>4403651</v>
      </c>
      <c r="N72" s="373">
        <v>201992.15543234564</v>
      </c>
      <c r="O72" s="71">
        <f t="shared" si="73"/>
        <v>178725.54062234564</v>
      </c>
      <c r="P72" s="76">
        <f t="shared" si="77"/>
        <v>0.88481426538471286</v>
      </c>
      <c r="Q72" s="76">
        <f t="shared" si="78"/>
        <v>0.11518573461528714</v>
      </c>
      <c r="R72" s="126">
        <f t="shared" si="74"/>
        <v>0</v>
      </c>
      <c r="S72" s="126">
        <f t="shared" si="79"/>
        <v>0.11518573461528714</v>
      </c>
      <c r="T72" s="126">
        <f t="shared" si="79"/>
        <v>-0.11518573461528714</v>
      </c>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row>
    <row r="73" spans="2:60">
      <c r="B73" s="69">
        <f t="shared" si="75"/>
        <v>1</v>
      </c>
      <c r="C73" s="69">
        <f t="shared" si="57"/>
        <v>5</v>
      </c>
      <c r="D73" s="69" t="str">
        <f t="shared" si="76"/>
        <v>AB Power</v>
      </c>
      <c r="E73" s="70">
        <v>2005</v>
      </c>
      <c r="F73" s="373">
        <v>1582.8</v>
      </c>
      <c r="G73" s="76">
        <f t="shared" si="72"/>
        <v>0.31999221367139674</v>
      </c>
      <c r="H73" s="71"/>
      <c r="I73" s="71"/>
      <c r="J73" s="373">
        <v>24858.392250000001</v>
      </c>
      <c r="K73" s="76">
        <f>J73/$J$216</f>
        <v>3.9793620085553781E-2</v>
      </c>
      <c r="L73" s="76"/>
      <c r="M73" s="373">
        <v>4436797</v>
      </c>
      <c r="N73" s="373">
        <v>278700.42382010224</v>
      </c>
      <c r="O73" s="71">
        <f t="shared" si="73"/>
        <v>253842.03157010223</v>
      </c>
      <c r="P73" s="76">
        <f t="shared" si="77"/>
        <v>0.91080604790882636</v>
      </c>
      <c r="Q73" s="76">
        <f t="shared" si="78"/>
        <v>8.9193952091173645E-2</v>
      </c>
      <c r="R73" s="126">
        <f t="shared" si="74"/>
        <v>0</v>
      </c>
      <c r="S73" s="126">
        <f t="shared" si="79"/>
        <v>8.9193952091173645E-2</v>
      </c>
      <c r="T73" s="126">
        <f t="shared" si="79"/>
        <v>-8.9193952091173645E-2</v>
      </c>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row>
    <row r="74" spans="2:60">
      <c r="B74" s="69">
        <f t="shared" si="75"/>
        <v>1</v>
      </c>
      <c r="C74" s="69">
        <f t="shared" si="57"/>
        <v>5</v>
      </c>
      <c r="D74" s="69" t="str">
        <f t="shared" si="76"/>
        <v>AB Power</v>
      </c>
      <c r="E74" s="70">
        <v>2006</v>
      </c>
      <c r="F74" s="373">
        <v>1582.8</v>
      </c>
      <c r="G74" s="76">
        <f t="shared" si="72"/>
        <v>0.22267168868994661</v>
      </c>
      <c r="H74" s="71"/>
      <c r="I74" s="71"/>
      <c r="J74" s="373">
        <v>27947.79924</v>
      </c>
      <c r="K74" s="76">
        <f>J74/$J$217</f>
        <v>4.2062650965959077E-2</v>
      </c>
      <c r="L74" s="76"/>
      <c r="M74" s="373">
        <v>3087416</v>
      </c>
      <c r="N74" s="373">
        <v>155475.15254447065</v>
      </c>
      <c r="O74" s="71">
        <f t="shared" si="73"/>
        <v>127527.35330447066</v>
      </c>
      <c r="P74" s="76">
        <f t="shared" si="77"/>
        <v>0.82024266397162038</v>
      </c>
      <c r="Q74" s="76">
        <f t="shared" si="78"/>
        <v>0.17975733602837962</v>
      </c>
      <c r="R74" s="126">
        <f t="shared" si="74"/>
        <v>0</v>
      </c>
      <c r="S74" s="126">
        <f t="shared" si="79"/>
        <v>0.17975733602837962</v>
      </c>
      <c r="T74" s="126">
        <f t="shared" si="79"/>
        <v>-0.17975733602837962</v>
      </c>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row>
    <row r="75" spans="2:60">
      <c r="B75" s="69">
        <f t="shared" si="75"/>
        <v>1</v>
      </c>
      <c r="C75" s="69">
        <f t="shared" si="57"/>
        <v>5</v>
      </c>
      <c r="D75" s="69" t="str">
        <f t="shared" si="76"/>
        <v>AB Power</v>
      </c>
      <c r="E75" s="70">
        <v>2007</v>
      </c>
      <c r="F75" s="373">
        <v>1582.8</v>
      </c>
      <c r="G75" s="76">
        <f t="shared" si="72"/>
        <v>0.10122501249159054</v>
      </c>
      <c r="H75" s="71"/>
      <c r="I75" s="71"/>
      <c r="J75" s="373">
        <v>32887.316879999998</v>
      </c>
      <c r="K75" s="76">
        <f>J75/$J$218</f>
        <v>4.5596230218238117E-2</v>
      </c>
      <c r="L75" s="76"/>
      <c r="M75" s="373">
        <v>1403518</v>
      </c>
      <c r="N75" s="373">
        <v>78281.678603340639</v>
      </c>
      <c r="O75" s="71">
        <f t="shared" si="73"/>
        <v>45394.36172334064</v>
      </c>
      <c r="P75" s="76">
        <f t="shared" si="77"/>
        <v>0.57988487898116503</v>
      </c>
      <c r="Q75" s="76">
        <f t="shared" si="78"/>
        <v>0.42011512101883497</v>
      </c>
      <c r="R75" s="126">
        <f t="shared" si="74"/>
        <v>0</v>
      </c>
      <c r="S75" s="126">
        <f t="shared" si="79"/>
        <v>0.42011512101883497</v>
      </c>
      <c r="T75" s="126">
        <f t="shared" si="79"/>
        <v>-0.42011512101883497</v>
      </c>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row>
    <row r="76" spans="2:60">
      <c r="B76" s="69">
        <f t="shared" si="75"/>
        <v>1</v>
      </c>
      <c r="C76" s="69">
        <f t="shared" si="57"/>
        <v>5</v>
      </c>
      <c r="D76" s="69" t="str">
        <f t="shared" si="76"/>
        <v>AB Power</v>
      </c>
      <c r="E76" s="70">
        <v>2008</v>
      </c>
      <c r="F76" s="373">
        <v>1582.8</v>
      </c>
      <c r="G76" s="76">
        <f t="shared" si="72"/>
        <v>0.16591378148428945</v>
      </c>
      <c r="H76" s="71"/>
      <c r="I76" s="71"/>
      <c r="J76" s="373">
        <v>32893.56897</v>
      </c>
      <c r="K76" s="76">
        <f>J76/$J$219</f>
        <v>4.2082333950084608E-2</v>
      </c>
      <c r="L76" s="76"/>
      <c r="M76" s="373">
        <v>2300449</v>
      </c>
      <c r="N76" s="373">
        <v>161078.02352333433</v>
      </c>
      <c r="O76" s="71">
        <f t="shared" si="73"/>
        <v>128184.45455333433</v>
      </c>
      <c r="P76" s="76">
        <f t="shared" si="77"/>
        <v>0.7957910815485334</v>
      </c>
      <c r="Q76" s="76">
        <f t="shared" si="78"/>
        <v>0.2042089184514666</v>
      </c>
      <c r="R76" s="126">
        <f t="shared" si="74"/>
        <v>0</v>
      </c>
      <c r="S76" s="126">
        <f t="shared" si="79"/>
        <v>0.2042089184514666</v>
      </c>
      <c r="T76" s="126">
        <f t="shared" si="79"/>
        <v>-0.2042089184514666</v>
      </c>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row>
    <row r="77" spans="2:60">
      <c r="B77" s="69">
        <f t="shared" si="75"/>
        <v>1</v>
      </c>
      <c r="C77" s="69">
        <f t="shared" si="57"/>
        <v>5</v>
      </c>
      <c r="D77" s="69" t="str">
        <f t="shared" si="76"/>
        <v>AB Power</v>
      </c>
      <c r="E77" s="70">
        <v>2009</v>
      </c>
      <c r="F77" s="373">
        <v>1582.8</v>
      </c>
      <c r="G77" s="76">
        <f t="shared" si="72"/>
        <v>0.42595140915526847</v>
      </c>
      <c r="H77" s="71"/>
      <c r="I77" s="71"/>
      <c r="J77" s="373">
        <v>28456.252950000002</v>
      </c>
      <c r="K77" s="76">
        <f>J77/$J$220</f>
        <v>3.639962070558575E-2</v>
      </c>
      <c r="L77" s="76"/>
      <c r="M77" s="373">
        <v>5905956</v>
      </c>
      <c r="N77" s="373">
        <v>230502.46324916117</v>
      </c>
      <c r="O77" s="71">
        <f t="shared" si="73"/>
        <v>202046.21029916118</v>
      </c>
      <c r="P77" s="76">
        <f t="shared" si="77"/>
        <v>0.87654685963489998</v>
      </c>
      <c r="Q77" s="76">
        <f t="shared" si="78"/>
        <v>0.12345314036510002</v>
      </c>
      <c r="R77" s="126">
        <f t="shared" si="74"/>
        <v>0</v>
      </c>
      <c r="S77" s="126">
        <f t="shared" si="79"/>
        <v>0.12345314036510002</v>
      </c>
      <c r="T77" s="126">
        <f t="shared" si="79"/>
        <v>-0.12345314036510002</v>
      </c>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row>
    <row r="78" spans="2:60">
      <c r="B78" s="69">
        <f t="shared" si="75"/>
        <v>1</v>
      </c>
      <c r="C78" s="69">
        <f t="shared" si="57"/>
        <v>5</v>
      </c>
      <c r="D78" s="69" t="str">
        <f t="shared" si="76"/>
        <v>AB Power</v>
      </c>
      <c r="E78" s="70">
        <v>2010</v>
      </c>
      <c r="F78" s="373">
        <v>1582.8</v>
      </c>
      <c r="G78" s="76">
        <f t="shared" si="72"/>
        <v>0.2673798989825556</v>
      </c>
      <c r="H78" s="71"/>
      <c r="I78" s="71"/>
      <c r="J78" s="373">
        <v>38606.343330000003</v>
      </c>
      <c r="K78" s="76">
        <f>J78/$J$221</f>
        <v>4.5940485752402727E-2</v>
      </c>
      <c r="L78" s="76"/>
      <c r="M78" s="373">
        <v>3707310</v>
      </c>
      <c r="N78" s="373">
        <v>172147.16955677405</v>
      </c>
      <c r="O78" s="71">
        <f t="shared" si="73"/>
        <v>133540.82622677405</v>
      </c>
      <c r="P78" s="76">
        <f t="shared" si="77"/>
        <v>0.77573640374454345</v>
      </c>
      <c r="Q78" s="76">
        <f t="shared" si="78"/>
        <v>0.22426359625545655</v>
      </c>
      <c r="R78" s="126">
        <f t="shared" si="74"/>
        <v>0</v>
      </c>
      <c r="S78" s="126">
        <f t="shared" si="79"/>
        <v>0.22426359625545655</v>
      </c>
      <c r="T78" s="126">
        <f t="shared" si="79"/>
        <v>-0.22426359625545655</v>
      </c>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row>
    <row r="79" spans="2:60">
      <c r="B79" s="69">
        <f t="shared" si="75"/>
        <v>1</v>
      </c>
      <c r="C79" s="69">
        <f t="shared" si="57"/>
        <v>5</v>
      </c>
      <c r="D79" s="69" t="str">
        <f t="shared" si="76"/>
        <v>AB Power</v>
      </c>
      <c r="E79" s="70">
        <v>2011</v>
      </c>
      <c r="F79" s="373">
        <v>1582.8</v>
      </c>
      <c r="G79" s="76">
        <f t="shared" si="72"/>
        <v>0.23108447200095086</v>
      </c>
      <c r="H79" s="71"/>
      <c r="I79" s="71"/>
      <c r="J79" s="373">
        <v>35773.668090000006</v>
      </c>
      <c r="K79" s="76">
        <f>J79/$J$222</f>
        <v>4.3957998240604763E-2</v>
      </c>
      <c r="L79" s="76"/>
      <c r="M79" s="373">
        <v>3204062</v>
      </c>
      <c r="N79" s="373">
        <v>124119.07833807915</v>
      </c>
      <c r="O79" s="71">
        <f t="shared" si="73"/>
        <v>88345.410248079148</v>
      </c>
      <c r="P79" s="76">
        <f t="shared" si="77"/>
        <v>0.71177945752579108</v>
      </c>
      <c r="Q79" s="76">
        <f t="shared" si="78"/>
        <v>0.28822054247420892</v>
      </c>
      <c r="R79" s="126">
        <f t="shared" si="74"/>
        <v>0</v>
      </c>
      <c r="S79" s="126">
        <f t="shared" si="79"/>
        <v>0.28822054247420892</v>
      </c>
      <c r="T79" s="126">
        <f t="shared" si="79"/>
        <v>-0.28822054247420892</v>
      </c>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row>
    <row r="80" spans="2:60">
      <c r="B80" s="69">
        <f t="shared" si="75"/>
        <v>1</v>
      </c>
      <c r="C80" s="69">
        <f t="shared" si="57"/>
        <v>5</v>
      </c>
      <c r="D80" s="69" t="str">
        <f t="shared" si="76"/>
        <v>AB Power</v>
      </c>
      <c r="E80" s="70">
        <v>2012</v>
      </c>
      <c r="F80" s="373">
        <v>1582.8</v>
      </c>
      <c r="G80" s="76">
        <f t="shared" si="72"/>
        <v>0.19235094907239123</v>
      </c>
      <c r="H80" s="71"/>
      <c r="I80" s="71"/>
      <c r="J80" s="373">
        <v>37408.536119999997</v>
      </c>
      <c r="K80" s="76">
        <f>J80/$J$223</f>
        <v>4.5338373924740362E-2</v>
      </c>
      <c r="L80" s="76"/>
      <c r="M80" s="373">
        <v>2667009</v>
      </c>
      <c r="N80" s="373">
        <v>85756.188306960656</v>
      </c>
      <c r="O80" s="71">
        <f t="shared" si="73"/>
        <v>48347.652186960659</v>
      </c>
      <c r="P80" s="76">
        <f t="shared" si="77"/>
        <v>0.56378033050982024</v>
      </c>
      <c r="Q80" s="76">
        <f t="shared" si="78"/>
        <v>0.43621966949017976</v>
      </c>
      <c r="R80" s="126">
        <f t="shared" si="74"/>
        <v>0</v>
      </c>
      <c r="S80" s="126">
        <f t="shared" si="79"/>
        <v>0.43621966949017976</v>
      </c>
      <c r="T80" s="126">
        <f t="shared" si="79"/>
        <v>-0.43621966949017976</v>
      </c>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row>
    <row r="81" spans="2:60">
      <c r="B81" s="69">
        <f t="shared" si="75"/>
        <v>1</v>
      </c>
      <c r="C81" s="69">
        <f t="shared" si="57"/>
        <v>5</v>
      </c>
      <c r="D81" s="69" t="str">
        <f t="shared" si="76"/>
        <v>AB Power</v>
      </c>
      <c r="E81" s="70">
        <v>2013</v>
      </c>
      <c r="F81" s="373">
        <v>1668.08</v>
      </c>
      <c r="G81" s="76">
        <f t="shared" si="72"/>
        <v>0.38493542407545256</v>
      </c>
      <c r="H81" s="69"/>
      <c r="I81" s="69"/>
      <c r="J81" s="373">
        <v>36349.305629999995</v>
      </c>
      <c r="K81" s="76">
        <f>J81/$J$224</f>
        <v>4.3173160329753622E-2</v>
      </c>
      <c r="L81" s="69"/>
      <c r="M81" s="373">
        <v>5624823</v>
      </c>
      <c r="N81" s="373">
        <v>212131.39959508958</v>
      </c>
      <c r="O81" s="71">
        <f t="shared" ref="O81:O82" si="80">N81-J81</f>
        <v>175782.09396508959</v>
      </c>
      <c r="P81" s="76">
        <f t="shared" ref="P81:P82" si="81">O81/N81</f>
        <v>0.82864721724656265</v>
      </c>
      <c r="Q81" s="76">
        <f t="shared" ref="Q81:Q82" si="82">1-P81</f>
        <v>0.17135278275343735</v>
      </c>
      <c r="R81" s="126">
        <f t="shared" ref="R81:R82" si="83">Q81*L81</f>
        <v>0</v>
      </c>
      <c r="S81" s="126">
        <f t="shared" ref="S81:S82" si="84">Q81-R81</f>
        <v>0.17135278275343735</v>
      </c>
      <c r="T81" s="126">
        <f t="shared" ref="T81:T82" si="85">R81-S81</f>
        <v>-0.17135278275343735</v>
      </c>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row>
    <row r="82" spans="2:60">
      <c r="B82" s="69">
        <f t="shared" si="75"/>
        <v>1</v>
      </c>
      <c r="C82" s="69">
        <f t="shared" si="57"/>
        <v>5</v>
      </c>
      <c r="D82" s="69" t="str">
        <f t="shared" si="76"/>
        <v>AB Power</v>
      </c>
      <c r="E82" s="70">
        <v>2014</v>
      </c>
      <c r="F82" s="373">
        <v>1668.08</v>
      </c>
      <c r="G82" s="76">
        <f t="shared" si="72"/>
        <v>0.26641223311125317</v>
      </c>
      <c r="H82" s="69"/>
      <c r="I82" s="69"/>
      <c r="J82" s="373">
        <v>46029.29739</v>
      </c>
      <c r="K82" s="76">
        <f>J82/$J$225</f>
        <v>5.319235708400688E-2</v>
      </c>
      <c r="L82" s="69"/>
      <c r="M82" s="373">
        <v>3892917</v>
      </c>
      <c r="N82" s="373">
        <v>217297.25080730164</v>
      </c>
      <c r="O82" s="71">
        <f t="shared" si="80"/>
        <v>171267.95341730164</v>
      </c>
      <c r="P82" s="76">
        <f t="shared" si="81"/>
        <v>0.78817358609465982</v>
      </c>
      <c r="Q82" s="76">
        <f t="shared" si="82"/>
        <v>0.21182641390534018</v>
      </c>
      <c r="R82" s="126">
        <f t="shared" si="83"/>
        <v>0</v>
      </c>
      <c r="S82" s="126">
        <f t="shared" si="84"/>
        <v>0.21182641390534018</v>
      </c>
      <c r="T82" s="126">
        <f t="shared" si="85"/>
        <v>-0.21182641390534018</v>
      </c>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row>
    <row r="83" spans="2:60">
      <c r="B83" s="72">
        <f>'OPG hydro peers'!B10</f>
        <v>1</v>
      </c>
      <c r="C83" s="72">
        <f t="shared" si="57"/>
        <v>6</v>
      </c>
      <c r="D83" s="72" t="str">
        <f>'OPG hydro peers'!D10</f>
        <v>SoCal Edison</v>
      </c>
      <c r="E83" s="73">
        <v>2002</v>
      </c>
      <c r="F83" s="375">
        <v>1092.8</v>
      </c>
      <c r="G83" s="75">
        <f t="shared" ref="G83:G95" si="86">M83/(F83*8760)</f>
        <v>0.34618558773240538</v>
      </c>
      <c r="H83" s="127"/>
      <c r="I83" s="127"/>
      <c r="J83" s="374">
        <v>23805.640169999999</v>
      </c>
      <c r="K83" s="75">
        <f>J83/$J$213</f>
        <v>4.6010530241485506E-2</v>
      </c>
      <c r="L83" s="75"/>
      <c r="M83" s="375">
        <v>3314009.7059999998</v>
      </c>
      <c r="N83" s="374">
        <v>111057.38200340806</v>
      </c>
      <c r="O83" s="127">
        <f t="shared" ref="O83:O93" si="87">N83-J83</f>
        <v>87251.741833408058</v>
      </c>
      <c r="P83" s="75">
        <f>O83/N83</f>
        <v>0.78564558482686486</v>
      </c>
      <c r="Q83" s="75">
        <f>1-P83</f>
        <v>0.21435441517313514</v>
      </c>
      <c r="R83" s="125">
        <f t="shared" ref="R83:R93" si="88">Q83*L83</f>
        <v>0</v>
      </c>
      <c r="S83" s="125">
        <f>Q83-R83</f>
        <v>0.21435441517313514</v>
      </c>
      <c r="T83" s="125">
        <f>R83-S83</f>
        <v>-0.21435441517313514</v>
      </c>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row>
    <row r="84" spans="2:60">
      <c r="B84" s="72">
        <f t="shared" ref="B84:B95" si="89">B83</f>
        <v>1</v>
      </c>
      <c r="C84" s="72">
        <f t="shared" si="57"/>
        <v>6</v>
      </c>
      <c r="D84" s="72" t="str">
        <f t="shared" ref="D84:D95" si="90">D83</f>
        <v>SoCal Edison</v>
      </c>
      <c r="E84" s="73">
        <v>2003</v>
      </c>
      <c r="F84" s="375">
        <v>1093</v>
      </c>
      <c r="G84" s="75">
        <f t="shared" si="86"/>
        <v>0.39717846403221829</v>
      </c>
      <c r="H84" s="127"/>
      <c r="I84" s="127"/>
      <c r="J84" s="374">
        <v>23797.734960000002</v>
      </c>
      <c r="K84" s="75">
        <f>J84/$J$214</f>
        <v>4.2432110068922599E-2</v>
      </c>
      <c r="L84" s="75"/>
      <c r="M84" s="375">
        <v>3802856.696</v>
      </c>
      <c r="N84" s="374">
        <v>152812.78043079571</v>
      </c>
      <c r="O84" s="127">
        <f t="shared" si="87"/>
        <v>129015.04547079571</v>
      </c>
      <c r="P84" s="75">
        <f t="shared" ref="P84:P93" si="91">O84/N84</f>
        <v>0.84426868686695167</v>
      </c>
      <c r="Q84" s="75">
        <f t="shared" ref="Q84:Q93" si="92">1-P84</f>
        <v>0.15573131313304833</v>
      </c>
      <c r="R84" s="125">
        <f t="shared" si="88"/>
        <v>0</v>
      </c>
      <c r="S84" s="125">
        <f t="shared" ref="S84:T93" si="93">Q84-R84</f>
        <v>0.15573131313304833</v>
      </c>
      <c r="T84" s="125">
        <f t="shared" si="93"/>
        <v>-0.15573131313304833</v>
      </c>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row>
    <row r="85" spans="2:60">
      <c r="B85" s="72">
        <f t="shared" si="89"/>
        <v>1</v>
      </c>
      <c r="C85" s="72">
        <f t="shared" si="57"/>
        <v>6</v>
      </c>
      <c r="D85" s="72" t="str">
        <f t="shared" si="90"/>
        <v>SoCal Edison</v>
      </c>
      <c r="E85" s="73">
        <v>2004</v>
      </c>
      <c r="F85" s="375">
        <v>1093</v>
      </c>
      <c r="G85" s="75">
        <f t="shared" si="86"/>
        <v>0.34961188196367921</v>
      </c>
      <c r="H85" s="127"/>
      <c r="I85" s="127"/>
      <c r="J85" s="374">
        <v>25166.048460000002</v>
      </c>
      <c r="K85" s="75">
        <f>J85/$J$215</f>
        <v>4.1895756783580811E-2</v>
      </c>
      <c r="L85" s="75"/>
      <c r="M85" s="375">
        <v>3347421.8939999999</v>
      </c>
      <c r="N85" s="374">
        <v>149508.48658498164</v>
      </c>
      <c r="O85" s="127">
        <f t="shared" si="87"/>
        <v>124342.43812498164</v>
      </c>
      <c r="P85" s="75">
        <f t="shared" si="91"/>
        <v>0.83167478291812247</v>
      </c>
      <c r="Q85" s="75">
        <f t="shared" si="92"/>
        <v>0.16832521708187753</v>
      </c>
      <c r="R85" s="125">
        <f t="shared" si="88"/>
        <v>0</v>
      </c>
      <c r="S85" s="125">
        <f t="shared" si="93"/>
        <v>0.16832521708187753</v>
      </c>
      <c r="T85" s="125">
        <f t="shared" si="93"/>
        <v>-0.16832521708187753</v>
      </c>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row>
    <row r="86" spans="2:60">
      <c r="B86" s="72">
        <f t="shared" si="89"/>
        <v>1</v>
      </c>
      <c r="C86" s="72">
        <f t="shared" si="57"/>
        <v>6</v>
      </c>
      <c r="D86" s="72" t="str">
        <f t="shared" si="90"/>
        <v>SoCal Edison</v>
      </c>
      <c r="E86" s="73">
        <v>2005</v>
      </c>
      <c r="F86" s="375">
        <v>1093</v>
      </c>
      <c r="G86" s="75">
        <f t="shared" si="86"/>
        <v>0.50361140006767846</v>
      </c>
      <c r="H86" s="127"/>
      <c r="I86" s="127"/>
      <c r="J86" s="374">
        <v>24385.87545</v>
      </c>
      <c r="K86" s="75">
        <f>J86/$J$216</f>
        <v>3.9037209379899976E-2</v>
      </c>
      <c r="L86" s="75"/>
      <c r="M86" s="375">
        <v>4821918</v>
      </c>
      <c r="N86" s="374">
        <v>305762.74684917438</v>
      </c>
      <c r="O86" s="127">
        <f t="shared" si="87"/>
        <v>281376.87139917439</v>
      </c>
      <c r="P86" s="75">
        <f t="shared" si="91"/>
        <v>0.92024576014805037</v>
      </c>
      <c r="Q86" s="75">
        <f t="shared" si="92"/>
        <v>7.9754239851949627E-2</v>
      </c>
      <c r="R86" s="125">
        <f t="shared" si="88"/>
        <v>0</v>
      </c>
      <c r="S86" s="125">
        <f t="shared" si="93"/>
        <v>7.9754239851949627E-2</v>
      </c>
      <c r="T86" s="125">
        <f t="shared" si="93"/>
        <v>-7.9754239851949627E-2</v>
      </c>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row>
    <row r="87" spans="2:60">
      <c r="B87" s="72">
        <f t="shared" si="89"/>
        <v>1</v>
      </c>
      <c r="C87" s="72">
        <f t="shared" si="57"/>
        <v>6</v>
      </c>
      <c r="D87" s="72" t="str">
        <f t="shared" si="90"/>
        <v>SoCal Edison</v>
      </c>
      <c r="E87" s="73">
        <v>2006</v>
      </c>
      <c r="F87" s="375">
        <v>1093</v>
      </c>
      <c r="G87" s="75">
        <f t="shared" si="86"/>
        <v>0.49851377539510461</v>
      </c>
      <c r="H87" s="127"/>
      <c r="I87" s="127"/>
      <c r="J87" s="374">
        <v>29579.175299999999</v>
      </c>
      <c r="K87" s="75">
        <f>J87/$J$217</f>
        <v>4.4517942748211102E-2</v>
      </c>
      <c r="L87" s="75"/>
      <c r="M87" s="375">
        <v>4773109.875</v>
      </c>
      <c r="N87" s="374">
        <v>269657.49912029743</v>
      </c>
      <c r="O87" s="127">
        <f t="shared" si="87"/>
        <v>240078.32382029743</v>
      </c>
      <c r="P87" s="75">
        <f t="shared" si="91"/>
        <v>0.89030835264550023</v>
      </c>
      <c r="Q87" s="75">
        <f t="shared" si="92"/>
        <v>0.10969164735449977</v>
      </c>
      <c r="R87" s="125">
        <f t="shared" si="88"/>
        <v>0</v>
      </c>
      <c r="S87" s="125">
        <f t="shared" si="93"/>
        <v>0.10969164735449977</v>
      </c>
      <c r="T87" s="125">
        <f t="shared" si="93"/>
        <v>-0.10969164735449977</v>
      </c>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row>
    <row r="88" spans="2:60">
      <c r="B88" s="72">
        <f t="shared" si="89"/>
        <v>1</v>
      </c>
      <c r="C88" s="72">
        <f t="shared" si="57"/>
        <v>6</v>
      </c>
      <c r="D88" s="72" t="str">
        <f t="shared" si="90"/>
        <v>SoCal Edison</v>
      </c>
      <c r="E88" s="73">
        <v>2007</v>
      </c>
      <c r="F88" s="375">
        <v>1105</v>
      </c>
      <c r="G88" s="75">
        <f t="shared" si="86"/>
        <v>0.25293126490216744</v>
      </c>
      <c r="H88" s="127"/>
      <c r="I88" s="127"/>
      <c r="J88" s="374">
        <v>35054.246009999995</v>
      </c>
      <c r="K88" s="75">
        <f>J88/$J$218</f>
        <v>4.8600543395825813E-2</v>
      </c>
      <c r="L88" s="75"/>
      <c r="M88" s="375">
        <v>2448324.0580000002</v>
      </c>
      <c r="N88" s="374">
        <v>144854.42840737474</v>
      </c>
      <c r="O88" s="127">
        <f t="shared" si="87"/>
        <v>109800.18239737474</v>
      </c>
      <c r="P88" s="75">
        <f t="shared" si="91"/>
        <v>0.75800362891621931</v>
      </c>
      <c r="Q88" s="75">
        <f t="shared" si="92"/>
        <v>0.24199637108378069</v>
      </c>
      <c r="R88" s="125">
        <f t="shared" si="88"/>
        <v>0</v>
      </c>
      <c r="S88" s="125">
        <f t="shared" si="93"/>
        <v>0.24199637108378069</v>
      </c>
      <c r="T88" s="125">
        <f t="shared" si="93"/>
        <v>-0.24199637108378069</v>
      </c>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row>
    <row r="89" spans="2:60">
      <c r="B89" s="72">
        <f t="shared" si="89"/>
        <v>1</v>
      </c>
      <c r="C89" s="72">
        <f t="shared" si="57"/>
        <v>6</v>
      </c>
      <c r="D89" s="72" t="str">
        <f t="shared" si="90"/>
        <v>SoCal Edison</v>
      </c>
      <c r="E89" s="73">
        <v>2008</v>
      </c>
      <c r="F89" s="375">
        <v>1105</v>
      </c>
      <c r="G89" s="75">
        <f t="shared" si="86"/>
        <v>0.25364936207359656</v>
      </c>
      <c r="H89" s="127"/>
      <c r="I89" s="127"/>
      <c r="J89" s="374">
        <v>32886.636689999992</v>
      </c>
      <c r="K89" s="75">
        <f>J89/$J$219</f>
        <v>4.2073465148944118E-2</v>
      </c>
      <c r="L89" s="75"/>
      <c r="M89" s="375">
        <v>2455275.0950000002</v>
      </c>
      <c r="N89" s="374">
        <v>210255.59549800411</v>
      </c>
      <c r="O89" s="127">
        <f t="shared" si="87"/>
        <v>177368.95880800413</v>
      </c>
      <c r="P89" s="75">
        <f t="shared" si="91"/>
        <v>0.84358734133992563</v>
      </c>
      <c r="Q89" s="75">
        <f t="shared" si="92"/>
        <v>0.15641265866007437</v>
      </c>
      <c r="R89" s="125">
        <f t="shared" si="88"/>
        <v>0</v>
      </c>
      <c r="S89" s="125">
        <f t="shared" si="93"/>
        <v>0.15641265866007437</v>
      </c>
      <c r="T89" s="125">
        <f t="shared" si="93"/>
        <v>-0.15641265866007437</v>
      </c>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row>
    <row r="90" spans="2:60">
      <c r="B90" s="72">
        <f t="shared" si="89"/>
        <v>1</v>
      </c>
      <c r="C90" s="72">
        <f t="shared" si="57"/>
        <v>6</v>
      </c>
      <c r="D90" s="72" t="str">
        <f t="shared" si="90"/>
        <v>SoCal Edison</v>
      </c>
      <c r="E90" s="73">
        <v>2009</v>
      </c>
      <c r="F90" s="375">
        <v>1105</v>
      </c>
      <c r="G90" s="75">
        <f t="shared" si="86"/>
        <v>0.36861152441166145</v>
      </c>
      <c r="H90" s="127"/>
      <c r="I90" s="127"/>
      <c r="J90" s="374">
        <v>39833.376570000008</v>
      </c>
      <c r="K90" s="75">
        <f>J90/$J$220</f>
        <v>5.095259031884472E-2</v>
      </c>
      <c r="L90" s="75"/>
      <c r="M90" s="375">
        <v>3568085.8340000003</v>
      </c>
      <c r="N90" s="374">
        <v>130952.20480939627</v>
      </c>
      <c r="O90" s="127">
        <f t="shared" si="87"/>
        <v>91118.828239396258</v>
      </c>
      <c r="P90" s="75">
        <f t="shared" si="91"/>
        <v>0.69581744249378363</v>
      </c>
      <c r="Q90" s="75">
        <f t="shared" si="92"/>
        <v>0.30418255750621637</v>
      </c>
      <c r="R90" s="125">
        <f t="shared" si="88"/>
        <v>0</v>
      </c>
      <c r="S90" s="125">
        <f t="shared" si="93"/>
        <v>0.30418255750621637</v>
      </c>
      <c r="T90" s="125">
        <f t="shared" si="93"/>
        <v>-0.30418255750621637</v>
      </c>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row>
    <row r="91" spans="2:60">
      <c r="B91" s="72">
        <f t="shared" si="89"/>
        <v>1</v>
      </c>
      <c r="C91" s="72">
        <f t="shared" si="57"/>
        <v>6</v>
      </c>
      <c r="D91" s="72" t="str">
        <f t="shared" si="90"/>
        <v>SoCal Edison</v>
      </c>
      <c r="E91" s="73">
        <v>2010</v>
      </c>
      <c r="F91" s="375">
        <v>1105</v>
      </c>
      <c r="G91" s="75">
        <f t="shared" si="86"/>
        <v>0.42411203857517715</v>
      </c>
      <c r="H91" s="127"/>
      <c r="I91" s="127"/>
      <c r="J91" s="374">
        <v>44792.563139999998</v>
      </c>
      <c r="K91" s="75">
        <f>J91/$J$221</f>
        <v>5.3301917023250212E-2</v>
      </c>
      <c r="L91" s="75"/>
      <c r="M91" s="375">
        <v>4105319.7109999997</v>
      </c>
      <c r="N91" s="374">
        <v>172448.17313495191</v>
      </c>
      <c r="O91" s="127">
        <f t="shared" si="87"/>
        <v>127655.60999495191</v>
      </c>
      <c r="P91" s="75">
        <f t="shared" si="91"/>
        <v>0.74025492804178972</v>
      </c>
      <c r="Q91" s="75">
        <f t="shared" si="92"/>
        <v>0.25974507195821028</v>
      </c>
      <c r="R91" s="125">
        <f t="shared" si="88"/>
        <v>0</v>
      </c>
      <c r="S91" s="125">
        <f t="shared" si="93"/>
        <v>0.25974507195821028</v>
      </c>
      <c r="T91" s="125">
        <f t="shared" si="93"/>
        <v>-0.25974507195821028</v>
      </c>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row>
    <row r="92" spans="2:60">
      <c r="B92" s="72">
        <f t="shared" si="89"/>
        <v>1</v>
      </c>
      <c r="C92" s="72">
        <f t="shared" si="57"/>
        <v>6</v>
      </c>
      <c r="D92" s="72" t="str">
        <f t="shared" si="90"/>
        <v>SoCal Edison</v>
      </c>
      <c r="E92" s="73">
        <v>2011</v>
      </c>
      <c r="F92" s="375">
        <v>1112.2</v>
      </c>
      <c r="G92" s="75">
        <f t="shared" si="86"/>
        <v>0.47249197926443043</v>
      </c>
      <c r="H92" s="127"/>
      <c r="I92" s="127"/>
      <c r="J92" s="374">
        <v>48341.319779999998</v>
      </c>
      <c r="K92" s="75">
        <f>J92/$J$222</f>
        <v>5.940088795176586E-2</v>
      </c>
      <c r="L92" s="75"/>
      <c r="M92" s="375">
        <v>4603428.875</v>
      </c>
      <c r="N92" s="374">
        <v>174963.1178361575</v>
      </c>
      <c r="O92" s="127">
        <f t="shared" si="87"/>
        <v>126621.79805615751</v>
      </c>
      <c r="P92" s="75">
        <f t="shared" si="91"/>
        <v>0.72370565649573793</v>
      </c>
      <c r="Q92" s="75">
        <f t="shared" si="92"/>
        <v>0.27629434350426207</v>
      </c>
      <c r="R92" s="125">
        <f t="shared" si="88"/>
        <v>0</v>
      </c>
      <c r="S92" s="125">
        <f t="shared" si="93"/>
        <v>0.27629434350426207</v>
      </c>
      <c r="T92" s="125">
        <f t="shared" si="93"/>
        <v>-0.27629434350426207</v>
      </c>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row>
    <row r="93" spans="2:60">
      <c r="B93" s="72">
        <f t="shared" si="89"/>
        <v>1</v>
      </c>
      <c r="C93" s="72">
        <f t="shared" ref="C93:C129" si="94">IF(D93=D92,C92,C92+1)</f>
        <v>6</v>
      </c>
      <c r="D93" s="72" t="str">
        <f t="shared" si="90"/>
        <v>SoCal Edison</v>
      </c>
      <c r="E93" s="73">
        <v>2012</v>
      </c>
      <c r="F93" s="375">
        <v>1112.4000000000001</v>
      </c>
      <c r="G93" s="75">
        <f t="shared" si="86"/>
        <v>0.26943407831846561</v>
      </c>
      <c r="H93" s="127"/>
      <c r="I93" s="127"/>
      <c r="J93" s="374">
        <v>40212.992700000003</v>
      </c>
      <c r="K93" s="75">
        <f>J93/$J$223</f>
        <v>4.8737317435169784E-2</v>
      </c>
      <c r="L93" s="75"/>
      <c r="M93" s="375">
        <v>2625533.7859999998</v>
      </c>
      <c r="N93" s="374">
        <v>90374.503148488235</v>
      </c>
      <c r="O93" s="127">
        <f t="shared" si="87"/>
        <v>50161.510448488232</v>
      </c>
      <c r="P93" s="75">
        <f t="shared" si="91"/>
        <v>0.55504051143795774</v>
      </c>
      <c r="Q93" s="75">
        <f t="shared" si="92"/>
        <v>0.44495948856204226</v>
      </c>
      <c r="R93" s="125">
        <f t="shared" si="88"/>
        <v>0</v>
      </c>
      <c r="S93" s="125">
        <f t="shared" si="93"/>
        <v>0.44495948856204226</v>
      </c>
      <c r="T93" s="125">
        <f t="shared" si="93"/>
        <v>-0.44495948856204226</v>
      </c>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row>
    <row r="94" spans="2:60">
      <c r="B94" s="72">
        <f t="shared" si="89"/>
        <v>1</v>
      </c>
      <c r="C94" s="72">
        <f t="shared" si="94"/>
        <v>6</v>
      </c>
      <c r="D94" s="72" t="str">
        <f t="shared" si="90"/>
        <v>SoCal Edison</v>
      </c>
      <c r="E94" s="73">
        <v>2013</v>
      </c>
      <c r="F94" s="375">
        <v>1112.4000000000001</v>
      </c>
      <c r="G94" s="75">
        <f t="shared" si="86"/>
        <v>0.23137492539476126</v>
      </c>
      <c r="H94" s="127"/>
      <c r="I94" s="127"/>
      <c r="J94" s="374">
        <v>46789.833449999998</v>
      </c>
      <c r="K94" s="75">
        <f>J94/$J$224</f>
        <v>5.5573688309250906E-2</v>
      </c>
      <c r="L94" s="72"/>
      <c r="M94" s="375">
        <v>2254661.6510000001</v>
      </c>
      <c r="N94" s="374">
        <v>112299.99682377835</v>
      </c>
      <c r="O94" s="127">
        <f t="shared" ref="O94:O95" si="95">N94-J94</f>
        <v>65510.163373778349</v>
      </c>
      <c r="P94" s="75">
        <f t="shared" ref="P94:P95" si="96">O94/N94</f>
        <v>0.58334964582926208</v>
      </c>
      <c r="Q94" s="75">
        <f t="shared" ref="Q94:Q95" si="97">1-P94</f>
        <v>0.41665035417073792</v>
      </c>
      <c r="R94" s="125">
        <f t="shared" ref="R94:R95" si="98">Q94*L94</f>
        <v>0</v>
      </c>
      <c r="S94" s="125">
        <f t="shared" ref="S94:S95" si="99">Q94-R94</f>
        <v>0.41665035417073792</v>
      </c>
      <c r="T94" s="125">
        <f t="shared" ref="T94:T95" si="100">R94-S94</f>
        <v>-0.41665035417073792</v>
      </c>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row>
    <row r="95" spans="2:60">
      <c r="B95" s="72">
        <f t="shared" si="89"/>
        <v>1</v>
      </c>
      <c r="C95" s="72">
        <f t="shared" si="94"/>
        <v>6</v>
      </c>
      <c r="D95" s="72" t="str">
        <f t="shared" si="90"/>
        <v>SoCal Edison</v>
      </c>
      <c r="E95" s="73">
        <v>2014</v>
      </c>
      <c r="F95" s="375">
        <v>1112.4000000000001</v>
      </c>
      <c r="G95" s="75">
        <f t="shared" si="86"/>
        <v>0.15834696505478302</v>
      </c>
      <c r="H95" s="127"/>
      <c r="I95" s="127"/>
      <c r="J95" s="374">
        <v>34259.181389999998</v>
      </c>
      <c r="K95" s="75">
        <f>J95/$J$225</f>
        <v>3.9590580635248819E-2</v>
      </c>
      <c r="L95" s="72"/>
      <c r="M95" s="375">
        <v>1543031.6359999999</v>
      </c>
      <c r="N95" s="374">
        <v>86708.726111849886</v>
      </c>
      <c r="O95" s="127">
        <f t="shared" si="95"/>
        <v>52449.544721849888</v>
      </c>
      <c r="P95" s="75">
        <f t="shared" si="96"/>
        <v>0.60489349888721256</v>
      </c>
      <c r="Q95" s="75">
        <f t="shared" si="97"/>
        <v>0.39510650111278744</v>
      </c>
      <c r="R95" s="125">
        <f t="shared" si="98"/>
        <v>0</v>
      </c>
      <c r="S95" s="125">
        <f t="shared" si="99"/>
        <v>0.39510650111278744</v>
      </c>
      <c r="T95" s="125">
        <f t="shared" si="100"/>
        <v>-0.39510650111278744</v>
      </c>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row>
    <row r="96" spans="2:60">
      <c r="B96" s="69">
        <f>'OPG hydro peers'!B11</f>
        <v>1</v>
      </c>
      <c r="C96" s="69">
        <f t="shared" si="94"/>
        <v>7</v>
      </c>
      <c r="D96" s="69" t="str">
        <f>'OPG hydro peers'!D11</f>
        <v>GA Power</v>
      </c>
      <c r="E96" s="70">
        <v>2002</v>
      </c>
      <c r="F96" s="373">
        <v>1058</v>
      </c>
      <c r="G96" s="76">
        <f t="shared" ref="G96:G108" si="101">M96/(F96*8760)</f>
        <v>0.18570764797023764</v>
      </c>
      <c r="H96" s="71"/>
      <c r="I96" s="71"/>
      <c r="J96" s="373">
        <v>44320.947929999995</v>
      </c>
      <c r="K96" s="76">
        <f>J96/$J$213</f>
        <v>8.5661645748742299E-2</v>
      </c>
      <c r="L96" s="76"/>
      <c r="M96" s="373">
        <v>1721153.338</v>
      </c>
      <c r="N96" s="373">
        <v>29004.408029504597</v>
      </c>
      <c r="O96" s="71">
        <f>N96-J96</f>
        <v>-15316.539900495398</v>
      </c>
      <c r="P96" s="76">
        <f>AVERAGE($P$97:$P$99,$P$103)</f>
        <v>0.34371795311662784</v>
      </c>
      <c r="Q96" s="76">
        <f>1-P96</f>
        <v>0.65628204688337211</v>
      </c>
      <c r="R96" s="126">
        <f t="shared" ref="R96:R106" si="102">Q96*L96</f>
        <v>0</v>
      </c>
      <c r="S96" s="126">
        <f>Q96-R96</f>
        <v>0.65628204688337211</v>
      </c>
      <c r="T96" s="126">
        <f>R96-S96</f>
        <v>-0.65628204688337211</v>
      </c>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row>
    <row r="97" spans="2:60">
      <c r="B97" s="69">
        <f t="shared" ref="B97:B108" si="103">B96</f>
        <v>1</v>
      </c>
      <c r="C97" s="69">
        <f t="shared" si="94"/>
        <v>7</v>
      </c>
      <c r="D97" s="69" t="str">
        <f t="shared" ref="D97:D104" si="104">D96</f>
        <v>GA Power</v>
      </c>
      <c r="E97" s="70">
        <v>2003</v>
      </c>
      <c r="F97" s="373">
        <v>1058</v>
      </c>
      <c r="G97" s="76">
        <f t="shared" si="101"/>
        <v>0.30005717667521214</v>
      </c>
      <c r="H97" s="71"/>
      <c r="I97" s="71"/>
      <c r="J97" s="373">
        <v>44236.427249999993</v>
      </c>
      <c r="K97" s="76">
        <f>J97/$J$214</f>
        <v>7.8874941387610392E-2</v>
      </c>
      <c r="L97" s="76"/>
      <c r="M97" s="373">
        <v>2780953.9180000001</v>
      </c>
      <c r="N97" s="373">
        <v>76606.790101084509</v>
      </c>
      <c r="O97" s="71">
        <f t="shared" ref="O97:O106" si="105">N97-J97</f>
        <v>32370.362851084516</v>
      </c>
      <c r="P97" s="76">
        <f>O97/N97</f>
        <v>0.42255213680629405</v>
      </c>
      <c r="Q97" s="76">
        <f t="shared" ref="Q97:Q106" si="106">1-P97</f>
        <v>0.57744786319370589</v>
      </c>
      <c r="R97" s="126">
        <f t="shared" si="102"/>
        <v>0</v>
      </c>
      <c r="S97" s="126">
        <f t="shared" ref="S97:T106" si="107">Q97-R97</f>
        <v>0.57744786319370589</v>
      </c>
      <c r="T97" s="126">
        <f t="shared" si="107"/>
        <v>-0.57744786319370589</v>
      </c>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row>
    <row r="98" spans="2:60">
      <c r="B98" s="69">
        <f t="shared" si="103"/>
        <v>1</v>
      </c>
      <c r="C98" s="69">
        <f t="shared" si="94"/>
        <v>7</v>
      </c>
      <c r="D98" s="69" t="str">
        <f t="shared" si="104"/>
        <v>GA Power</v>
      </c>
      <c r="E98" s="70">
        <v>2004</v>
      </c>
      <c r="F98" s="373">
        <v>1058</v>
      </c>
      <c r="G98" s="76">
        <f t="shared" si="101"/>
        <v>0.23902102700883029</v>
      </c>
      <c r="H98" s="71"/>
      <c r="I98" s="71"/>
      <c r="J98" s="373">
        <v>54959.024819999999</v>
      </c>
      <c r="K98" s="76">
        <f>J98/$J$215</f>
        <v>9.1494297985687853E-2</v>
      </c>
      <c r="L98" s="76"/>
      <c r="M98" s="373">
        <v>2215266</v>
      </c>
      <c r="N98" s="373">
        <v>69633.880138679495</v>
      </c>
      <c r="O98" s="71">
        <f t="shared" si="105"/>
        <v>14674.855318679496</v>
      </c>
      <c r="P98" s="76">
        <f t="shared" ref="P98:P103" si="108">O98/N98</f>
        <v>0.21074303614065104</v>
      </c>
      <c r="Q98" s="76">
        <f t="shared" si="106"/>
        <v>0.78925696385934896</v>
      </c>
      <c r="R98" s="126">
        <f t="shared" si="102"/>
        <v>0</v>
      </c>
      <c r="S98" s="126">
        <f t="shared" si="107"/>
        <v>0.78925696385934896</v>
      </c>
      <c r="T98" s="126">
        <f t="shared" si="107"/>
        <v>-0.78925696385934896</v>
      </c>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row>
    <row r="99" spans="2:60">
      <c r="B99" s="69">
        <f t="shared" si="103"/>
        <v>1</v>
      </c>
      <c r="C99" s="69">
        <f t="shared" si="94"/>
        <v>7</v>
      </c>
      <c r="D99" s="69" t="str">
        <f t="shared" si="104"/>
        <v>GA Power</v>
      </c>
      <c r="E99" s="70">
        <v>2005</v>
      </c>
      <c r="F99" s="373">
        <v>1071</v>
      </c>
      <c r="G99" s="76">
        <f t="shared" si="101"/>
        <v>0.27218443939219522</v>
      </c>
      <c r="H99" s="71"/>
      <c r="I99" s="71"/>
      <c r="J99" s="373">
        <v>61906.180440000004</v>
      </c>
      <c r="K99" s="76">
        <f>J99/$J$216</f>
        <v>9.9100175128063669E-2</v>
      </c>
      <c r="L99" s="76"/>
      <c r="M99" s="373">
        <v>2553623.523</v>
      </c>
      <c r="N99" s="373">
        <v>126548.53607936308</v>
      </c>
      <c r="O99" s="71">
        <f t="shared" si="105"/>
        <v>64642.355639363079</v>
      </c>
      <c r="P99" s="76">
        <f t="shared" si="108"/>
        <v>0.51081077381111351</v>
      </c>
      <c r="Q99" s="76">
        <f t="shared" si="106"/>
        <v>0.48918922618888649</v>
      </c>
      <c r="R99" s="126">
        <f t="shared" si="102"/>
        <v>0</v>
      </c>
      <c r="S99" s="126">
        <f t="shared" si="107"/>
        <v>0.48918922618888649</v>
      </c>
      <c r="T99" s="126">
        <f t="shared" si="107"/>
        <v>-0.48918922618888649</v>
      </c>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row>
    <row r="100" spans="2:60">
      <c r="B100" s="69">
        <f t="shared" si="103"/>
        <v>1</v>
      </c>
      <c r="C100" s="69">
        <f t="shared" si="94"/>
        <v>7</v>
      </c>
      <c r="D100" s="69" t="str">
        <f t="shared" si="104"/>
        <v>GA Power</v>
      </c>
      <c r="E100" s="70">
        <v>2006</v>
      </c>
      <c r="F100" s="373">
        <v>1071</v>
      </c>
      <c r="G100" s="76">
        <f t="shared" si="101"/>
        <v>0.1893381553534656</v>
      </c>
      <c r="H100" s="71"/>
      <c r="I100" s="71"/>
      <c r="J100" s="373">
        <v>62726.312460000001</v>
      </c>
      <c r="K100" s="76">
        <f>J100/$J$217</f>
        <v>9.4405822967643077E-2</v>
      </c>
      <c r="L100" s="76"/>
      <c r="M100" s="373">
        <v>1776363</v>
      </c>
      <c r="N100" s="373">
        <v>61707.936076715436</v>
      </c>
      <c r="O100" s="71">
        <f t="shared" si="105"/>
        <v>-1018.3763832845652</v>
      </c>
      <c r="P100" s="76">
        <f>AVERAGE($P$97:$P$99,$P$103)</f>
        <v>0.34371795311662784</v>
      </c>
      <c r="Q100" s="76">
        <f t="shared" si="106"/>
        <v>0.65628204688337211</v>
      </c>
      <c r="R100" s="126">
        <f t="shared" si="102"/>
        <v>0</v>
      </c>
      <c r="S100" s="126">
        <f t="shared" si="107"/>
        <v>0.65628204688337211</v>
      </c>
      <c r="T100" s="126">
        <f t="shared" si="107"/>
        <v>-0.65628204688337211</v>
      </c>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row>
    <row r="101" spans="2:60">
      <c r="B101" s="69">
        <f t="shared" si="103"/>
        <v>1</v>
      </c>
      <c r="C101" s="69">
        <f t="shared" si="94"/>
        <v>7</v>
      </c>
      <c r="D101" s="69" t="str">
        <f t="shared" si="104"/>
        <v>GA Power</v>
      </c>
      <c r="E101" s="70">
        <v>2007</v>
      </c>
      <c r="F101" s="373">
        <v>1071</v>
      </c>
      <c r="G101" s="76">
        <f t="shared" si="101"/>
        <v>0.15203838003999165</v>
      </c>
      <c r="H101" s="71"/>
      <c r="I101" s="71"/>
      <c r="J101" s="373">
        <v>62732.58423</v>
      </c>
      <c r="K101" s="76">
        <f>J101/$J$218</f>
        <v>8.6974846965262489E-2</v>
      </c>
      <c r="L101" s="76"/>
      <c r="M101" s="373">
        <v>1426418</v>
      </c>
      <c r="N101" s="373">
        <v>41896.016726848829</v>
      </c>
      <c r="O101" s="71">
        <f t="shared" si="105"/>
        <v>-20836.567503151171</v>
      </c>
      <c r="P101" s="76">
        <f>AVERAGE($P$97:$P$99,$P$103)</f>
        <v>0.34371795311662784</v>
      </c>
      <c r="Q101" s="76">
        <f t="shared" si="106"/>
        <v>0.65628204688337211</v>
      </c>
      <c r="R101" s="126">
        <f t="shared" si="102"/>
        <v>0</v>
      </c>
      <c r="S101" s="126">
        <f t="shared" si="107"/>
        <v>0.65628204688337211</v>
      </c>
      <c r="T101" s="126">
        <f t="shared" si="107"/>
        <v>-0.65628204688337211</v>
      </c>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row>
    <row r="102" spans="2:60">
      <c r="B102" s="69">
        <f t="shared" si="103"/>
        <v>1</v>
      </c>
      <c r="C102" s="69">
        <f t="shared" si="94"/>
        <v>7</v>
      </c>
      <c r="D102" s="69" t="str">
        <f t="shared" si="104"/>
        <v>GA Power</v>
      </c>
      <c r="E102" s="70">
        <v>2008</v>
      </c>
      <c r="F102" s="373">
        <v>1071</v>
      </c>
      <c r="G102" s="76">
        <f t="shared" si="101"/>
        <v>0.14468874307713953</v>
      </c>
      <c r="H102" s="71"/>
      <c r="I102" s="71"/>
      <c r="J102" s="373">
        <v>79349.767380000005</v>
      </c>
      <c r="K102" s="76">
        <f>J102/$J$219</f>
        <v>0.10151599581037163</v>
      </c>
      <c r="L102" s="76"/>
      <c r="M102" s="373">
        <v>1357464</v>
      </c>
      <c r="N102" s="373">
        <v>52439.488475018865</v>
      </c>
      <c r="O102" s="71">
        <f t="shared" si="105"/>
        <v>-26910.27890498114</v>
      </c>
      <c r="P102" s="76">
        <f>AVERAGE($P$97:$P$99,$P$103)</f>
        <v>0.34371795311662784</v>
      </c>
      <c r="Q102" s="76">
        <f t="shared" si="106"/>
        <v>0.65628204688337211</v>
      </c>
      <c r="R102" s="126">
        <f t="shared" si="102"/>
        <v>0</v>
      </c>
      <c r="S102" s="126">
        <f t="shared" si="107"/>
        <v>0.65628204688337211</v>
      </c>
      <c r="T102" s="126">
        <f t="shared" si="107"/>
        <v>-0.65628204688337211</v>
      </c>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row>
    <row r="103" spans="2:60">
      <c r="B103" s="69">
        <f t="shared" si="103"/>
        <v>1</v>
      </c>
      <c r="C103" s="69">
        <f t="shared" si="94"/>
        <v>7</v>
      </c>
      <c r="D103" s="69" t="str">
        <f t="shared" si="104"/>
        <v>GA Power</v>
      </c>
      <c r="E103" s="70">
        <v>2009</v>
      </c>
      <c r="F103" s="373">
        <v>1071</v>
      </c>
      <c r="G103" s="76">
        <f t="shared" si="101"/>
        <v>0.26020447752921566</v>
      </c>
      <c r="H103" s="71"/>
      <c r="I103" s="71"/>
      <c r="J103" s="373">
        <v>53906.222309999997</v>
      </c>
      <c r="K103" s="76">
        <f>J103/$J$220</f>
        <v>6.8953774384936523E-2</v>
      </c>
      <c r="L103" s="76"/>
      <c r="M103" s="373">
        <v>2441228</v>
      </c>
      <c r="N103" s="373">
        <v>70077.782442203737</v>
      </c>
      <c r="O103" s="71">
        <f t="shared" si="105"/>
        <v>16171.56013220374</v>
      </c>
      <c r="P103" s="76">
        <f t="shared" si="108"/>
        <v>0.23076586570845253</v>
      </c>
      <c r="Q103" s="76">
        <f t="shared" si="106"/>
        <v>0.76923413429154741</v>
      </c>
      <c r="R103" s="126">
        <f t="shared" si="102"/>
        <v>0</v>
      </c>
      <c r="S103" s="126">
        <f t="shared" si="107"/>
        <v>0.76923413429154741</v>
      </c>
      <c r="T103" s="126">
        <f t="shared" si="107"/>
        <v>-0.76923413429154741</v>
      </c>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row>
    <row r="104" spans="2:60">
      <c r="B104" s="69">
        <f t="shared" si="103"/>
        <v>1</v>
      </c>
      <c r="C104" s="69">
        <f t="shared" si="94"/>
        <v>7</v>
      </c>
      <c r="D104" s="69" t="str">
        <f t="shared" si="104"/>
        <v>GA Power</v>
      </c>
      <c r="E104" s="70">
        <v>2010</v>
      </c>
      <c r="F104" s="373">
        <v>1071</v>
      </c>
      <c r="G104" s="76">
        <f t="shared" si="101"/>
        <v>0.23540571479733446</v>
      </c>
      <c r="H104" s="71"/>
      <c r="I104" s="71"/>
      <c r="J104" s="373">
        <v>63576.759059999997</v>
      </c>
      <c r="K104" s="76">
        <f>J104/$J$221</f>
        <v>7.5654593050003591E-2</v>
      </c>
      <c r="L104" s="76"/>
      <c r="M104" s="373">
        <v>2208567</v>
      </c>
      <c r="N104" s="373">
        <v>70813.915521903386</v>
      </c>
      <c r="O104" s="71">
        <f t="shared" si="105"/>
        <v>7237.1564619033888</v>
      </c>
      <c r="P104" s="76">
        <f>AVERAGE($P$97:$P$99,$P$103)</f>
        <v>0.34371795311662784</v>
      </c>
      <c r="Q104" s="76">
        <f t="shared" si="106"/>
        <v>0.65628204688337211</v>
      </c>
      <c r="R104" s="126">
        <f t="shared" si="102"/>
        <v>0</v>
      </c>
      <c r="S104" s="126">
        <f t="shared" si="107"/>
        <v>0.65628204688337211</v>
      </c>
      <c r="T104" s="126">
        <f t="shared" si="107"/>
        <v>-0.65628204688337211</v>
      </c>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row>
    <row r="105" spans="2:60">
      <c r="B105" s="69">
        <f t="shared" si="103"/>
        <v>1</v>
      </c>
      <c r="C105" s="69">
        <f t="shared" si="94"/>
        <v>7</v>
      </c>
      <c r="D105" s="69" t="str">
        <f t="shared" ref="D105:D108" si="109">D104</f>
        <v>GA Power</v>
      </c>
      <c r="E105" s="70">
        <v>2011</v>
      </c>
      <c r="F105" s="373">
        <v>1071</v>
      </c>
      <c r="G105" s="76">
        <f t="shared" si="101"/>
        <v>0.18771248225317524</v>
      </c>
      <c r="H105" s="71"/>
      <c r="I105" s="71"/>
      <c r="J105" s="373">
        <v>59952.331590000002</v>
      </c>
      <c r="K105" s="76">
        <f>J105/$J$222</f>
        <v>7.3668276899177015E-2</v>
      </c>
      <c r="L105" s="76"/>
      <c r="M105" s="373">
        <v>1761111</v>
      </c>
      <c r="N105" s="373">
        <v>44493.863772395802</v>
      </c>
      <c r="O105" s="71">
        <f t="shared" si="105"/>
        <v>-15458.4678176042</v>
      </c>
      <c r="P105" s="76">
        <f>AVERAGE($P$97:$P$99,$P$103)</f>
        <v>0.34371795311662784</v>
      </c>
      <c r="Q105" s="76">
        <f t="shared" si="106"/>
        <v>0.65628204688337211</v>
      </c>
      <c r="R105" s="126">
        <f t="shared" si="102"/>
        <v>0</v>
      </c>
      <c r="S105" s="126">
        <f t="shared" si="107"/>
        <v>0.65628204688337211</v>
      </c>
      <c r="T105" s="126">
        <f t="shared" si="107"/>
        <v>-0.65628204688337211</v>
      </c>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row>
    <row r="106" spans="2:60">
      <c r="B106" s="69">
        <f t="shared" si="103"/>
        <v>1</v>
      </c>
      <c r="C106" s="69">
        <f t="shared" si="94"/>
        <v>7</v>
      </c>
      <c r="D106" s="69" t="str">
        <f t="shared" si="109"/>
        <v>GA Power</v>
      </c>
      <c r="E106" s="70">
        <v>2012</v>
      </c>
      <c r="F106" s="373">
        <v>1071</v>
      </c>
      <c r="G106" s="76">
        <f t="shared" si="101"/>
        <v>0.15032871596127034</v>
      </c>
      <c r="H106" s="71"/>
      <c r="I106" s="71"/>
      <c r="J106" s="373">
        <v>51645.810720000001</v>
      </c>
      <c r="K106" s="76">
        <f>J106/$J$223</f>
        <v>6.2593656981350068E-2</v>
      </c>
      <c r="L106" s="76"/>
      <c r="M106" s="373">
        <v>1410378</v>
      </c>
      <c r="N106" s="373">
        <v>25206.619853265496</v>
      </c>
      <c r="O106" s="71">
        <f t="shared" si="105"/>
        <v>-26439.190866734505</v>
      </c>
      <c r="P106" s="76">
        <f>AVERAGE($P$97:$P$99,$P$103)</f>
        <v>0.34371795311662784</v>
      </c>
      <c r="Q106" s="76">
        <f t="shared" si="106"/>
        <v>0.65628204688337211</v>
      </c>
      <c r="R106" s="126">
        <f t="shared" si="102"/>
        <v>0</v>
      </c>
      <c r="S106" s="126">
        <f t="shared" si="107"/>
        <v>0.65628204688337211</v>
      </c>
      <c r="T106" s="126">
        <f t="shared" si="107"/>
        <v>-0.65628204688337211</v>
      </c>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row>
    <row r="107" spans="2:60">
      <c r="B107" s="69">
        <f t="shared" si="103"/>
        <v>1</v>
      </c>
      <c r="C107" s="69">
        <f t="shared" si="94"/>
        <v>7</v>
      </c>
      <c r="D107" s="69" t="str">
        <f t="shared" si="109"/>
        <v>GA Power</v>
      </c>
      <c r="E107" s="70">
        <v>2013</v>
      </c>
      <c r="F107" s="373">
        <v>1071</v>
      </c>
      <c r="G107" s="76">
        <f t="shared" si="101"/>
        <v>0.24906778540944535</v>
      </c>
      <c r="H107" s="69"/>
      <c r="I107" s="69"/>
      <c r="J107" s="373">
        <v>47707.905449999998</v>
      </c>
      <c r="K107" s="76">
        <f>J107/$J$224</f>
        <v>5.6664109954542116E-2</v>
      </c>
      <c r="L107" s="69"/>
      <c r="M107" s="373">
        <v>2336744</v>
      </c>
      <c r="N107" s="373">
        <v>69103.54771685625</v>
      </c>
      <c r="O107" s="71">
        <f t="shared" ref="O107:O108" si="110">N107-J107</f>
        <v>21395.642266856252</v>
      </c>
      <c r="P107" s="76">
        <f t="shared" ref="P107:P108" si="111">O107/N107</f>
        <v>0.30961713216986209</v>
      </c>
      <c r="Q107" s="76">
        <f t="shared" ref="Q107:Q108" si="112">1-P107</f>
        <v>0.69038286783013791</v>
      </c>
      <c r="R107" s="126">
        <f t="shared" ref="R107:R108" si="113">Q107*L107</f>
        <v>0</v>
      </c>
      <c r="S107" s="126">
        <f t="shared" ref="S107:S108" si="114">Q107-R107</f>
        <v>0.69038286783013791</v>
      </c>
      <c r="T107" s="126">
        <f t="shared" ref="T107:T108" si="115">R107-S107</f>
        <v>-0.69038286783013791</v>
      </c>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row>
    <row r="108" spans="2:60">
      <c r="B108" s="69">
        <f t="shared" si="103"/>
        <v>1</v>
      </c>
      <c r="C108" s="69">
        <f t="shared" si="94"/>
        <v>7</v>
      </c>
      <c r="D108" s="69" t="str">
        <f t="shared" si="109"/>
        <v>GA Power</v>
      </c>
      <c r="E108" s="70">
        <v>2014</v>
      </c>
      <c r="F108" s="373">
        <v>1071</v>
      </c>
      <c r="G108" s="76">
        <f t="shared" si="101"/>
        <v>0.20340174121398941</v>
      </c>
      <c r="H108" s="69"/>
      <c r="I108" s="69"/>
      <c r="J108" s="373">
        <v>61799.222100000006</v>
      </c>
      <c r="K108" s="76">
        <f>J108/$J$225</f>
        <v>7.1416390774003288E-2</v>
      </c>
      <c r="L108" s="69"/>
      <c r="M108" s="373">
        <v>1908307</v>
      </c>
      <c r="N108" s="373">
        <v>75080.007214224373</v>
      </c>
      <c r="O108" s="71">
        <f t="shared" si="110"/>
        <v>13280.785114224367</v>
      </c>
      <c r="P108" s="76">
        <f t="shared" si="111"/>
        <v>0.17688843684218827</v>
      </c>
      <c r="Q108" s="76">
        <f t="shared" si="112"/>
        <v>0.82311156315781175</v>
      </c>
      <c r="R108" s="126">
        <f t="shared" si="113"/>
        <v>0</v>
      </c>
      <c r="S108" s="126">
        <f t="shared" si="114"/>
        <v>0.82311156315781175</v>
      </c>
      <c r="T108" s="126">
        <f t="shared" si="115"/>
        <v>-0.82311156315781175</v>
      </c>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row>
    <row r="109" spans="2:60">
      <c r="B109" s="72">
        <f>'OPG hydro peers'!B12</f>
        <v>1</v>
      </c>
      <c r="C109" s="72">
        <f t="shared" si="94"/>
        <v>8</v>
      </c>
      <c r="D109" s="72" t="str">
        <f>'OPG hydro peers'!D12</f>
        <v>PacifiCorp</v>
      </c>
      <c r="E109" s="73">
        <v>2002</v>
      </c>
      <c r="F109" s="375">
        <v>979.5</v>
      </c>
      <c r="G109" s="75">
        <f t="shared" ref="G109:G121" si="116">M109/(F109*8760)</f>
        <v>0.37526391482002047</v>
      </c>
      <c r="H109" s="127"/>
      <c r="I109" s="127"/>
      <c r="J109" s="374">
        <v>25497.863100000002</v>
      </c>
      <c r="K109" s="75">
        <f>J109/$J$213</f>
        <v>4.92811868480749E-2</v>
      </c>
      <c r="L109" s="75"/>
      <c r="M109" s="375">
        <v>3219922</v>
      </c>
      <c r="N109" s="374">
        <v>98988.436469845474</v>
      </c>
      <c r="O109" s="127">
        <f t="shared" ref="O109:O119" si="117">N109-J109</f>
        <v>73490.573369845471</v>
      </c>
      <c r="P109" s="75">
        <f>O109/N109</f>
        <v>0.74241574057220983</v>
      </c>
      <c r="Q109" s="75">
        <f>1-P109</f>
        <v>0.25758425942779017</v>
      </c>
      <c r="R109" s="125">
        <f t="shared" ref="R109:R119" si="118">Q109*L109</f>
        <v>0</v>
      </c>
      <c r="S109" s="125">
        <f>Q109-R109</f>
        <v>0.25758425942779017</v>
      </c>
      <c r="T109" s="125">
        <f>R109-S109</f>
        <v>-0.25758425942779017</v>
      </c>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row>
    <row r="110" spans="2:60">
      <c r="B110" s="72">
        <f t="shared" ref="B110:B121" si="119">B109</f>
        <v>1</v>
      </c>
      <c r="C110" s="72">
        <f t="shared" si="94"/>
        <v>8</v>
      </c>
      <c r="D110" s="72" t="str">
        <f t="shared" ref="D110:D121" si="120">D109</f>
        <v>PacifiCorp</v>
      </c>
      <c r="E110" s="73">
        <v>2003</v>
      </c>
      <c r="F110" s="375">
        <v>988.6</v>
      </c>
      <c r="G110" s="75">
        <f t="shared" si="116"/>
        <v>0.39776142083680904</v>
      </c>
      <c r="H110" s="127"/>
      <c r="I110" s="127"/>
      <c r="J110" s="374">
        <v>26754.865289999998</v>
      </c>
      <c r="K110" s="75">
        <f>J110/$J$214</f>
        <v>4.7704766473476039E-2</v>
      </c>
      <c r="L110" s="75"/>
      <c r="M110" s="375">
        <v>3444668</v>
      </c>
      <c r="N110" s="374">
        <v>177836.25091465336</v>
      </c>
      <c r="O110" s="127">
        <f t="shared" si="117"/>
        <v>151081.38562465337</v>
      </c>
      <c r="P110" s="75">
        <f t="shared" ref="P110:P119" si="121">O110/N110</f>
        <v>0.84955336635588374</v>
      </c>
      <c r="Q110" s="75">
        <f t="shared" ref="Q110:Q119" si="122">1-P110</f>
        <v>0.15044663364411626</v>
      </c>
      <c r="R110" s="125">
        <f t="shared" si="118"/>
        <v>0</v>
      </c>
      <c r="S110" s="125">
        <f t="shared" ref="S110:T119" si="123">Q110-R110</f>
        <v>0.15044663364411626</v>
      </c>
      <c r="T110" s="125">
        <f t="shared" si="123"/>
        <v>-0.15044663364411626</v>
      </c>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row>
    <row r="111" spans="2:60">
      <c r="B111" s="72">
        <f t="shared" si="119"/>
        <v>1</v>
      </c>
      <c r="C111" s="72">
        <f t="shared" si="94"/>
        <v>8</v>
      </c>
      <c r="D111" s="72" t="str">
        <f t="shared" si="120"/>
        <v>PacifiCorp</v>
      </c>
      <c r="E111" s="73">
        <v>2004</v>
      </c>
      <c r="F111" s="375">
        <v>1003.14</v>
      </c>
      <c r="G111" s="75">
        <f t="shared" si="116"/>
        <v>0.35176873384695345</v>
      </c>
      <c r="H111" s="127"/>
      <c r="I111" s="127"/>
      <c r="J111" s="374">
        <v>34820.494350000001</v>
      </c>
      <c r="K111" s="75">
        <f>J111/$J$215</f>
        <v>5.7968217167283072E-2</v>
      </c>
      <c r="L111" s="75"/>
      <c r="M111" s="375">
        <v>3091170</v>
      </c>
      <c r="N111" s="374">
        <v>173660.96354106831</v>
      </c>
      <c r="O111" s="127">
        <f t="shared" si="117"/>
        <v>138840.46919106832</v>
      </c>
      <c r="P111" s="75">
        <f t="shared" si="121"/>
        <v>0.79949152855088557</v>
      </c>
      <c r="Q111" s="75">
        <f t="shared" si="122"/>
        <v>0.20050847144911443</v>
      </c>
      <c r="R111" s="125">
        <f t="shared" si="118"/>
        <v>0</v>
      </c>
      <c r="S111" s="125">
        <f t="shared" si="123"/>
        <v>0.20050847144911443</v>
      </c>
      <c r="T111" s="125">
        <f t="shared" si="123"/>
        <v>-0.20050847144911443</v>
      </c>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row>
    <row r="112" spans="2:60">
      <c r="B112" s="72">
        <f t="shared" si="119"/>
        <v>1</v>
      </c>
      <c r="C112" s="72">
        <f t="shared" si="94"/>
        <v>8</v>
      </c>
      <c r="D112" s="72" t="str">
        <f t="shared" si="120"/>
        <v>PacifiCorp</v>
      </c>
      <c r="E112" s="73">
        <v>2005</v>
      </c>
      <c r="F112" s="375">
        <v>1003.14</v>
      </c>
      <c r="G112" s="75">
        <f t="shared" si="116"/>
        <v>0.33742416392436425</v>
      </c>
      <c r="H112" s="127"/>
      <c r="I112" s="127"/>
      <c r="J112" s="374">
        <v>34601.1423</v>
      </c>
      <c r="K112" s="75">
        <f>J112/$J$216</f>
        <v>5.5389934206721857E-2</v>
      </c>
      <c r="L112" s="75"/>
      <c r="M112" s="375">
        <v>2965117</v>
      </c>
      <c r="N112" s="374">
        <v>227781.55794615878</v>
      </c>
      <c r="O112" s="127">
        <f t="shared" si="117"/>
        <v>193180.41564615877</v>
      </c>
      <c r="P112" s="75">
        <f t="shared" si="121"/>
        <v>0.84809506699318149</v>
      </c>
      <c r="Q112" s="75">
        <f t="shared" si="122"/>
        <v>0.15190493300681851</v>
      </c>
      <c r="R112" s="125">
        <f t="shared" si="118"/>
        <v>0</v>
      </c>
      <c r="S112" s="125">
        <f t="shared" si="123"/>
        <v>0.15190493300681851</v>
      </c>
      <c r="T112" s="125">
        <f t="shared" si="123"/>
        <v>-0.15190493300681851</v>
      </c>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row>
    <row r="113" spans="2:60">
      <c r="B113" s="72">
        <f t="shared" si="119"/>
        <v>1</v>
      </c>
      <c r="C113" s="72">
        <f t="shared" si="94"/>
        <v>8</v>
      </c>
      <c r="D113" s="72" t="str">
        <f t="shared" si="120"/>
        <v>PacifiCorp</v>
      </c>
      <c r="E113" s="73">
        <v>2006</v>
      </c>
      <c r="F113" s="375">
        <v>1010.77</v>
      </c>
      <c r="G113" s="75">
        <f t="shared" si="116"/>
        <v>0.48001257055123631</v>
      </c>
      <c r="H113" s="127"/>
      <c r="I113" s="127"/>
      <c r="J113" s="374">
        <v>32842.031969999996</v>
      </c>
      <c r="K113" s="75">
        <f>J113/$J$217</f>
        <v>4.9428683665003283E-2</v>
      </c>
      <c r="L113" s="75"/>
      <c r="M113" s="375">
        <v>4250197</v>
      </c>
      <c r="N113" s="374">
        <v>271324.60383125074</v>
      </c>
      <c r="O113" s="127">
        <f t="shared" si="117"/>
        <v>238482.57186125073</v>
      </c>
      <c r="P113" s="75">
        <f t="shared" si="121"/>
        <v>0.8789566758552203</v>
      </c>
      <c r="Q113" s="75">
        <f t="shared" si="122"/>
        <v>0.1210433241447797</v>
      </c>
      <c r="R113" s="125">
        <f t="shared" si="118"/>
        <v>0</v>
      </c>
      <c r="S113" s="125">
        <f t="shared" si="123"/>
        <v>0.1210433241447797</v>
      </c>
      <c r="T113" s="125">
        <f t="shared" si="123"/>
        <v>-0.1210433241447797</v>
      </c>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row>
    <row r="114" spans="2:60">
      <c r="B114" s="72">
        <f t="shared" si="119"/>
        <v>1</v>
      </c>
      <c r="C114" s="72">
        <f t="shared" si="94"/>
        <v>8</v>
      </c>
      <c r="D114" s="72" t="str">
        <f t="shared" si="120"/>
        <v>PacifiCorp</v>
      </c>
      <c r="E114" s="73">
        <v>2007</v>
      </c>
      <c r="F114" s="375">
        <v>1010.77</v>
      </c>
      <c r="G114" s="75">
        <f t="shared" si="116"/>
        <v>0.38891910380905415</v>
      </c>
      <c r="H114" s="127"/>
      <c r="I114" s="127"/>
      <c r="J114" s="374">
        <v>35559.201599999993</v>
      </c>
      <c r="K114" s="75">
        <f>J114/$J$218</f>
        <v>4.9300633081330925E-2</v>
      </c>
      <c r="L114" s="75"/>
      <c r="M114" s="375">
        <v>3443624</v>
      </c>
      <c r="N114" s="374">
        <v>242396.12012377178</v>
      </c>
      <c r="O114" s="127">
        <f t="shared" si="117"/>
        <v>206836.91852377178</v>
      </c>
      <c r="P114" s="75">
        <f t="shared" si="121"/>
        <v>0.85330127568938463</v>
      </c>
      <c r="Q114" s="75">
        <f t="shared" si="122"/>
        <v>0.14669872431061537</v>
      </c>
      <c r="R114" s="125">
        <f t="shared" si="118"/>
        <v>0</v>
      </c>
      <c r="S114" s="125">
        <f t="shared" si="123"/>
        <v>0.14669872431061537</v>
      </c>
      <c r="T114" s="125">
        <f t="shared" si="123"/>
        <v>-0.14669872431061537</v>
      </c>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row>
    <row r="115" spans="2:60">
      <c r="B115" s="72">
        <f t="shared" si="119"/>
        <v>1</v>
      </c>
      <c r="C115" s="72">
        <f t="shared" si="94"/>
        <v>8</v>
      </c>
      <c r="D115" s="72" t="str">
        <f t="shared" si="120"/>
        <v>PacifiCorp</v>
      </c>
      <c r="E115" s="73">
        <v>2008</v>
      </c>
      <c r="F115" s="375">
        <v>1010.77</v>
      </c>
      <c r="G115" s="75">
        <f t="shared" si="116"/>
        <v>0.38864070942253304</v>
      </c>
      <c r="H115" s="127"/>
      <c r="I115" s="127"/>
      <c r="J115" s="374">
        <v>36266.698829999994</v>
      </c>
      <c r="K115" s="75">
        <f>J115/$J$219</f>
        <v>4.6397742149024167E-2</v>
      </c>
      <c r="L115" s="75"/>
      <c r="M115" s="375">
        <v>3441159</v>
      </c>
      <c r="N115" s="374">
        <v>287926.38299186464</v>
      </c>
      <c r="O115" s="127">
        <f t="shared" si="117"/>
        <v>251659.68416186463</v>
      </c>
      <c r="P115" s="75">
        <f t="shared" si="121"/>
        <v>0.87404176563067959</v>
      </c>
      <c r="Q115" s="75">
        <f t="shared" si="122"/>
        <v>0.12595823436932041</v>
      </c>
      <c r="R115" s="125">
        <f t="shared" si="118"/>
        <v>0</v>
      </c>
      <c r="S115" s="125">
        <f t="shared" si="123"/>
        <v>0.12595823436932041</v>
      </c>
      <c r="T115" s="125">
        <f t="shared" si="123"/>
        <v>-0.12595823436932041</v>
      </c>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row>
    <row r="116" spans="2:60">
      <c r="B116" s="72">
        <f t="shared" si="119"/>
        <v>1</v>
      </c>
      <c r="C116" s="72">
        <f t="shared" si="94"/>
        <v>8</v>
      </c>
      <c r="D116" s="72" t="str">
        <f t="shared" si="120"/>
        <v>PacifiCorp</v>
      </c>
      <c r="E116" s="73">
        <v>2009</v>
      </c>
      <c r="F116" s="375">
        <v>1010.77</v>
      </c>
      <c r="G116" s="75">
        <f t="shared" si="116"/>
        <v>0.36298471850860303</v>
      </c>
      <c r="H116" s="127"/>
      <c r="I116" s="127"/>
      <c r="J116" s="374">
        <v>37242.910470000003</v>
      </c>
      <c r="K116" s="75">
        <f>J116/$J$220</f>
        <v>4.763901338177022E-2</v>
      </c>
      <c r="L116" s="75"/>
      <c r="M116" s="375">
        <v>3213992</v>
      </c>
      <c r="N116" s="374">
        <v>135675.96011335167</v>
      </c>
      <c r="O116" s="127">
        <f t="shared" si="117"/>
        <v>98433.049643351667</v>
      </c>
      <c r="P116" s="75">
        <f t="shared" si="121"/>
        <v>0.72550103615345651</v>
      </c>
      <c r="Q116" s="75">
        <f t="shared" si="122"/>
        <v>0.27449896384654349</v>
      </c>
      <c r="R116" s="125">
        <f t="shared" si="118"/>
        <v>0</v>
      </c>
      <c r="S116" s="125">
        <f t="shared" si="123"/>
        <v>0.27449896384654349</v>
      </c>
      <c r="T116" s="125">
        <f t="shared" si="123"/>
        <v>-0.27449896384654349</v>
      </c>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row>
    <row r="117" spans="2:60">
      <c r="B117" s="72">
        <f t="shared" si="119"/>
        <v>1</v>
      </c>
      <c r="C117" s="72">
        <f t="shared" si="94"/>
        <v>8</v>
      </c>
      <c r="D117" s="72" t="str">
        <f t="shared" si="120"/>
        <v>PacifiCorp</v>
      </c>
      <c r="E117" s="73">
        <v>2010</v>
      </c>
      <c r="F117" s="375">
        <v>1010.77</v>
      </c>
      <c r="G117" s="75">
        <f t="shared" si="116"/>
        <v>0.38798939079086281</v>
      </c>
      <c r="H117" s="127"/>
      <c r="I117" s="127"/>
      <c r="J117" s="374">
        <v>35590.968809999991</v>
      </c>
      <c r="K117" s="75">
        <f>J117/$J$221</f>
        <v>4.235227308511879E-2</v>
      </c>
      <c r="L117" s="75"/>
      <c r="M117" s="375">
        <v>3435392</v>
      </c>
      <c r="N117" s="374">
        <v>149970.90692570031</v>
      </c>
      <c r="O117" s="127">
        <f t="shared" si="117"/>
        <v>114379.93811570032</v>
      </c>
      <c r="P117" s="75">
        <f t="shared" si="121"/>
        <v>0.76268084564139682</v>
      </c>
      <c r="Q117" s="75">
        <f t="shared" si="122"/>
        <v>0.23731915435860318</v>
      </c>
      <c r="R117" s="125">
        <f t="shared" si="118"/>
        <v>0</v>
      </c>
      <c r="S117" s="125">
        <f t="shared" si="123"/>
        <v>0.23731915435860318</v>
      </c>
      <c r="T117" s="125">
        <f t="shared" si="123"/>
        <v>-0.23731915435860318</v>
      </c>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row>
    <row r="118" spans="2:60">
      <c r="B118" s="72">
        <f t="shared" si="119"/>
        <v>1</v>
      </c>
      <c r="C118" s="72">
        <f t="shared" si="94"/>
        <v>8</v>
      </c>
      <c r="D118" s="72" t="str">
        <f t="shared" si="120"/>
        <v>PacifiCorp</v>
      </c>
      <c r="E118" s="73">
        <v>2011</v>
      </c>
      <c r="F118" s="375">
        <v>1016.27</v>
      </c>
      <c r="G118" s="75">
        <f t="shared" si="116"/>
        <v>0.48741990643284</v>
      </c>
      <c r="H118" s="127"/>
      <c r="I118" s="127"/>
      <c r="J118" s="374">
        <v>38791.797809999996</v>
      </c>
      <c r="K118" s="75">
        <f>J118/$J$222</f>
        <v>4.7666618239758908E-2</v>
      </c>
      <c r="L118" s="75"/>
      <c r="M118" s="375">
        <v>4339268</v>
      </c>
      <c r="N118" s="374">
        <v>154322.1676353435</v>
      </c>
      <c r="O118" s="127">
        <f t="shared" si="117"/>
        <v>115530.36982534351</v>
      </c>
      <c r="P118" s="75">
        <f t="shared" si="121"/>
        <v>0.74863107222765757</v>
      </c>
      <c r="Q118" s="75">
        <f t="shared" si="122"/>
        <v>0.25136892777234243</v>
      </c>
      <c r="R118" s="125">
        <f t="shared" si="118"/>
        <v>0</v>
      </c>
      <c r="S118" s="125">
        <f t="shared" si="123"/>
        <v>0.25136892777234243</v>
      </c>
      <c r="T118" s="125">
        <f t="shared" si="123"/>
        <v>-0.25136892777234243</v>
      </c>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row>
    <row r="119" spans="2:60">
      <c r="B119" s="72">
        <f t="shared" si="119"/>
        <v>1</v>
      </c>
      <c r="C119" s="72">
        <f t="shared" si="94"/>
        <v>8</v>
      </c>
      <c r="D119" s="72" t="str">
        <f t="shared" si="120"/>
        <v>PacifiCorp</v>
      </c>
      <c r="E119" s="73">
        <v>2012</v>
      </c>
      <c r="F119" s="375">
        <v>1016.27</v>
      </c>
      <c r="G119" s="75">
        <f t="shared" si="116"/>
        <v>0.45839207509348023</v>
      </c>
      <c r="H119" s="127"/>
      <c r="I119" s="127"/>
      <c r="J119" s="374">
        <v>37712.608110000001</v>
      </c>
      <c r="K119" s="75">
        <f>J119/$J$223</f>
        <v>4.5706902902683699E-2</v>
      </c>
      <c r="L119" s="75"/>
      <c r="M119" s="375">
        <v>4080847</v>
      </c>
      <c r="N119" s="374">
        <v>116332.05257686159</v>
      </c>
      <c r="O119" s="127">
        <f t="shared" si="117"/>
        <v>78619.444466861591</v>
      </c>
      <c r="P119" s="75">
        <f t="shared" si="121"/>
        <v>0.67581928389784962</v>
      </c>
      <c r="Q119" s="75">
        <f t="shared" si="122"/>
        <v>0.32418071610215038</v>
      </c>
      <c r="R119" s="125">
        <f t="shared" si="118"/>
        <v>0</v>
      </c>
      <c r="S119" s="125">
        <f t="shared" si="123"/>
        <v>0.32418071610215038</v>
      </c>
      <c r="T119" s="125">
        <f t="shared" si="123"/>
        <v>-0.32418071610215038</v>
      </c>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row>
    <row r="120" spans="2:60">
      <c r="B120" s="72">
        <f t="shared" si="119"/>
        <v>1</v>
      </c>
      <c r="C120" s="72">
        <f t="shared" si="94"/>
        <v>8</v>
      </c>
      <c r="D120" s="72" t="str">
        <f t="shared" si="120"/>
        <v>PacifiCorp</v>
      </c>
      <c r="E120" s="73">
        <v>2013</v>
      </c>
      <c r="F120" s="375">
        <v>1016.27</v>
      </c>
      <c r="G120" s="75">
        <f t="shared" si="116"/>
        <v>0.33436580443490349</v>
      </c>
      <c r="H120" s="127"/>
      <c r="I120" s="127"/>
      <c r="J120" s="374">
        <v>40175.152979999999</v>
      </c>
      <c r="K120" s="75">
        <f>J120/$J$224</f>
        <v>4.771723395580911E-2</v>
      </c>
      <c r="L120" s="72"/>
      <c r="M120" s="375">
        <v>2976700</v>
      </c>
      <c r="N120" s="374">
        <v>134754.456065598</v>
      </c>
      <c r="O120" s="127">
        <f t="shared" ref="O120:O121" si="124">N120-J120</f>
        <v>94579.303085598003</v>
      </c>
      <c r="P120" s="75">
        <f t="shared" ref="P120:P121" si="125">O120/N120</f>
        <v>0.70186401138050025</v>
      </c>
      <c r="Q120" s="75">
        <f t="shared" ref="Q120:Q121" si="126">1-P120</f>
        <v>0.29813598861949975</v>
      </c>
      <c r="R120" s="125">
        <f t="shared" ref="R120:R121" si="127">Q120*L120</f>
        <v>0</v>
      </c>
      <c r="S120" s="125">
        <f t="shared" ref="S120:S121" si="128">Q120-R120</f>
        <v>0.29813598861949975</v>
      </c>
      <c r="T120" s="125">
        <f t="shared" ref="T120:T121" si="129">R120-S120</f>
        <v>-0.29813598861949975</v>
      </c>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row>
    <row r="121" spans="2:60">
      <c r="B121" s="72">
        <f t="shared" si="119"/>
        <v>1</v>
      </c>
      <c r="C121" s="72">
        <f t="shared" si="94"/>
        <v>8</v>
      </c>
      <c r="D121" s="72" t="str">
        <f t="shared" si="120"/>
        <v>PacifiCorp</v>
      </c>
      <c r="E121" s="73">
        <v>2014</v>
      </c>
      <c r="F121" s="375">
        <v>1016.27</v>
      </c>
      <c r="G121" s="75">
        <f t="shared" si="116"/>
        <v>0.4038629399218101</v>
      </c>
      <c r="H121" s="127"/>
      <c r="I121" s="127"/>
      <c r="J121" s="374">
        <v>38805.439740000002</v>
      </c>
      <c r="K121" s="75">
        <f>J121/$J$225</f>
        <v>4.4844325777182822E-2</v>
      </c>
      <c r="L121" s="72"/>
      <c r="M121" s="375">
        <v>3595400</v>
      </c>
      <c r="N121" s="374">
        <v>174352.64487867008</v>
      </c>
      <c r="O121" s="127">
        <f t="shared" si="124"/>
        <v>135547.20513867008</v>
      </c>
      <c r="P121" s="75">
        <f t="shared" si="125"/>
        <v>0.77743131016449885</v>
      </c>
      <c r="Q121" s="75">
        <f t="shared" si="126"/>
        <v>0.22256868983550115</v>
      </c>
      <c r="R121" s="125">
        <f t="shared" si="127"/>
        <v>0</v>
      </c>
      <c r="S121" s="125">
        <f t="shared" si="128"/>
        <v>0.22256868983550115</v>
      </c>
      <c r="T121" s="125">
        <f t="shared" si="129"/>
        <v>-0.22256868983550115</v>
      </c>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row>
    <row r="122" spans="2:60">
      <c r="B122" s="69">
        <f>'OPG hydro peers'!B13</f>
        <v>1</v>
      </c>
      <c r="C122" s="69">
        <f t="shared" si="94"/>
        <v>9</v>
      </c>
      <c r="D122" s="69" t="str">
        <f>'OPG hydro peers'!D13</f>
        <v>Avista</v>
      </c>
      <c r="E122" s="70">
        <v>2002</v>
      </c>
      <c r="F122" s="373">
        <v>879.3</v>
      </c>
      <c r="G122" s="76">
        <f t="shared" ref="G122:G134" si="130">M122/(F122*8760)</f>
        <v>0.52055171013472212</v>
      </c>
      <c r="H122" s="71"/>
      <c r="I122" s="71"/>
      <c r="J122" s="373">
        <v>8928.7692599999991</v>
      </c>
      <c r="K122" s="76">
        <f>J122/$J$213</f>
        <v>1.725714600081163E-2</v>
      </c>
      <c r="L122" s="76"/>
      <c r="M122" s="373">
        <v>4009637</v>
      </c>
      <c r="N122" s="373">
        <v>104807.06617949699</v>
      </c>
      <c r="O122" s="71">
        <f t="shared" ref="O122:O132" si="131">N122-J122</f>
        <v>95878.296919496992</v>
      </c>
      <c r="P122" s="76">
        <f>O122/N122</f>
        <v>0.9148075641702611</v>
      </c>
      <c r="Q122" s="76">
        <f>1-P122</f>
        <v>8.5192435829738899E-2</v>
      </c>
      <c r="R122" s="126">
        <f t="shared" ref="R122:R132" si="132">Q122*L122</f>
        <v>0</v>
      </c>
      <c r="S122" s="126">
        <f>Q122-R122</f>
        <v>8.5192435829738899E-2</v>
      </c>
      <c r="T122" s="126">
        <f>R122-S122</f>
        <v>-8.5192435829738899E-2</v>
      </c>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row>
    <row r="123" spans="2:60">
      <c r="B123" s="69">
        <f t="shared" ref="B123:B134" si="133">B122</f>
        <v>1</v>
      </c>
      <c r="C123" s="69">
        <f t="shared" si="94"/>
        <v>9</v>
      </c>
      <c r="D123" s="69" t="str">
        <f t="shared" ref="D123:D130" si="134">D122</f>
        <v>Avista</v>
      </c>
      <c r="E123" s="70">
        <v>2003</v>
      </c>
      <c r="F123" s="373">
        <v>879.3</v>
      </c>
      <c r="G123" s="76">
        <f t="shared" si="130"/>
        <v>0.45953051591993838</v>
      </c>
      <c r="H123" s="71"/>
      <c r="I123" s="71"/>
      <c r="J123" s="373">
        <v>12271.156499999999</v>
      </c>
      <c r="K123" s="76">
        <f>J123/$J$214</f>
        <v>2.1879858068684657E-2</v>
      </c>
      <c r="L123" s="76"/>
      <c r="M123" s="373">
        <v>3539611</v>
      </c>
      <c r="N123" s="373">
        <v>168771.85214258402</v>
      </c>
      <c r="O123" s="71">
        <f t="shared" si="131"/>
        <v>156500.695642584</v>
      </c>
      <c r="P123" s="76">
        <f t="shared" ref="P123:P132" si="135">O123/N123</f>
        <v>0.92729145088937615</v>
      </c>
      <c r="Q123" s="76">
        <f t="shared" ref="Q123:Q132" si="136">1-P123</f>
        <v>7.2708549110623855E-2</v>
      </c>
      <c r="R123" s="126">
        <f t="shared" si="132"/>
        <v>0</v>
      </c>
      <c r="S123" s="126">
        <f t="shared" ref="S123:T132" si="137">Q123-R123</f>
        <v>7.2708549110623855E-2</v>
      </c>
      <c r="T123" s="126">
        <f t="shared" si="137"/>
        <v>-7.2708549110623855E-2</v>
      </c>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row>
    <row r="124" spans="2:60">
      <c r="B124" s="69">
        <f t="shared" si="133"/>
        <v>1</v>
      </c>
      <c r="C124" s="69">
        <f t="shared" si="94"/>
        <v>9</v>
      </c>
      <c r="D124" s="69" t="str">
        <f t="shared" si="134"/>
        <v>Avista</v>
      </c>
      <c r="E124" s="70">
        <v>2004</v>
      </c>
      <c r="F124" s="373">
        <v>879.3</v>
      </c>
      <c r="G124" s="76">
        <f t="shared" si="130"/>
        <v>0.49191306181182937</v>
      </c>
      <c r="H124" s="71"/>
      <c r="I124" s="71"/>
      <c r="J124" s="373">
        <v>13244.60925</v>
      </c>
      <c r="K124" s="76">
        <f>J124/$J$215</f>
        <v>2.2049267238499332E-2</v>
      </c>
      <c r="L124" s="76"/>
      <c r="M124" s="373">
        <v>3789043</v>
      </c>
      <c r="N124" s="373">
        <v>203384.96039113982</v>
      </c>
      <c r="O124" s="71">
        <f t="shared" si="131"/>
        <v>190140.35114113981</v>
      </c>
      <c r="P124" s="76">
        <f t="shared" si="135"/>
        <v>0.93487911188453343</v>
      </c>
      <c r="Q124" s="76">
        <f t="shared" si="136"/>
        <v>6.5120888115466569E-2</v>
      </c>
      <c r="R124" s="126">
        <f t="shared" si="132"/>
        <v>0</v>
      </c>
      <c r="S124" s="126">
        <f t="shared" si="137"/>
        <v>6.5120888115466569E-2</v>
      </c>
      <c r="T124" s="126">
        <f t="shared" si="137"/>
        <v>-6.5120888115466569E-2</v>
      </c>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row>
    <row r="125" spans="2:60">
      <c r="B125" s="69">
        <f t="shared" si="133"/>
        <v>1</v>
      </c>
      <c r="C125" s="69">
        <f t="shared" si="94"/>
        <v>9</v>
      </c>
      <c r="D125" s="69" t="str">
        <f t="shared" si="134"/>
        <v>Avista</v>
      </c>
      <c r="E125" s="70">
        <v>2005</v>
      </c>
      <c r="F125" s="373">
        <v>899.2</v>
      </c>
      <c r="G125" s="76">
        <f t="shared" si="130"/>
        <v>0.45840125266091419</v>
      </c>
      <c r="H125" s="71"/>
      <c r="I125" s="71"/>
      <c r="J125" s="373">
        <v>11327.26065</v>
      </c>
      <c r="K125" s="76">
        <f>J125/$J$216</f>
        <v>1.8132818179990823E-2</v>
      </c>
      <c r="L125" s="76"/>
      <c r="M125" s="373">
        <v>3610823</v>
      </c>
      <c r="N125" s="373">
        <v>251921.13086660273</v>
      </c>
      <c r="O125" s="71">
        <f t="shared" si="131"/>
        <v>240593.87021660272</v>
      </c>
      <c r="P125" s="76">
        <f t="shared" si="135"/>
        <v>0.9550364806198095</v>
      </c>
      <c r="Q125" s="76">
        <f t="shared" si="136"/>
        <v>4.4963519380190498E-2</v>
      </c>
      <c r="R125" s="126">
        <f t="shared" si="132"/>
        <v>0</v>
      </c>
      <c r="S125" s="126">
        <f t="shared" si="137"/>
        <v>4.4963519380190498E-2</v>
      </c>
      <c r="T125" s="126">
        <f t="shared" si="137"/>
        <v>-4.4963519380190498E-2</v>
      </c>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row>
    <row r="126" spans="2:60">
      <c r="B126" s="69">
        <f t="shared" si="133"/>
        <v>1</v>
      </c>
      <c r="C126" s="69">
        <f t="shared" si="94"/>
        <v>9</v>
      </c>
      <c r="D126" s="69" t="str">
        <f t="shared" si="134"/>
        <v>Avista</v>
      </c>
      <c r="E126" s="70">
        <v>2006</v>
      </c>
      <c r="F126" s="373">
        <v>906.55</v>
      </c>
      <c r="G126" s="76">
        <f t="shared" si="130"/>
        <v>0.51976772796862203</v>
      </c>
      <c r="H126" s="71"/>
      <c r="I126" s="71"/>
      <c r="J126" s="373">
        <v>12126.034950000001</v>
      </c>
      <c r="K126" s="76">
        <f>J126/$J$217</f>
        <v>1.8250208945714146E-2</v>
      </c>
      <c r="L126" s="76"/>
      <c r="M126" s="373">
        <v>4127672</v>
      </c>
      <c r="N126" s="373">
        <v>230650.79512184908</v>
      </c>
      <c r="O126" s="71">
        <f t="shared" si="131"/>
        <v>218524.76017184908</v>
      </c>
      <c r="P126" s="76">
        <f t="shared" si="135"/>
        <v>0.94742686690677125</v>
      </c>
      <c r="Q126" s="76">
        <f t="shared" si="136"/>
        <v>5.2573133093228752E-2</v>
      </c>
      <c r="R126" s="126">
        <f t="shared" si="132"/>
        <v>0</v>
      </c>
      <c r="S126" s="126">
        <f t="shared" si="137"/>
        <v>5.2573133093228752E-2</v>
      </c>
      <c r="T126" s="126">
        <f t="shared" si="137"/>
        <v>-5.2573133093228752E-2</v>
      </c>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row>
    <row r="127" spans="2:60">
      <c r="B127" s="69">
        <f t="shared" si="133"/>
        <v>1</v>
      </c>
      <c r="C127" s="69">
        <f t="shared" si="94"/>
        <v>9</v>
      </c>
      <c r="D127" s="69" t="str">
        <f t="shared" si="134"/>
        <v>Avista</v>
      </c>
      <c r="E127" s="70">
        <v>2007</v>
      </c>
      <c r="F127" s="373">
        <v>906.55</v>
      </c>
      <c r="G127" s="76">
        <f t="shared" si="130"/>
        <v>0.46450263417759485</v>
      </c>
      <c r="H127" s="71"/>
      <c r="I127" s="71"/>
      <c r="J127" s="373">
        <v>12602.87766</v>
      </c>
      <c r="K127" s="76">
        <f>J127/$J$218</f>
        <v>1.7473110174795449E-2</v>
      </c>
      <c r="L127" s="76"/>
      <c r="M127" s="373">
        <v>3688791</v>
      </c>
      <c r="N127" s="373">
        <v>243127.87286561809</v>
      </c>
      <c r="O127" s="71">
        <f t="shared" si="131"/>
        <v>230524.99520561809</v>
      </c>
      <c r="P127" s="76">
        <f t="shared" si="135"/>
        <v>0.94816358358481645</v>
      </c>
      <c r="Q127" s="76">
        <f t="shared" si="136"/>
        <v>5.183641641518355E-2</v>
      </c>
      <c r="R127" s="126">
        <f t="shared" si="132"/>
        <v>0</v>
      </c>
      <c r="S127" s="126">
        <f t="shared" si="137"/>
        <v>5.183641641518355E-2</v>
      </c>
      <c r="T127" s="126">
        <f t="shared" si="137"/>
        <v>-5.183641641518355E-2</v>
      </c>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row>
    <row r="128" spans="2:60">
      <c r="B128" s="69">
        <f t="shared" si="133"/>
        <v>1</v>
      </c>
      <c r="C128" s="69">
        <f t="shared" si="94"/>
        <v>9</v>
      </c>
      <c r="D128" s="69" t="str">
        <f t="shared" si="134"/>
        <v>Avista</v>
      </c>
      <c r="E128" s="70">
        <v>2008</v>
      </c>
      <c r="F128" s="373">
        <v>913.6</v>
      </c>
      <c r="G128" s="76">
        <f t="shared" si="130"/>
        <v>0.48121773764684245</v>
      </c>
      <c r="H128" s="71"/>
      <c r="I128" s="71"/>
      <c r="J128" s="373">
        <v>11931.757680000001</v>
      </c>
      <c r="K128" s="76">
        <f>J128/$J$219</f>
        <v>1.5264874777169757E-2</v>
      </c>
      <c r="L128" s="76"/>
      <c r="M128" s="373">
        <v>3851251</v>
      </c>
      <c r="N128" s="373">
        <v>289635.18281362311</v>
      </c>
      <c r="O128" s="71">
        <f t="shared" si="131"/>
        <v>277703.42513362312</v>
      </c>
      <c r="P128" s="76">
        <f t="shared" si="135"/>
        <v>0.95880418406323953</v>
      </c>
      <c r="Q128" s="76">
        <f t="shared" si="136"/>
        <v>4.1195815936760471E-2</v>
      </c>
      <c r="R128" s="126">
        <f t="shared" si="132"/>
        <v>0</v>
      </c>
      <c r="S128" s="126">
        <f t="shared" si="137"/>
        <v>4.1195815936760471E-2</v>
      </c>
      <c r="T128" s="126">
        <f t="shared" si="137"/>
        <v>-4.1195815936760471E-2</v>
      </c>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row>
    <row r="129" spans="2:60">
      <c r="B129" s="69">
        <f t="shared" si="133"/>
        <v>1</v>
      </c>
      <c r="C129" s="69">
        <f t="shared" si="94"/>
        <v>9</v>
      </c>
      <c r="D129" s="69" t="str">
        <f t="shared" si="134"/>
        <v>Avista</v>
      </c>
      <c r="E129" s="70">
        <v>2009</v>
      </c>
      <c r="F129" s="373">
        <v>913.6</v>
      </c>
      <c r="G129" s="76">
        <f t="shared" si="130"/>
        <v>0.47053567501539395</v>
      </c>
      <c r="H129" s="71"/>
      <c r="I129" s="71"/>
      <c r="J129" s="373">
        <v>14020.81551</v>
      </c>
      <c r="K129" s="76">
        <f>J129/$J$220</f>
        <v>1.7934629954397908E-2</v>
      </c>
      <c r="L129" s="76"/>
      <c r="M129" s="373">
        <v>3765761</v>
      </c>
      <c r="N129" s="373">
        <v>147856.18768055557</v>
      </c>
      <c r="O129" s="71">
        <f t="shared" si="131"/>
        <v>133835.37217055558</v>
      </c>
      <c r="P129" s="76">
        <f t="shared" si="135"/>
        <v>0.90517261583741038</v>
      </c>
      <c r="Q129" s="76">
        <f t="shared" si="136"/>
        <v>9.4827384162589623E-2</v>
      </c>
      <c r="R129" s="126">
        <f t="shared" si="132"/>
        <v>0</v>
      </c>
      <c r="S129" s="126">
        <f t="shared" si="137"/>
        <v>9.4827384162589623E-2</v>
      </c>
      <c r="T129" s="126">
        <f t="shared" si="137"/>
        <v>-9.4827384162589623E-2</v>
      </c>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row>
    <row r="130" spans="2:60">
      <c r="B130" s="69">
        <f t="shared" si="133"/>
        <v>1</v>
      </c>
      <c r="C130" s="69">
        <f t="shared" ref="C130:C166" si="138">IF(D130=D129,C129,C129+1)</f>
        <v>9</v>
      </c>
      <c r="D130" s="69" t="str">
        <f t="shared" si="134"/>
        <v>Avista</v>
      </c>
      <c r="E130" s="70">
        <v>2010</v>
      </c>
      <c r="F130" s="373">
        <v>913.8</v>
      </c>
      <c r="G130" s="76">
        <f t="shared" si="130"/>
        <v>0.43643184014567099</v>
      </c>
      <c r="H130" s="71"/>
      <c r="I130" s="71"/>
      <c r="J130" s="373">
        <v>13328.143469999999</v>
      </c>
      <c r="K130" s="76">
        <f>J130/$J$221</f>
        <v>1.5860123813220887E-2</v>
      </c>
      <c r="L130" s="76"/>
      <c r="M130" s="373">
        <v>3493588</v>
      </c>
      <c r="N130" s="373">
        <v>141590.35549182122</v>
      </c>
      <c r="O130" s="71">
        <f t="shared" si="131"/>
        <v>128262.21202182122</v>
      </c>
      <c r="P130" s="76">
        <f t="shared" si="135"/>
        <v>0.90586828160926625</v>
      </c>
      <c r="Q130" s="76">
        <f t="shared" si="136"/>
        <v>9.4131718390733754E-2</v>
      </c>
      <c r="R130" s="126">
        <f t="shared" si="132"/>
        <v>0</v>
      </c>
      <c r="S130" s="126">
        <f t="shared" si="137"/>
        <v>9.4131718390733754E-2</v>
      </c>
      <c r="T130" s="126">
        <f t="shared" si="137"/>
        <v>-9.4131718390733754E-2</v>
      </c>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row>
    <row r="131" spans="2:60">
      <c r="B131" s="69">
        <f t="shared" si="133"/>
        <v>1</v>
      </c>
      <c r="C131" s="69">
        <f t="shared" si="138"/>
        <v>9</v>
      </c>
      <c r="D131" s="69" t="str">
        <f t="shared" ref="D131:D134" si="139">D130</f>
        <v>Avista</v>
      </c>
      <c r="E131" s="70">
        <v>2011</v>
      </c>
      <c r="F131" s="373">
        <v>913.6</v>
      </c>
      <c r="G131" s="76">
        <f t="shared" si="130"/>
        <v>0.56656453170357224</v>
      </c>
      <c r="H131" s="71"/>
      <c r="I131" s="71"/>
      <c r="J131" s="373">
        <v>16273.347719999996</v>
      </c>
      <c r="K131" s="76">
        <f>J131/$J$222</f>
        <v>1.9996378024328822E-2</v>
      </c>
      <c r="L131" s="76"/>
      <c r="M131" s="373">
        <v>4534293</v>
      </c>
      <c r="N131" s="373">
        <v>153924.95643685196</v>
      </c>
      <c r="O131" s="71">
        <f t="shared" si="131"/>
        <v>137651.60871685197</v>
      </c>
      <c r="P131" s="76">
        <f t="shared" si="135"/>
        <v>0.8942773927197688</v>
      </c>
      <c r="Q131" s="76">
        <f t="shared" si="136"/>
        <v>0.1057226072802312</v>
      </c>
      <c r="R131" s="126">
        <f t="shared" si="132"/>
        <v>0</v>
      </c>
      <c r="S131" s="126">
        <f t="shared" si="137"/>
        <v>0.1057226072802312</v>
      </c>
      <c r="T131" s="126">
        <f t="shared" si="137"/>
        <v>-0.1057226072802312</v>
      </c>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row>
    <row r="132" spans="2:60">
      <c r="B132" s="69">
        <f t="shared" si="133"/>
        <v>1</v>
      </c>
      <c r="C132" s="69">
        <f t="shared" si="138"/>
        <v>9</v>
      </c>
      <c r="D132" s="69" t="str">
        <f t="shared" si="139"/>
        <v>Avista</v>
      </c>
      <c r="E132" s="70">
        <v>2012</v>
      </c>
      <c r="F132" s="373">
        <v>913.6</v>
      </c>
      <c r="G132" s="76">
        <f t="shared" si="130"/>
        <v>0.51083587733608427</v>
      </c>
      <c r="H132" s="71"/>
      <c r="I132" s="71"/>
      <c r="J132" s="373">
        <v>15768.17073</v>
      </c>
      <c r="K132" s="76">
        <f>J132/$J$223</f>
        <v>1.9110697579092711E-2</v>
      </c>
      <c r="L132" s="76"/>
      <c r="M132" s="373">
        <v>4088289</v>
      </c>
      <c r="N132" s="373">
        <v>98866.614621880741</v>
      </c>
      <c r="O132" s="71">
        <f t="shared" si="131"/>
        <v>83098.443891880743</v>
      </c>
      <c r="P132" s="76">
        <f t="shared" si="135"/>
        <v>0.84051066388481099</v>
      </c>
      <c r="Q132" s="76">
        <f t="shared" si="136"/>
        <v>0.15948933611518901</v>
      </c>
      <c r="R132" s="126">
        <f t="shared" si="132"/>
        <v>0</v>
      </c>
      <c r="S132" s="126">
        <f t="shared" si="137"/>
        <v>0.15948933611518901</v>
      </c>
      <c r="T132" s="126">
        <f t="shared" si="137"/>
        <v>-0.15948933611518901</v>
      </c>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row>
    <row r="133" spans="2:60">
      <c r="B133" s="69">
        <f t="shared" si="133"/>
        <v>1</v>
      </c>
      <c r="C133" s="69">
        <f t="shared" si="138"/>
        <v>9</v>
      </c>
      <c r="D133" s="69" t="str">
        <f t="shared" si="139"/>
        <v>Avista</v>
      </c>
      <c r="E133" s="70">
        <v>2013</v>
      </c>
      <c r="F133" s="373">
        <v>920.8</v>
      </c>
      <c r="G133" s="76">
        <f t="shared" si="130"/>
        <v>0.45198834446123881</v>
      </c>
      <c r="H133" s="69"/>
      <c r="I133" s="69"/>
      <c r="J133" s="373">
        <v>18703.015920000002</v>
      </c>
      <c r="K133" s="76">
        <f>J133/$J$224</f>
        <v>2.2214132869093121E-2</v>
      </c>
      <c r="L133" s="69"/>
      <c r="M133" s="373">
        <v>3645832</v>
      </c>
      <c r="N133" s="373">
        <v>159385.21893750963</v>
      </c>
      <c r="O133" s="71">
        <f t="shared" ref="O133:O134" si="140">N133-J133</f>
        <v>140682.20301750963</v>
      </c>
      <c r="P133" s="76">
        <f t="shared" ref="P133:P134" si="141">O133/N133</f>
        <v>0.88265526725327703</v>
      </c>
      <c r="Q133" s="76">
        <f t="shared" ref="Q133:Q134" si="142">1-P133</f>
        <v>0.11734473274672297</v>
      </c>
      <c r="R133" s="126">
        <f t="shared" ref="R133:R134" si="143">Q133*L133</f>
        <v>0</v>
      </c>
      <c r="S133" s="126">
        <f t="shared" ref="S133:S134" si="144">Q133-R133</f>
        <v>0.11734473274672297</v>
      </c>
      <c r="T133" s="126">
        <f t="shared" ref="T133:T134" si="145">R133-S133</f>
        <v>-0.11734473274672297</v>
      </c>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row>
    <row r="134" spans="2:60">
      <c r="B134" s="69">
        <f t="shared" si="133"/>
        <v>1</v>
      </c>
      <c r="C134" s="69">
        <f t="shared" si="138"/>
        <v>9</v>
      </c>
      <c r="D134" s="69" t="str">
        <f t="shared" si="139"/>
        <v>Avista</v>
      </c>
      <c r="E134" s="70">
        <v>2014</v>
      </c>
      <c r="F134" s="373">
        <v>920.8</v>
      </c>
      <c r="G134" s="76">
        <f t="shared" si="130"/>
        <v>0.51366230575755056</v>
      </c>
      <c r="H134" s="69"/>
      <c r="I134" s="69"/>
      <c r="J134" s="373">
        <v>15173.127479999999</v>
      </c>
      <c r="K134" s="76">
        <f>J134/$J$225</f>
        <v>1.7534363128746368E-2</v>
      </c>
      <c r="L134" s="69"/>
      <c r="M134" s="373">
        <v>4143307</v>
      </c>
      <c r="N134" s="373">
        <v>187263.14164054944</v>
      </c>
      <c r="O134" s="71">
        <f t="shared" si="140"/>
        <v>172090.01416054944</v>
      </c>
      <c r="P134" s="76">
        <f t="shared" si="141"/>
        <v>0.91897429816100851</v>
      </c>
      <c r="Q134" s="76">
        <f t="shared" si="142"/>
        <v>8.1025701838991493E-2</v>
      </c>
      <c r="R134" s="126">
        <f t="shared" si="143"/>
        <v>0</v>
      </c>
      <c r="S134" s="126">
        <f t="shared" si="144"/>
        <v>8.1025701838991493E-2</v>
      </c>
      <c r="T134" s="126">
        <f t="shared" si="145"/>
        <v>-8.1025701838991493E-2</v>
      </c>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row>
    <row r="135" spans="2:60">
      <c r="B135" s="72">
        <f>'OPG hydro peers'!B14</f>
        <v>1</v>
      </c>
      <c r="C135" s="72">
        <f t="shared" si="138"/>
        <v>10</v>
      </c>
      <c r="D135" s="72" t="str">
        <f>'OPG hydro peers'!D14</f>
        <v>Portland</v>
      </c>
      <c r="E135" s="73">
        <v>2002</v>
      </c>
      <c r="F135" s="375">
        <v>778.72</v>
      </c>
      <c r="G135" s="75">
        <f t="shared" ref="G135:G147" si="146">M135/(F135*8760)</f>
        <v>0.44956766073444021</v>
      </c>
      <c r="H135" s="127"/>
      <c r="I135" s="127"/>
      <c r="J135" s="374">
        <v>12790.249709999998</v>
      </c>
      <c r="K135" s="75">
        <f>J135/$J$213</f>
        <v>2.4720451408810244E-2</v>
      </c>
      <c r="L135" s="75"/>
      <c r="M135" s="375">
        <v>3066765</v>
      </c>
      <c r="N135" s="374">
        <v>69239.356767650985</v>
      </c>
      <c r="O135" s="127">
        <f t="shared" ref="O135:O145" si="147">N135-J135</f>
        <v>56449.107057650988</v>
      </c>
      <c r="P135" s="75">
        <f>O135/N135</f>
        <v>0.81527486234569302</v>
      </c>
      <c r="Q135" s="75">
        <f>1-P135</f>
        <v>0.18472513765430698</v>
      </c>
      <c r="R135" s="125">
        <f t="shared" ref="R135:R145" si="148">Q135*L135</f>
        <v>0</v>
      </c>
      <c r="S135" s="125">
        <f>Q135-R135</f>
        <v>0.18472513765430698</v>
      </c>
      <c r="T135" s="125">
        <f>R135-S135</f>
        <v>-0.18472513765430698</v>
      </c>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row>
    <row r="136" spans="2:60">
      <c r="B136" s="72">
        <f t="shared" ref="B136:B147" si="149">B135</f>
        <v>1</v>
      </c>
      <c r="C136" s="72">
        <f t="shared" si="138"/>
        <v>10</v>
      </c>
      <c r="D136" s="72" t="str">
        <f t="shared" ref="D136:D147" si="150">D135</f>
        <v>Portland</v>
      </c>
      <c r="E136" s="73">
        <v>2003</v>
      </c>
      <c r="F136" s="375">
        <v>778.72</v>
      </c>
      <c r="G136" s="75">
        <f t="shared" si="146"/>
        <v>0.44265020903053176</v>
      </c>
      <c r="H136" s="127"/>
      <c r="I136" s="127"/>
      <c r="J136" s="374">
        <v>12851.38932</v>
      </c>
      <c r="K136" s="75">
        <f>J136/$J$214</f>
        <v>2.2914431439857347E-2</v>
      </c>
      <c r="L136" s="75"/>
      <c r="M136" s="375">
        <v>3019577</v>
      </c>
      <c r="N136" s="374">
        <v>112201.44279046502</v>
      </c>
      <c r="O136" s="127">
        <f t="shared" si="147"/>
        <v>99350.05347046502</v>
      </c>
      <c r="P136" s="75">
        <f t="shared" ref="P136:P145" si="151">O136/N136</f>
        <v>0.88546146109725321</v>
      </c>
      <c r="Q136" s="75">
        <f t="shared" ref="Q136:Q145" si="152">1-P136</f>
        <v>0.11453853890274679</v>
      </c>
      <c r="R136" s="125">
        <f t="shared" si="148"/>
        <v>0</v>
      </c>
      <c r="S136" s="125">
        <f t="shared" ref="S136:T145" si="153">Q136-R136</f>
        <v>0.11453853890274679</v>
      </c>
      <c r="T136" s="125">
        <f t="shared" si="153"/>
        <v>-0.11453853890274679</v>
      </c>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row>
    <row r="137" spans="2:60">
      <c r="B137" s="72">
        <f t="shared" si="149"/>
        <v>1</v>
      </c>
      <c r="C137" s="72">
        <f t="shared" si="138"/>
        <v>10</v>
      </c>
      <c r="D137" s="72" t="str">
        <f t="shared" si="150"/>
        <v>Portland</v>
      </c>
      <c r="E137" s="73">
        <v>2004</v>
      </c>
      <c r="F137" s="375">
        <v>778.7</v>
      </c>
      <c r="G137" s="75">
        <f t="shared" si="146"/>
        <v>0.45413618177585519</v>
      </c>
      <c r="H137" s="127"/>
      <c r="I137" s="127"/>
      <c r="J137" s="374">
        <v>12311.684999999999</v>
      </c>
      <c r="K137" s="75">
        <f>J137/$J$215</f>
        <v>2.0496160180884435E-2</v>
      </c>
      <c r="L137" s="75"/>
      <c r="M137" s="375">
        <v>3097850</v>
      </c>
      <c r="N137" s="374">
        <v>123243.535845429</v>
      </c>
      <c r="O137" s="127">
        <f t="shared" si="147"/>
        <v>110931.850845429</v>
      </c>
      <c r="P137" s="75">
        <f t="shared" si="151"/>
        <v>0.90010279309544305</v>
      </c>
      <c r="Q137" s="75">
        <f t="shared" si="152"/>
        <v>9.9897206904556946E-2</v>
      </c>
      <c r="R137" s="125">
        <f t="shared" si="148"/>
        <v>0</v>
      </c>
      <c r="S137" s="125">
        <f t="shared" si="153"/>
        <v>9.9897206904556946E-2</v>
      </c>
      <c r="T137" s="125">
        <f t="shared" si="153"/>
        <v>-9.9897206904556946E-2</v>
      </c>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row>
    <row r="138" spans="2:60">
      <c r="B138" s="72">
        <f t="shared" si="149"/>
        <v>1</v>
      </c>
      <c r="C138" s="72">
        <f t="shared" si="138"/>
        <v>10</v>
      </c>
      <c r="D138" s="72" t="str">
        <f t="shared" si="150"/>
        <v>Portland</v>
      </c>
      <c r="E138" s="73">
        <v>2005</v>
      </c>
      <c r="F138" s="375">
        <v>778.7</v>
      </c>
      <c r="G138" s="75">
        <f t="shared" si="146"/>
        <v>0.41597634038231379</v>
      </c>
      <c r="H138" s="127"/>
      <c r="I138" s="127"/>
      <c r="J138" s="374">
        <v>13572.692070000001</v>
      </c>
      <c r="K138" s="75">
        <f>J138/$J$216</f>
        <v>2.1727332417155361E-2</v>
      </c>
      <c r="L138" s="75"/>
      <c r="M138" s="375">
        <v>2837546</v>
      </c>
      <c r="N138" s="374">
        <v>157186.74686761203</v>
      </c>
      <c r="O138" s="127">
        <f t="shared" si="147"/>
        <v>143614.05479761204</v>
      </c>
      <c r="P138" s="75">
        <f t="shared" si="151"/>
        <v>0.91365243991319844</v>
      </c>
      <c r="Q138" s="75">
        <f t="shared" si="152"/>
        <v>8.6347560086801556E-2</v>
      </c>
      <c r="R138" s="125">
        <f t="shared" si="148"/>
        <v>0</v>
      </c>
      <c r="S138" s="125">
        <f t="shared" si="153"/>
        <v>8.6347560086801556E-2</v>
      </c>
      <c r="T138" s="125">
        <f t="shared" si="153"/>
        <v>-8.6347560086801556E-2</v>
      </c>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row>
    <row r="139" spans="2:60">
      <c r="B139" s="72">
        <f t="shared" si="149"/>
        <v>1</v>
      </c>
      <c r="C139" s="72">
        <f t="shared" si="138"/>
        <v>10</v>
      </c>
      <c r="D139" s="72" t="str">
        <f t="shared" si="150"/>
        <v>Portland</v>
      </c>
      <c r="E139" s="73">
        <v>2006</v>
      </c>
      <c r="F139" s="375">
        <v>778.7</v>
      </c>
      <c r="G139" s="75">
        <f t="shared" si="146"/>
        <v>0.52856593327012058</v>
      </c>
      <c r="H139" s="127"/>
      <c r="I139" s="127"/>
      <c r="J139" s="374">
        <v>15167.358779999999</v>
      </c>
      <c r="K139" s="75">
        <f>J139/$J$217</f>
        <v>2.2827533322391749E-2</v>
      </c>
      <c r="L139" s="75"/>
      <c r="M139" s="375">
        <v>3605566</v>
      </c>
      <c r="N139" s="374">
        <v>160023.52333953901</v>
      </c>
      <c r="O139" s="127">
        <f t="shared" si="147"/>
        <v>144856.164559539</v>
      </c>
      <c r="P139" s="75">
        <f t="shared" si="151"/>
        <v>0.90521794256574517</v>
      </c>
      <c r="Q139" s="75">
        <f t="shared" si="152"/>
        <v>9.4782057434254829E-2</v>
      </c>
      <c r="R139" s="125">
        <f t="shared" si="148"/>
        <v>0</v>
      </c>
      <c r="S139" s="125">
        <f t="shared" si="153"/>
        <v>9.4782057434254829E-2</v>
      </c>
      <c r="T139" s="125">
        <f t="shared" si="153"/>
        <v>-9.4782057434254829E-2</v>
      </c>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row>
    <row r="140" spans="2:60">
      <c r="B140" s="72">
        <f t="shared" si="149"/>
        <v>1</v>
      </c>
      <c r="C140" s="72">
        <f t="shared" si="138"/>
        <v>10</v>
      </c>
      <c r="D140" s="72" t="str">
        <f t="shared" si="150"/>
        <v>Portland</v>
      </c>
      <c r="E140" s="73">
        <v>2007</v>
      </c>
      <c r="F140" s="375">
        <v>778.7</v>
      </c>
      <c r="G140" s="75">
        <f t="shared" si="146"/>
        <v>0.46666760488884118</v>
      </c>
      <c r="H140" s="127"/>
      <c r="I140" s="127"/>
      <c r="J140" s="374">
        <v>19610.313120000003</v>
      </c>
      <c r="K140" s="75">
        <f>J140/$J$218</f>
        <v>2.7188485911875202E-2</v>
      </c>
      <c r="L140" s="75"/>
      <c r="M140" s="375">
        <v>3183332</v>
      </c>
      <c r="N140" s="374">
        <v>162413.81548090503</v>
      </c>
      <c r="O140" s="127">
        <f t="shared" si="147"/>
        <v>142803.50236090503</v>
      </c>
      <c r="P140" s="75">
        <f t="shared" si="151"/>
        <v>0.87925711207550816</v>
      </c>
      <c r="Q140" s="75">
        <f t="shared" si="152"/>
        <v>0.12074288792449184</v>
      </c>
      <c r="R140" s="125">
        <f t="shared" si="148"/>
        <v>0</v>
      </c>
      <c r="S140" s="125">
        <f t="shared" si="153"/>
        <v>0.12074288792449184</v>
      </c>
      <c r="T140" s="125">
        <f t="shared" si="153"/>
        <v>-0.12074288792449184</v>
      </c>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row>
    <row r="141" spans="2:60">
      <c r="B141" s="72">
        <f t="shared" si="149"/>
        <v>1</v>
      </c>
      <c r="C141" s="72">
        <f t="shared" si="138"/>
        <v>10</v>
      </c>
      <c r="D141" s="72" t="str">
        <f t="shared" si="150"/>
        <v>Portland</v>
      </c>
      <c r="E141" s="73">
        <v>2008</v>
      </c>
      <c r="F141" s="375">
        <v>778.7</v>
      </c>
      <c r="G141" s="75">
        <f t="shared" si="146"/>
        <v>0.46941674245742671</v>
      </c>
      <c r="H141" s="127"/>
      <c r="I141" s="127"/>
      <c r="J141" s="374">
        <v>21110.4408</v>
      </c>
      <c r="K141" s="75">
        <f>J141/$J$219</f>
        <v>2.7007608094740936E-2</v>
      </c>
      <c r="L141" s="75"/>
      <c r="M141" s="375">
        <v>3202085</v>
      </c>
      <c r="N141" s="374">
        <v>194469.50409167795</v>
      </c>
      <c r="O141" s="127">
        <f t="shared" si="147"/>
        <v>173359.06329167794</v>
      </c>
      <c r="P141" s="75">
        <f t="shared" si="151"/>
        <v>0.8914460089842775</v>
      </c>
      <c r="Q141" s="75">
        <f t="shared" si="152"/>
        <v>0.1085539910157225</v>
      </c>
      <c r="R141" s="125">
        <f t="shared" si="148"/>
        <v>0</v>
      </c>
      <c r="S141" s="125">
        <f t="shared" si="153"/>
        <v>0.1085539910157225</v>
      </c>
      <c r="T141" s="125">
        <f t="shared" si="153"/>
        <v>-0.1085539910157225</v>
      </c>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row>
    <row r="142" spans="2:60">
      <c r="B142" s="72">
        <f t="shared" si="149"/>
        <v>1</v>
      </c>
      <c r="C142" s="72">
        <f t="shared" si="138"/>
        <v>10</v>
      </c>
      <c r="D142" s="72" t="str">
        <f t="shared" si="150"/>
        <v>Portland</v>
      </c>
      <c r="E142" s="73">
        <v>2009</v>
      </c>
      <c r="F142" s="375">
        <v>757.7</v>
      </c>
      <c r="G142" s="75">
        <f t="shared" si="146"/>
        <v>0.48083903280957813</v>
      </c>
      <c r="H142" s="127"/>
      <c r="I142" s="127"/>
      <c r="J142" s="374">
        <v>25499.377230000002</v>
      </c>
      <c r="K142" s="75">
        <f>J142/$J$220</f>
        <v>3.2617353417244269E-2</v>
      </c>
      <c r="L142" s="75"/>
      <c r="M142" s="375">
        <v>3191546</v>
      </c>
      <c r="N142" s="374">
        <v>99840.738754286678</v>
      </c>
      <c r="O142" s="127">
        <f t="shared" si="147"/>
        <v>74341.36152428668</v>
      </c>
      <c r="P142" s="75">
        <f t="shared" si="151"/>
        <v>0.74459947364016099</v>
      </c>
      <c r="Q142" s="75">
        <f t="shared" si="152"/>
        <v>0.25540052635983901</v>
      </c>
      <c r="R142" s="125">
        <f t="shared" si="148"/>
        <v>0</v>
      </c>
      <c r="S142" s="125">
        <f t="shared" si="153"/>
        <v>0.25540052635983901</v>
      </c>
      <c r="T142" s="125">
        <f t="shared" si="153"/>
        <v>-0.25540052635983901</v>
      </c>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row>
    <row r="143" spans="2:60">
      <c r="B143" s="72">
        <f t="shared" si="149"/>
        <v>1</v>
      </c>
      <c r="C143" s="72">
        <f t="shared" si="138"/>
        <v>10</v>
      </c>
      <c r="D143" s="72" t="str">
        <f t="shared" si="150"/>
        <v>Portland</v>
      </c>
      <c r="E143" s="73">
        <v>2010</v>
      </c>
      <c r="F143" s="375">
        <v>757.7</v>
      </c>
      <c r="G143" s="75">
        <f t="shared" si="146"/>
        <v>0.4903652787244262</v>
      </c>
      <c r="H143" s="127"/>
      <c r="I143" s="127"/>
      <c r="J143" s="374">
        <v>21662.864549999998</v>
      </c>
      <c r="K143" s="75">
        <f>J143/$J$221</f>
        <v>2.577821244837137E-2</v>
      </c>
      <c r="L143" s="75"/>
      <c r="M143" s="375">
        <v>3254776</v>
      </c>
      <c r="N143" s="374">
        <v>103973.05561198339</v>
      </c>
      <c r="O143" s="127">
        <f t="shared" si="147"/>
        <v>82310.191061983394</v>
      </c>
      <c r="P143" s="75">
        <f t="shared" si="151"/>
        <v>0.79164924583111651</v>
      </c>
      <c r="Q143" s="75">
        <f t="shared" si="152"/>
        <v>0.20835075416888349</v>
      </c>
      <c r="R143" s="125">
        <f t="shared" si="148"/>
        <v>0</v>
      </c>
      <c r="S143" s="125">
        <f t="shared" si="153"/>
        <v>0.20835075416888349</v>
      </c>
      <c r="T143" s="125">
        <f t="shared" si="153"/>
        <v>-0.20835075416888349</v>
      </c>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row>
    <row r="144" spans="2:60">
      <c r="B144" s="72">
        <f t="shared" si="149"/>
        <v>1</v>
      </c>
      <c r="C144" s="72">
        <f t="shared" si="138"/>
        <v>10</v>
      </c>
      <c r="D144" s="72" t="str">
        <f t="shared" si="150"/>
        <v>Portland</v>
      </c>
      <c r="E144" s="73">
        <v>2011</v>
      </c>
      <c r="F144" s="375">
        <v>757.7</v>
      </c>
      <c r="G144" s="75">
        <f t="shared" si="146"/>
        <v>0.53057362976033573</v>
      </c>
      <c r="H144" s="127"/>
      <c r="I144" s="127"/>
      <c r="J144" s="374">
        <v>22382.795849999999</v>
      </c>
      <c r="K144" s="75">
        <f>J144/$J$222</f>
        <v>2.7503550883258485E-2</v>
      </c>
      <c r="L144" s="75"/>
      <c r="M144" s="375">
        <v>3521657</v>
      </c>
      <c r="N144" s="374">
        <v>90326.765533280806</v>
      </c>
      <c r="O144" s="127">
        <f t="shared" si="147"/>
        <v>67943.969683280811</v>
      </c>
      <c r="P144" s="75">
        <f t="shared" si="151"/>
        <v>0.75220195566780179</v>
      </c>
      <c r="Q144" s="75">
        <f t="shared" si="152"/>
        <v>0.24779804433219821</v>
      </c>
      <c r="R144" s="125">
        <f t="shared" si="148"/>
        <v>0</v>
      </c>
      <c r="S144" s="125">
        <f t="shared" si="153"/>
        <v>0.24779804433219821</v>
      </c>
      <c r="T144" s="125">
        <f t="shared" si="153"/>
        <v>-0.24779804433219821</v>
      </c>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row>
    <row r="145" spans="2:60">
      <c r="B145" s="72">
        <f t="shared" si="149"/>
        <v>1</v>
      </c>
      <c r="C145" s="72">
        <f t="shared" si="138"/>
        <v>10</v>
      </c>
      <c r="D145" s="72" t="str">
        <f t="shared" si="150"/>
        <v>Portland</v>
      </c>
      <c r="E145" s="73">
        <v>2012</v>
      </c>
      <c r="F145" s="375">
        <v>807.9</v>
      </c>
      <c r="G145" s="75">
        <f t="shared" si="146"/>
        <v>0.48919262465798641</v>
      </c>
      <c r="H145" s="127"/>
      <c r="I145" s="127"/>
      <c r="J145" s="374">
        <v>25819.268250000001</v>
      </c>
      <c r="K145" s="75">
        <f>J145/$J$223</f>
        <v>3.1292420388399758E-2</v>
      </c>
      <c r="L145" s="75"/>
      <c r="M145" s="375">
        <v>3462116</v>
      </c>
      <c r="N145" s="374">
        <v>71956.441036082018</v>
      </c>
      <c r="O145" s="127">
        <f t="shared" si="147"/>
        <v>46137.172786082017</v>
      </c>
      <c r="P145" s="75">
        <f t="shared" si="151"/>
        <v>0.64118197234000052</v>
      </c>
      <c r="Q145" s="75">
        <f t="shared" si="152"/>
        <v>0.35881802765999948</v>
      </c>
      <c r="R145" s="125">
        <f t="shared" si="148"/>
        <v>0</v>
      </c>
      <c r="S145" s="125">
        <f t="shared" si="153"/>
        <v>0.35881802765999948</v>
      </c>
      <c r="T145" s="125">
        <f t="shared" si="153"/>
        <v>-0.35881802765999948</v>
      </c>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row>
    <row r="146" spans="2:60">
      <c r="B146" s="72">
        <f t="shared" si="149"/>
        <v>1</v>
      </c>
      <c r="C146" s="72">
        <f t="shared" si="138"/>
        <v>10</v>
      </c>
      <c r="D146" s="72" t="str">
        <f t="shared" si="150"/>
        <v>Portland</v>
      </c>
      <c r="E146" s="73">
        <v>2013</v>
      </c>
      <c r="F146" s="375">
        <v>807.9</v>
      </c>
      <c r="G146" s="75">
        <f t="shared" si="146"/>
        <v>0.42414490242191688</v>
      </c>
      <c r="H146" s="127"/>
      <c r="I146" s="127"/>
      <c r="J146" s="374">
        <v>26947.084770000001</v>
      </c>
      <c r="K146" s="75">
        <f>J146/$J$224</f>
        <v>3.2005860663112541E-2</v>
      </c>
      <c r="L146" s="72"/>
      <c r="M146" s="375">
        <v>3001760</v>
      </c>
      <c r="N146" s="374">
        <v>97629.862911950608</v>
      </c>
      <c r="O146" s="127">
        <f t="shared" ref="O146:O147" si="154">N146-J146</f>
        <v>70682.778141950606</v>
      </c>
      <c r="P146" s="75">
        <f t="shared" ref="P146:P147" si="155">O146/N146</f>
        <v>0.72398727227239112</v>
      </c>
      <c r="Q146" s="75">
        <f t="shared" ref="Q146:Q147" si="156">1-P146</f>
        <v>0.27601272772760888</v>
      </c>
      <c r="R146" s="125">
        <f t="shared" ref="R146:R147" si="157">Q146*L146</f>
        <v>0</v>
      </c>
      <c r="S146" s="125">
        <f t="shared" ref="S146:S147" si="158">Q146-R146</f>
        <v>0.27601272772760888</v>
      </c>
      <c r="T146" s="125">
        <f t="shared" ref="T146:T147" si="159">R146-S146</f>
        <v>-0.27601272772760888</v>
      </c>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row>
    <row r="147" spans="2:60">
      <c r="B147" s="72">
        <f t="shared" si="149"/>
        <v>1</v>
      </c>
      <c r="C147" s="72">
        <f t="shared" si="138"/>
        <v>10</v>
      </c>
      <c r="D147" s="72" t="str">
        <f t="shared" si="150"/>
        <v>Portland</v>
      </c>
      <c r="E147" s="73">
        <v>2014</v>
      </c>
      <c r="F147" s="375">
        <v>889.1</v>
      </c>
      <c r="G147" s="75">
        <f t="shared" si="146"/>
        <v>0.4064561207809036</v>
      </c>
      <c r="H147" s="127"/>
      <c r="I147" s="127"/>
      <c r="J147" s="374">
        <v>31102.552439999999</v>
      </c>
      <c r="K147" s="75">
        <f>J147/$J$225</f>
        <v>3.5942718429848475E-2</v>
      </c>
      <c r="L147" s="72"/>
      <c r="M147" s="375">
        <v>3165690</v>
      </c>
      <c r="N147" s="374">
        <v>112545.88334186323</v>
      </c>
      <c r="O147" s="127">
        <f t="shared" si="154"/>
        <v>81443.330901863228</v>
      </c>
      <c r="P147" s="75">
        <f t="shared" si="155"/>
        <v>0.72364557888337344</v>
      </c>
      <c r="Q147" s="75">
        <f t="shared" si="156"/>
        <v>0.27635442111662656</v>
      </c>
      <c r="R147" s="125">
        <f t="shared" si="157"/>
        <v>0</v>
      </c>
      <c r="S147" s="125">
        <f t="shared" si="158"/>
        <v>0.27635442111662656</v>
      </c>
      <c r="T147" s="125">
        <f t="shared" si="159"/>
        <v>-0.27635442111662656</v>
      </c>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row>
    <row r="148" spans="2:60">
      <c r="B148" s="69">
        <f>'OPG hydro peers'!B15</f>
        <v>1</v>
      </c>
      <c r="C148" s="69">
        <f t="shared" si="138"/>
        <v>11</v>
      </c>
      <c r="D148" s="69" t="str">
        <f>'OPG hydro peers'!D15</f>
        <v>Ameren MI - Union</v>
      </c>
      <c r="E148" s="70">
        <v>2002</v>
      </c>
      <c r="F148" s="373">
        <v>740.8</v>
      </c>
      <c r="G148" s="76">
        <f t="shared" ref="G148:G160" si="160">M148/(F148*8760)</f>
        <v>0.27237137809797135</v>
      </c>
      <c r="H148" s="71"/>
      <c r="I148" s="71"/>
      <c r="J148" s="373">
        <v>13567.439969999999</v>
      </c>
      <c r="K148" s="76">
        <f>J148/$J$213</f>
        <v>2.6222571734319557E-2</v>
      </c>
      <c r="L148" s="76"/>
      <c r="M148" s="373">
        <v>1767529</v>
      </c>
      <c r="N148" s="373">
        <v>31595.232993086043</v>
      </c>
      <c r="O148" s="71">
        <f t="shared" ref="O148:O158" si="161">N148-J148</f>
        <v>18027.793023086044</v>
      </c>
      <c r="P148" s="76">
        <f>O148/N148</f>
        <v>0.57058585474052526</v>
      </c>
      <c r="Q148" s="76">
        <f>1-P148</f>
        <v>0.42941414525947474</v>
      </c>
      <c r="R148" s="126">
        <f t="shared" ref="R148:R158" si="162">Q148*L148</f>
        <v>0</v>
      </c>
      <c r="S148" s="126">
        <f>Q148-R148</f>
        <v>0.42941414525947474</v>
      </c>
      <c r="T148" s="126">
        <f>R148-S148</f>
        <v>-0.42941414525947474</v>
      </c>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row>
    <row r="149" spans="2:60">
      <c r="B149" s="69">
        <f t="shared" ref="B149:B160" si="163">B148</f>
        <v>1</v>
      </c>
      <c r="C149" s="69">
        <f t="shared" si="138"/>
        <v>11</v>
      </c>
      <c r="D149" s="69" t="str">
        <f t="shared" ref="D149:D156" si="164">D148</f>
        <v>Ameren MI - Union</v>
      </c>
      <c r="E149" s="70">
        <v>2003</v>
      </c>
      <c r="F149" s="373">
        <v>740.8</v>
      </c>
      <c r="G149" s="76">
        <f t="shared" si="160"/>
        <v>0.22520405559336076</v>
      </c>
      <c r="H149" s="71"/>
      <c r="I149" s="71"/>
      <c r="J149" s="373">
        <v>10767.12111</v>
      </c>
      <c r="K149" s="76">
        <f>J149/$J$214</f>
        <v>1.9198115653984073E-2</v>
      </c>
      <c r="L149" s="76"/>
      <c r="M149" s="373">
        <v>1461441</v>
      </c>
      <c r="N149" s="373">
        <v>29302.312665790661</v>
      </c>
      <c r="O149" s="71">
        <f t="shared" si="161"/>
        <v>18535.191555790661</v>
      </c>
      <c r="P149" s="76">
        <f t="shared" ref="P149:P158" si="165">O149/N149</f>
        <v>0.6325504668247498</v>
      </c>
      <c r="Q149" s="76">
        <f t="shared" ref="Q149:Q158" si="166">1-P149</f>
        <v>0.3674495331752502</v>
      </c>
      <c r="R149" s="126">
        <f t="shared" si="162"/>
        <v>0</v>
      </c>
      <c r="S149" s="126">
        <f t="shared" ref="S149:T158" si="167">Q149-R149</f>
        <v>0.3674495331752502</v>
      </c>
      <c r="T149" s="126">
        <f t="shared" si="167"/>
        <v>-0.3674495331752502</v>
      </c>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row>
    <row r="150" spans="2:60">
      <c r="B150" s="69">
        <f t="shared" si="163"/>
        <v>1</v>
      </c>
      <c r="C150" s="69">
        <f t="shared" si="138"/>
        <v>11</v>
      </c>
      <c r="D150" s="69" t="str">
        <f t="shared" si="164"/>
        <v>Ameren MI - Union</v>
      </c>
      <c r="E150" s="70">
        <v>2004</v>
      </c>
      <c r="F150" s="373">
        <v>740.8</v>
      </c>
      <c r="G150" s="76">
        <f t="shared" si="160"/>
        <v>0.32177465186346738</v>
      </c>
      <c r="H150" s="71"/>
      <c r="I150" s="71"/>
      <c r="J150" s="373">
        <v>13207.742459999999</v>
      </c>
      <c r="K150" s="76">
        <f>J150/$J$215</f>
        <v>2.1987892403682242E-2</v>
      </c>
      <c r="L150" s="76"/>
      <c r="M150" s="373">
        <v>2088127</v>
      </c>
      <c r="N150" s="373">
        <v>58979.179650416743</v>
      </c>
      <c r="O150" s="71">
        <f t="shared" si="161"/>
        <v>45771.437190416742</v>
      </c>
      <c r="P150" s="76">
        <f t="shared" si="165"/>
        <v>0.77606093305662527</v>
      </c>
      <c r="Q150" s="76">
        <f t="shared" si="166"/>
        <v>0.22393906694337473</v>
      </c>
      <c r="R150" s="126">
        <f t="shared" si="162"/>
        <v>0</v>
      </c>
      <c r="S150" s="126">
        <f t="shared" si="167"/>
        <v>0.22393906694337473</v>
      </c>
      <c r="T150" s="126">
        <f t="shared" si="167"/>
        <v>-0.22393906694337473</v>
      </c>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row>
    <row r="151" spans="2:60">
      <c r="B151" s="69">
        <f t="shared" si="163"/>
        <v>1</v>
      </c>
      <c r="C151" s="69">
        <f t="shared" si="138"/>
        <v>11</v>
      </c>
      <c r="D151" s="69" t="str">
        <f t="shared" si="164"/>
        <v>Ameren MI - Union</v>
      </c>
      <c r="E151" s="70">
        <v>2005</v>
      </c>
      <c r="F151" s="373">
        <v>740.8</v>
      </c>
      <c r="G151" s="76">
        <f t="shared" si="160"/>
        <v>0.31799988535163765</v>
      </c>
      <c r="H151" s="71"/>
      <c r="I151" s="71"/>
      <c r="J151" s="373">
        <v>10942.25712</v>
      </c>
      <c r="K151" s="76">
        <f>J151/$J$216</f>
        <v>1.7516499793413867E-2</v>
      </c>
      <c r="L151" s="76"/>
      <c r="M151" s="373">
        <v>2063631</v>
      </c>
      <c r="N151" s="373">
        <v>80159.309951755553</v>
      </c>
      <c r="O151" s="71">
        <f t="shared" si="161"/>
        <v>69217.052831755558</v>
      </c>
      <c r="P151" s="76">
        <f t="shared" si="165"/>
        <v>0.86349362130754781</v>
      </c>
      <c r="Q151" s="76">
        <f t="shared" si="166"/>
        <v>0.13650637869245219</v>
      </c>
      <c r="R151" s="126">
        <f t="shared" si="162"/>
        <v>0</v>
      </c>
      <c r="S151" s="126">
        <f t="shared" si="167"/>
        <v>0.13650637869245219</v>
      </c>
      <c r="T151" s="126">
        <f t="shared" si="167"/>
        <v>-0.13650637869245219</v>
      </c>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row>
    <row r="152" spans="2:60">
      <c r="B152" s="69">
        <f t="shared" si="163"/>
        <v>1</v>
      </c>
      <c r="C152" s="69">
        <f t="shared" si="138"/>
        <v>11</v>
      </c>
      <c r="D152" s="69" t="str">
        <f t="shared" si="164"/>
        <v>Ameren MI - Union</v>
      </c>
      <c r="E152" s="70">
        <v>2006</v>
      </c>
      <c r="F152" s="373">
        <v>740.8</v>
      </c>
      <c r="G152" s="76">
        <f t="shared" si="160"/>
        <v>0.14724964126157578</v>
      </c>
      <c r="H152" s="71"/>
      <c r="I152" s="71"/>
      <c r="J152" s="373">
        <v>11099.22357</v>
      </c>
      <c r="K152" s="76">
        <f>J152/$J$217</f>
        <v>1.6704813248760702E-2</v>
      </c>
      <c r="L152" s="76"/>
      <c r="M152" s="373">
        <v>955563</v>
      </c>
      <c r="N152" s="373">
        <v>49249.163017113191</v>
      </c>
      <c r="O152" s="71">
        <f t="shared" si="161"/>
        <v>38149.939447113189</v>
      </c>
      <c r="P152" s="76">
        <f t="shared" si="165"/>
        <v>0.77463122436937204</v>
      </c>
      <c r="Q152" s="76">
        <f t="shared" si="166"/>
        <v>0.22536877563062796</v>
      </c>
      <c r="R152" s="126">
        <f t="shared" si="162"/>
        <v>0</v>
      </c>
      <c r="S152" s="126">
        <f t="shared" si="167"/>
        <v>0.22536877563062796</v>
      </c>
      <c r="T152" s="126">
        <f t="shared" si="167"/>
        <v>-0.22536877563062796</v>
      </c>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row>
    <row r="153" spans="2:60">
      <c r="B153" s="69">
        <f t="shared" si="163"/>
        <v>1</v>
      </c>
      <c r="C153" s="69">
        <f t="shared" si="138"/>
        <v>11</v>
      </c>
      <c r="D153" s="69" t="str">
        <f t="shared" si="164"/>
        <v>Ameren MI - Union</v>
      </c>
      <c r="E153" s="70">
        <v>2007</v>
      </c>
      <c r="F153" s="373">
        <v>740.8</v>
      </c>
      <c r="G153" s="76">
        <f t="shared" si="160"/>
        <v>0.24530743020010454</v>
      </c>
      <c r="H153" s="71"/>
      <c r="I153" s="71"/>
      <c r="J153" s="373">
        <v>14224.347299999999</v>
      </c>
      <c r="K153" s="76">
        <f>J153/$J$218</f>
        <v>1.9721177515378194E-2</v>
      </c>
      <c r="L153" s="76"/>
      <c r="M153" s="373">
        <v>1591900</v>
      </c>
      <c r="N153" s="373">
        <v>92039.970250962069</v>
      </c>
      <c r="O153" s="71">
        <f t="shared" si="161"/>
        <v>77815.622950962075</v>
      </c>
      <c r="P153" s="76">
        <f t="shared" si="165"/>
        <v>0.84545467299462418</v>
      </c>
      <c r="Q153" s="76">
        <f t="shared" si="166"/>
        <v>0.15454532700537582</v>
      </c>
      <c r="R153" s="126">
        <f t="shared" si="162"/>
        <v>0</v>
      </c>
      <c r="S153" s="126">
        <f t="shared" si="167"/>
        <v>0.15454532700537582</v>
      </c>
      <c r="T153" s="126">
        <f t="shared" si="167"/>
        <v>-0.15454532700537582</v>
      </c>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row>
    <row r="154" spans="2:60">
      <c r="B154" s="69">
        <f t="shared" si="163"/>
        <v>1</v>
      </c>
      <c r="C154" s="69">
        <f t="shared" si="138"/>
        <v>11</v>
      </c>
      <c r="D154" s="69" t="str">
        <f t="shared" si="164"/>
        <v>Ameren MI - Union</v>
      </c>
      <c r="E154" s="70">
        <v>2008</v>
      </c>
      <c r="F154" s="373">
        <v>740.8</v>
      </c>
      <c r="G154" s="76">
        <f t="shared" si="160"/>
        <v>0.26940593040228017</v>
      </c>
      <c r="H154" s="71"/>
      <c r="I154" s="71"/>
      <c r="J154" s="373">
        <v>17774.182649999999</v>
      </c>
      <c r="K154" s="76">
        <f>J154/$J$219</f>
        <v>2.2739371658006491E-2</v>
      </c>
      <c r="L154" s="76"/>
      <c r="M154" s="373">
        <v>1748285</v>
      </c>
      <c r="N154" s="373">
        <v>105556.85095165207</v>
      </c>
      <c r="O154" s="71">
        <f t="shared" si="161"/>
        <v>87782.668301652069</v>
      </c>
      <c r="P154" s="76">
        <f t="shared" si="165"/>
        <v>0.83161507292273185</v>
      </c>
      <c r="Q154" s="76">
        <f t="shared" si="166"/>
        <v>0.16838492707726815</v>
      </c>
      <c r="R154" s="126">
        <f t="shared" si="162"/>
        <v>0</v>
      </c>
      <c r="S154" s="126">
        <f t="shared" si="167"/>
        <v>0.16838492707726815</v>
      </c>
      <c r="T154" s="126">
        <f t="shared" si="167"/>
        <v>-0.16838492707726815</v>
      </c>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row>
    <row r="155" spans="2:60">
      <c r="B155" s="69">
        <f t="shared" si="163"/>
        <v>1</v>
      </c>
      <c r="C155" s="69">
        <f t="shared" si="138"/>
        <v>11</v>
      </c>
      <c r="D155" s="69" t="str">
        <f t="shared" si="164"/>
        <v>Ameren MI - Union</v>
      </c>
      <c r="E155" s="70">
        <v>2009</v>
      </c>
      <c r="F155" s="373">
        <v>779.01</v>
      </c>
      <c r="G155" s="76">
        <f t="shared" si="160"/>
        <v>0.27885776930665834</v>
      </c>
      <c r="H155" s="71"/>
      <c r="I155" s="71"/>
      <c r="J155" s="373">
        <v>19717.80528</v>
      </c>
      <c r="K155" s="76">
        <f>J155/$J$220</f>
        <v>2.5221895328232102E-2</v>
      </c>
      <c r="L155" s="76"/>
      <c r="M155" s="373">
        <v>1902961</v>
      </c>
      <c r="N155" s="373">
        <v>57506.740006502856</v>
      </c>
      <c r="O155" s="71">
        <f t="shared" si="161"/>
        <v>37788.934726502855</v>
      </c>
      <c r="P155" s="76">
        <f t="shared" si="165"/>
        <v>0.65712183862673634</v>
      </c>
      <c r="Q155" s="76">
        <f t="shared" si="166"/>
        <v>0.34287816137326366</v>
      </c>
      <c r="R155" s="126">
        <f t="shared" si="162"/>
        <v>0</v>
      </c>
      <c r="S155" s="126">
        <f t="shared" si="167"/>
        <v>0.34287816137326366</v>
      </c>
      <c r="T155" s="126">
        <f t="shared" si="167"/>
        <v>-0.34287816137326366</v>
      </c>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row>
    <row r="156" spans="2:60">
      <c r="B156" s="69">
        <f t="shared" si="163"/>
        <v>1</v>
      </c>
      <c r="C156" s="69">
        <f t="shared" si="138"/>
        <v>11</v>
      </c>
      <c r="D156" s="69" t="str">
        <f t="shared" si="164"/>
        <v>Ameren MI - Union</v>
      </c>
      <c r="E156" s="70">
        <v>2010</v>
      </c>
      <c r="F156" s="373">
        <v>779.01</v>
      </c>
      <c r="G156" s="76">
        <f t="shared" si="160"/>
        <v>0.31541042696798344</v>
      </c>
      <c r="H156" s="71"/>
      <c r="I156" s="71"/>
      <c r="J156" s="373">
        <v>23105.743109999999</v>
      </c>
      <c r="K156" s="76">
        <f>J156/$J$221</f>
        <v>2.749519821315935E-2</v>
      </c>
      <c r="L156" s="76"/>
      <c r="M156" s="373">
        <v>2152401</v>
      </c>
      <c r="N156" s="373">
        <v>82083.106805517862</v>
      </c>
      <c r="O156" s="71">
        <f t="shared" si="161"/>
        <v>58977.363695517866</v>
      </c>
      <c r="P156" s="76">
        <f t="shared" si="165"/>
        <v>0.71850793653869394</v>
      </c>
      <c r="Q156" s="76">
        <f t="shared" si="166"/>
        <v>0.28149206346130606</v>
      </c>
      <c r="R156" s="126">
        <f t="shared" si="162"/>
        <v>0</v>
      </c>
      <c r="S156" s="126">
        <f t="shared" si="167"/>
        <v>0.28149206346130606</v>
      </c>
      <c r="T156" s="126">
        <f t="shared" si="167"/>
        <v>-0.28149206346130606</v>
      </c>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row>
    <row r="157" spans="2:60">
      <c r="B157" s="69">
        <f t="shared" si="163"/>
        <v>1</v>
      </c>
      <c r="C157" s="69">
        <f t="shared" si="138"/>
        <v>11</v>
      </c>
      <c r="D157" s="69" t="str">
        <f t="shared" ref="D157:D160" si="168">D156</f>
        <v>Ameren MI - Union</v>
      </c>
      <c r="E157" s="70">
        <v>2011</v>
      </c>
      <c r="F157" s="373">
        <v>779.01</v>
      </c>
      <c r="G157" s="76">
        <f t="shared" si="160"/>
        <v>0.25729823692042336</v>
      </c>
      <c r="H157" s="71"/>
      <c r="I157" s="71"/>
      <c r="J157" s="373">
        <v>14684.47431</v>
      </c>
      <c r="K157" s="76">
        <f>J157/$J$222</f>
        <v>1.8044000806940616E-2</v>
      </c>
      <c r="L157" s="76"/>
      <c r="M157" s="373">
        <v>1755836</v>
      </c>
      <c r="N157" s="373">
        <v>47789.510984207715</v>
      </c>
      <c r="O157" s="71">
        <f t="shared" si="161"/>
        <v>33105.036674207717</v>
      </c>
      <c r="P157" s="76">
        <f t="shared" si="165"/>
        <v>0.69272599765976772</v>
      </c>
      <c r="Q157" s="76">
        <f t="shared" si="166"/>
        <v>0.30727400234023228</v>
      </c>
      <c r="R157" s="126">
        <f t="shared" si="162"/>
        <v>0</v>
      </c>
      <c r="S157" s="126">
        <f t="shared" si="167"/>
        <v>0.30727400234023228</v>
      </c>
      <c r="T157" s="126">
        <f t="shared" si="167"/>
        <v>-0.30727400234023228</v>
      </c>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row>
    <row r="158" spans="2:60">
      <c r="B158" s="69">
        <f t="shared" si="163"/>
        <v>1</v>
      </c>
      <c r="C158" s="69">
        <f t="shared" si="138"/>
        <v>11</v>
      </c>
      <c r="D158" s="69" t="str">
        <f t="shared" si="168"/>
        <v>Ameren MI - Union</v>
      </c>
      <c r="E158" s="70">
        <v>2012</v>
      </c>
      <c r="F158" s="373">
        <v>779.01</v>
      </c>
      <c r="G158" s="76">
        <f t="shared" si="160"/>
        <v>0.1930369824854975</v>
      </c>
      <c r="H158" s="71"/>
      <c r="I158" s="71"/>
      <c r="J158" s="373">
        <v>14202.07323</v>
      </c>
      <c r="K158" s="76">
        <f>J158/$J$223</f>
        <v>1.7212619722481809E-2</v>
      </c>
      <c r="L158" s="76"/>
      <c r="M158" s="373">
        <v>1317309</v>
      </c>
      <c r="N158" s="373">
        <v>29443.173896585093</v>
      </c>
      <c r="O158" s="71">
        <f t="shared" si="161"/>
        <v>15241.100666585093</v>
      </c>
      <c r="P158" s="76">
        <f t="shared" si="165"/>
        <v>0.5176446235082286</v>
      </c>
      <c r="Q158" s="76">
        <f t="shared" si="166"/>
        <v>0.4823553764917714</v>
      </c>
      <c r="R158" s="126">
        <f t="shared" si="162"/>
        <v>0</v>
      </c>
      <c r="S158" s="126">
        <f t="shared" si="167"/>
        <v>0.4823553764917714</v>
      </c>
      <c r="T158" s="126">
        <f t="shared" si="167"/>
        <v>-0.4823553764917714</v>
      </c>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row>
    <row r="159" spans="2:60">
      <c r="B159" s="69">
        <f t="shared" si="163"/>
        <v>1</v>
      </c>
      <c r="C159" s="69">
        <f t="shared" si="138"/>
        <v>11</v>
      </c>
      <c r="D159" s="69" t="str">
        <f t="shared" si="168"/>
        <v>Ameren MI - Union</v>
      </c>
      <c r="E159" s="70">
        <v>2013</v>
      </c>
      <c r="F159" s="373">
        <v>779.01</v>
      </c>
      <c r="G159" s="76">
        <f t="shared" si="160"/>
        <v>0.24429056689971626</v>
      </c>
      <c r="H159" s="69"/>
      <c r="I159" s="69"/>
      <c r="J159" s="373">
        <v>15495.180840000001</v>
      </c>
      <c r="K159" s="76">
        <f>J159/$J$224</f>
        <v>1.8404090948899002E-2</v>
      </c>
      <c r="L159" s="69"/>
      <c r="M159" s="373">
        <v>1667070</v>
      </c>
      <c r="N159" s="373">
        <v>48905.954600372563</v>
      </c>
      <c r="O159" s="71">
        <f t="shared" ref="O159:O160" si="169">N159-J159</f>
        <v>33410.773760372562</v>
      </c>
      <c r="P159" s="76">
        <f t="shared" ref="P159:P160" si="170">O159/N159</f>
        <v>0.6831637176573595</v>
      </c>
      <c r="Q159" s="76">
        <f t="shared" ref="Q159:Q160" si="171">1-P159</f>
        <v>0.3168362823426405</v>
      </c>
      <c r="R159" s="126">
        <f t="shared" ref="R159:R160" si="172">Q159*L159</f>
        <v>0</v>
      </c>
      <c r="S159" s="126">
        <f t="shared" ref="S159:S160" si="173">Q159-R159</f>
        <v>0.3168362823426405</v>
      </c>
      <c r="T159" s="126">
        <f t="shared" ref="T159:T160" si="174">R159-S159</f>
        <v>-0.3168362823426405</v>
      </c>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row>
    <row r="160" spans="2:60">
      <c r="B160" s="69">
        <f t="shared" si="163"/>
        <v>1</v>
      </c>
      <c r="C160" s="69">
        <f t="shared" si="138"/>
        <v>11</v>
      </c>
      <c r="D160" s="69" t="str">
        <f t="shared" si="168"/>
        <v>Ameren MI - Union</v>
      </c>
      <c r="E160" s="70">
        <v>2014</v>
      </c>
      <c r="F160" s="373">
        <v>903.5</v>
      </c>
      <c r="G160" s="76">
        <f t="shared" si="160"/>
        <v>0.18112123578271208</v>
      </c>
      <c r="H160" s="69"/>
      <c r="I160" s="69"/>
      <c r="J160" s="373">
        <v>15384.76251</v>
      </c>
      <c r="K160" s="76">
        <f>J160/$J$225</f>
        <v>1.7778932712154569E-2</v>
      </c>
      <c r="L160" s="69"/>
      <c r="M160" s="373">
        <v>1433513</v>
      </c>
      <c r="N160" s="373">
        <v>41232.024326793427</v>
      </c>
      <c r="O160" s="71">
        <f t="shared" si="169"/>
        <v>25847.261816793427</v>
      </c>
      <c r="P160" s="76">
        <f t="shared" si="170"/>
        <v>0.62687346155830959</v>
      </c>
      <c r="Q160" s="76">
        <f t="shared" si="171"/>
        <v>0.37312653844169041</v>
      </c>
      <c r="R160" s="126">
        <f t="shared" si="172"/>
        <v>0</v>
      </c>
      <c r="S160" s="126">
        <f t="shared" si="173"/>
        <v>0.37312653844169041</v>
      </c>
      <c r="T160" s="126">
        <f t="shared" si="174"/>
        <v>-0.37312653844169041</v>
      </c>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row>
    <row r="161" spans="2:60">
      <c r="B161" s="72">
        <f>'OPG hydro peers'!B16</f>
        <v>1</v>
      </c>
      <c r="C161" s="72">
        <f t="shared" si="138"/>
        <v>12</v>
      </c>
      <c r="D161" s="72" t="str">
        <f>'OPG hydro peers'!D16</f>
        <v>AP Power</v>
      </c>
      <c r="E161" s="73">
        <v>2002</v>
      </c>
      <c r="F161" s="375">
        <v>739.7</v>
      </c>
      <c r="G161" s="75">
        <f t="shared" ref="G161:G173" si="175">M161/(F161*8760)</f>
        <v>0.15075005725510096</v>
      </c>
      <c r="H161" s="127"/>
      <c r="I161" s="127"/>
      <c r="J161" s="374">
        <v>21647.322270000001</v>
      </c>
      <c r="K161" s="75">
        <f>J161/$J$213</f>
        <v>4.1839025072982011E-2</v>
      </c>
      <c r="L161" s="75"/>
      <c r="M161" s="375">
        <v>976826</v>
      </c>
      <c r="N161" s="374">
        <v>29570.549420331001</v>
      </c>
      <c r="O161" s="127">
        <f t="shared" ref="O161:O171" si="176">N161-J161</f>
        <v>7923.2271503310003</v>
      </c>
      <c r="P161" s="75">
        <f>O161/N161</f>
        <v>0.26794318352717</v>
      </c>
      <c r="Q161" s="75">
        <f>1-P161</f>
        <v>0.73205681647283005</v>
      </c>
      <c r="R161" s="125">
        <f t="shared" ref="R161:R171" si="177">Q161*L161</f>
        <v>0</v>
      </c>
      <c r="S161" s="125">
        <f>Q161-R161</f>
        <v>0.73205681647283005</v>
      </c>
      <c r="T161" s="125">
        <f>R161-S161</f>
        <v>-0.73205681647283005</v>
      </c>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row>
    <row r="162" spans="2:60">
      <c r="B162" s="72">
        <f t="shared" ref="B162:B173" si="178">B161</f>
        <v>1</v>
      </c>
      <c r="C162" s="72">
        <f t="shared" si="138"/>
        <v>12</v>
      </c>
      <c r="D162" s="72" t="str">
        <f t="shared" ref="D162:D173" si="179">D161</f>
        <v>AP Power</v>
      </c>
      <c r="E162" s="73">
        <v>2003</v>
      </c>
      <c r="F162" s="375">
        <v>739.7</v>
      </c>
      <c r="G162" s="75">
        <f t="shared" si="175"/>
        <v>0.23197282250054477</v>
      </c>
      <c r="H162" s="127"/>
      <c r="I162" s="127"/>
      <c r="J162" s="374">
        <v>19106.29233</v>
      </c>
      <c r="K162" s="75">
        <f>J162/$J$214</f>
        <v>3.4067120275028541E-2</v>
      </c>
      <c r="L162" s="75"/>
      <c r="M162" s="375">
        <v>1503131</v>
      </c>
      <c r="N162" s="374">
        <v>65870.076629178002</v>
      </c>
      <c r="O162" s="127">
        <f t="shared" si="176"/>
        <v>46763.784299178005</v>
      </c>
      <c r="P162" s="75">
        <f t="shared" ref="P162:P172" si="180">O162/N162</f>
        <v>0.7099397282082921</v>
      </c>
      <c r="Q162" s="75">
        <f t="shared" ref="Q162:Q171" si="181">1-P162</f>
        <v>0.2900602717917079</v>
      </c>
      <c r="R162" s="125">
        <f t="shared" si="177"/>
        <v>0</v>
      </c>
      <c r="S162" s="125">
        <f t="shared" ref="S162:T171" si="182">Q162-R162</f>
        <v>0.2900602717917079</v>
      </c>
      <c r="T162" s="125">
        <f t="shared" si="182"/>
        <v>-0.2900602717917079</v>
      </c>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row>
    <row r="163" spans="2:60">
      <c r="B163" s="72">
        <f t="shared" si="178"/>
        <v>1</v>
      </c>
      <c r="C163" s="72">
        <f t="shared" si="138"/>
        <v>12</v>
      </c>
      <c r="D163" s="72" t="str">
        <f t="shared" si="179"/>
        <v>AP Power</v>
      </c>
      <c r="E163" s="73">
        <v>2004</v>
      </c>
      <c r="F163" s="375">
        <v>739.7</v>
      </c>
      <c r="G163" s="75">
        <f t="shared" si="175"/>
        <v>0.20261175856187533</v>
      </c>
      <c r="H163" s="127"/>
      <c r="I163" s="127"/>
      <c r="J163" s="374">
        <v>22360.681680000002</v>
      </c>
      <c r="K163" s="75">
        <f>J163/$J$215</f>
        <v>3.7225458047947795E-2</v>
      </c>
      <c r="L163" s="75"/>
      <c r="M163" s="375">
        <v>1312878</v>
      </c>
      <c r="N163" s="374">
        <v>62736.493730012851</v>
      </c>
      <c r="O163" s="127">
        <f t="shared" si="176"/>
        <v>40375.81205001285</v>
      </c>
      <c r="P163" s="75">
        <f t="shared" si="180"/>
        <v>0.64357775912327164</v>
      </c>
      <c r="Q163" s="75">
        <f t="shared" si="181"/>
        <v>0.35642224087672836</v>
      </c>
      <c r="R163" s="125">
        <f t="shared" si="177"/>
        <v>0</v>
      </c>
      <c r="S163" s="125">
        <f t="shared" si="182"/>
        <v>0.35642224087672836</v>
      </c>
      <c r="T163" s="125">
        <f t="shared" si="182"/>
        <v>-0.35642224087672836</v>
      </c>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row>
    <row r="164" spans="2:60">
      <c r="B164" s="72">
        <f t="shared" si="178"/>
        <v>1</v>
      </c>
      <c r="C164" s="72">
        <f t="shared" si="138"/>
        <v>12</v>
      </c>
      <c r="D164" s="72" t="str">
        <f t="shared" si="179"/>
        <v>AP Power</v>
      </c>
      <c r="E164" s="73">
        <v>2005</v>
      </c>
      <c r="F164" s="375">
        <v>739.7</v>
      </c>
      <c r="G164" s="75">
        <f t="shared" si="175"/>
        <v>0.20179105067277059</v>
      </c>
      <c r="H164" s="127"/>
      <c r="I164" s="127"/>
      <c r="J164" s="374">
        <v>32823.90423</v>
      </c>
      <c r="K164" s="75">
        <f>J164/$J$216</f>
        <v>5.2544909643270341E-2</v>
      </c>
      <c r="L164" s="75"/>
      <c r="M164" s="375">
        <v>1307560</v>
      </c>
      <c r="N164" s="374">
        <v>68664.610685626802</v>
      </c>
      <c r="O164" s="127">
        <f t="shared" si="176"/>
        <v>35840.706455626801</v>
      </c>
      <c r="P164" s="75">
        <f t="shared" si="180"/>
        <v>0.52196766424147434</v>
      </c>
      <c r="Q164" s="75">
        <f t="shared" si="181"/>
        <v>0.47803233575852566</v>
      </c>
      <c r="R164" s="125">
        <f t="shared" si="177"/>
        <v>0</v>
      </c>
      <c r="S164" s="125">
        <f t="shared" si="182"/>
        <v>0.47803233575852566</v>
      </c>
      <c r="T164" s="125">
        <f t="shared" si="182"/>
        <v>-0.47803233575852566</v>
      </c>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row>
    <row r="165" spans="2:60">
      <c r="B165" s="72">
        <f t="shared" si="178"/>
        <v>1</v>
      </c>
      <c r="C165" s="72">
        <f t="shared" si="138"/>
        <v>12</v>
      </c>
      <c r="D165" s="72" t="str">
        <f t="shared" si="179"/>
        <v>AP Power</v>
      </c>
      <c r="E165" s="73">
        <v>2006</v>
      </c>
      <c r="F165" s="375">
        <v>739.7</v>
      </c>
      <c r="G165" s="75">
        <f t="shared" si="175"/>
        <v>0.19074390271756475</v>
      </c>
      <c r="H165" s="127"/>
      <c r="I165" s="127"/>
      <c r="J165" s="374">
        <v>34698.77478</v>
      </c>
      <c r="K165" s="75">
        <f>J165/$J$217</f>
        <v>5.2223162188335635E-2</v>
      </c>
      <c r="L165" s="75"/>
      <c r="M165" s="375">
        <v>1235977</v>
      </c>
      <c r="N165" s="374">
        <v>57309.079262692692</v>
      </c>
      <c r="O165" s="127">
        <f t="shared" si="176"/>
        <v>22610.304482692693</v>
      </c>
      <c r="P165" s="75">
        <f t="shared" si="180"/>
        <v>0.3945326774323461</v>
      </c>
      <c r="Q165" s="75">
        <f t="shared" si="181"/>
        <v>0.6054673225676539</v>
      </c>
      <c r="R165" s="125">
        <f t="shared" si="177"/>
        <v>0</v>
      </c>
      <c r="S165" s="125">
        <f t="shared" si="182"/>
        <v>0.6054673225676539</v>
      </c>
      <c r="T165" s="125">
        <f t="shared" si="182"/>
        <v>-0.6054673225676539</v>
      </c>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row>
    <row r="166" spans="2:60">
      <c r="B166" s="72">
        <f t="shared" si="178"/>
        <v>1</v>
      </c>
      <c r="C166" s="72">
        <f t="shared" si="138"/>
        <v>12</v>
      </c>
      <c r="D166" s="72" t="str">
        <f t="shared" si="179"/>
        <v>AP Power</v>
      </c>
      <c r="E166" s="73">
        <v>2007</v>
      </c>
      <c r="F166" s="375">
        <v>739.7</v>
      </c>
      <c r="G166" s="75">
        <f t="shared" si="175"/>
        <v>0.18042548410653955</v>
      </c>
      <c r="H166" s="127"/>
      <c r="I166" s="127"/>
      <c r="J166" s="374">
        <v>35563.49553</v>
      </c>
      <c r="K166" s="75">
        <f>J166/$J$218</f>
        <v>4.9306586349623857E-2</v>
      </c>
      <c r="L166" s="75"/>
      <c r="M166" s="375">
        <v>1169116</v>
      </c>
      <c r="N166" s="374">
        <v>55460.844533588388</v>
      </c>
      <c r="O166" s="127">
        <f t="shared" si="176"/>
        <v>19897.349003588388</v>
      </c>
      <c r="P166" s="75">
        <f t="shared" si="180"/>
        <v>0.3587639021893741</v>
      </c>
      <c r="Q166" s="75">
        <f t="shared" si="181"/>
        <v>0.64123609781062596</v>
      </c>
      <c r="R166" s="125">
        <f t="shared" si="177"/>
        <v>0</v>
      </c>
      <c r="S166" s="125">
        <f t="shared" si="182"/>
        <v>0.64123609781062596</v>
      </c>
      <c r="T166" s="125">
        <f t="shared" si="182"/>
        <v>-0.64123609781062596</v>
      </c>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row>
    <row r="167" spans="2:60">
      <c r="B167" s="72">
        <f t="shared" si="178"/>
        <v>1</v>
      </c>
      <c r="C167" s="72">
        <f t="shared" ref="C167:C203" si="183">IF(D167=D166,C166,C166+1)</f>
        <v>12</v>
      </c>
      <c r="D167" s="72" t="str">
        <f t="shared" si="179"/>
        <v>AP Power</v>
      </c>
      <c r="E167" s="73">
        <v>2008</v>
      </c>
      <c r="F167" s="375">
        <v>739.7</v>
      </c>
      <c r="G167" s="75">
        <f t="shared" si="175"/>
        <v>0.16309277548654488</v>
      </c>
      <c r="H167" s="127"/>
      <c r="I167" s="127"/>
      <c r="J167" s="374">
        <v>37706.530680000003</v>
      </c>
      <c r="K167" s="75">
        <f>J167/$J$219</f>
        <v>4.8239788683984534E-2</v>
      </c>
      <c r="L167" s="75"/>
      <c r="M167" s="375">
        <v>1056804</v>
      </c>
      <c r="N167" s="374">
        <v>61109.589600035302</v>
      </c>
      <c r="O167" s="127">
        <f t="shared" si="176"/>
        <v>23403.058920035299</v>
      </c>
      <c r="P167" s="75">
        <f t="shared" si="180"/>
        <v>0.38296868090931802</v>
      </c>
      <c r="Q167" s="75">
        <f t="shared" si="181"/>
        <v>0.61703131909068198</v>
      </c>
      <c r="R167" s="125">
        <f t="shared" si="177"/>
        <v>0</v>
      </c>
      <c r="S167" s="125">
        <f t="shared" si="182"/>
        <v>0.61703131909068198</v>
      </c>
      <c r="T167" s="125">
        <f t="shared" si="182"/>
        <v>-0.61703131909068198</v>
      </c>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row>
    <row r="168" spans="2:60">
      <c r="B168" s="72">
        <f t="shared" si="178"/>
        <v>1</v>
      </c>
      <c r="C168" s="72">
        <f t="shared" si="183"/>
        <v>12</v>
      </c>
      <c r="D168" s="72" t="str">
        <f t="shared" si="179"/>
        <v>AP Power</v>
      </c>
      <c r="E168" s="73">
        <v>2009</v>
      </c>
      <c r="F168" s="375">
        <v>739.7</v>
      </c>
      <c r="G168" s="75">
        <f t="shared" si="175"/>
        <v>0.18539062794184732</v>
      </c>
      <c r="H168" s="127"/>
      <c r="I168" s="127"/>
      <c r="J168" s="374">
        <v>34873.809929999996</v>
      </c>
      <c r="K168" s="75">
        <f>J168/$J$220</f>
        <v>4.4608594681847941E-2</v>
      </c>
      <c r="L168" s="75"/>
      <c r="M168" s="375">
        <v>1201289</v>
      </c>
      <c r="N168" s="374">
        <v>45532.115420822447</v>
      </c>
      <c r="O168" s="127">
        <f t="shared" si="176"/>
        <v>10658.305490822451</v>
      </c>
      <c r="P168" s="75">
        <f t="shared" si="180"/>
        <v>0.2340832485447901</v>
      </c>
      <c r="Q168" s="75">
        <f t="shared" si="181"/>
        <v>0.76591675145520988</v>
      </c>
      <c r="R168" s="125">
        <f t="shared" si="177"/>
        <v>0</v>
      </c>
      <c r="S168" s="125">
        <f t="shared" si="182"/>
        <v>0.76591675145520988</v>
      </c>
      <c r="T168" s="125">
        <f t="shared" si="182"/>
        <v>-0.76591675145520988</v>
      </c>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row>
    <row r="169" spans="2:60">
      <c r="B169" s="72">
        <f t="shared" si="178"/>
        <v>1</v>
      </c>
      <c r="C169" s="72">
        <f t="shared" si="183"/>
        <v>12</v>
      </c>
      <c r="D169" s="72" t="str">
        <f t="shared" si="179"/>
        <v>AP Power</v>
      </c>
      <c r="E169" s="73">
        <v>2010</v>
      </c>
      <c r="F169" s="375">
        <v>739.7</v>
      </c>
      <c r="G169" s="75">
        <f t="shared" si="175"/>
        <v>0.18367667874733865</v>
      </c>
      <c r="H169" s="127"/>
      <c r="I169" s="127"/>
      <c r="J169" s="374">
        <v>38269.319640000002</v>
      </c>
      <c r="K169" s="75">
        <f>J169/$J$221</f>
        <v>4.5539436839369937E-2</v>
      </c>
      <c r="L169" s="75"/>
      <c r="M169" s="375">
        <v>1190183</v>
      </c>
      <c r="N169" s="374">
        <v>51515.028856869401</v>
      </c>
      <c r="O169" s="127">
        <f t="shared" si="176"/>
        <v>13245.7092168694</v>
      </c>
      <c r="P169" s="75">
        <f t="shared" si="180"/>
        <v>0.25712320289427765</v>
      </c>
      <c r="Q169" s="75">
        <f t="shared" si="181"/>
        <v>0.74287679710572241</v>
      </c>
      <c r="R169" s="125">
        <f t="shared" si="177"/>
        <v>0</v>
      </c>
      <c r="S169" s="125">
        <f t="shared" si="182"/>
        <v>0.74287679710572241</v>
      </c>
      <c r="T169" s="125">
        <f t="shared" si="182"/>
        <v>-0.74287679710572241</v>
      </c>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row>
    <row r="170" spans="2:60">
      <c r="B170" s="72">
        <f t="shared" si="178"/>
        <v>1</v>
      </c>
      <c r="C170" s="72">
        <f t="shared" si="183"/>
        <v>12</v>
      </c>
      <c r="D170" s="72" t="str">
        <f t="shared" si="179"/>
        <v>AP Power</v>
      </c>
      <c r="E170" s="73">
        <v>2011</v>
      </c>
      <c r="F170" s="375">
        <v>778.7</v>
      </c>
      <c r="G170" s="75">
        <f t="shared" si="175"/>
        <v>0.15214269421052415</v>
      </c>
      <c r="H170" s="127"/>
      <c r="I170" s="127"/>
      <c r="J170" s="374">
        <v>33342.314789999997</v>
      </c>
      <c r="K170" s="75">
        <f>J170/$J$222</f>
        <v>4.0970397868878697E-2</v>
      </c>
      <c r="L170" s="75"/>
      <c r="M170" s="375">
        <v>1037828</v>
      </c>
      <c r="N170" s="374">
        <v>46708.605685079026</v>
      </c>
      <c r="O170" s="127">
        <f t="shared" si="176"/>
        <v>13366.29089507903</v>
      </c>
      <c r="P170" s="75">
        <f t="shared" si="180"/>
        <v>0.28616334611223188</v>
      </c>
      <c r="Q170" s="75">
        <f t="shared" si="181"/>
        <v>0.71383665388776807</v>
      </c>
      <c r="R170" s="125">
        <f t="shared" si="177"/>
        <v>0</v>
      </c>
      <c r="S170" s="125">
        <f t="shared" si="182"/>
        <v>0.71383665388776807</v>
      </c>
      <c r="T170" s="125">
        <f t="shared" si="182"/>
        <v>-0.71383665388776807</v>
      </c>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row>
    <row r="171" spans="2:60">
      <c r="B171" s="72">
        <f t="shared" si="178"/>
        <v>1</v>
      </c>
      <c r="C171" s="72">
        <f t="shared" si="183"/>
        <v>12</v>
      </c>
      <c r="D171" s="72" t="str">
        <f t="shared" si="179"/>
        <v>AP Power</v>
      </c>
      <c r="E171" s="73">
        <v>2012</v>
      </c>
      <c r="F171" s="375">
        <v>778.7</v>
      </c>
      <c r="G171" s="75">
        <f t="shared" si="175"/>
        <v>0.14220853395162175</v>
      </c>
      <c r="H171" s="127"/>
      <c r="I171" s="127"/>
      <c r="J171" s="374">
        <v>28907.146349999999</v>
      </c>
      <c r="K171" s="75">
        <f>J171/$J$223</f>
        <v>3.5034864933214969E-2</v>
      </c>
      <c r="L171" s="75"/>
      <c r="M171" s="375">
        <v>970063</v>
      </c>
      <c r="N171" s="374">
        <v>33442.6171642517</v>
      </c>
      <c r="O171" s="127">
        <f t="shared" si="176"/>
        <v>4535.4708142517011</v>
      </c>
      <c r="P171" s="75">
        <f>AVERAGE(P161:P170)</f>
        <v>0.40570633931825462</v>
      </c>
      <c r="Q171" s="75">
        <f t="shared" si="181"/>
        <v>0.59429366068174538</v>
      </c>
      <c r="R171" s="125">
        <f t="shared" si="177"/>
        <v>0</v>
      </c>
      <c r="S171" s="125">
        <f t="shared" si="182"/>
        <v>0.59429366068174538</v>
      </c>
      <c r="T171" s="125">
        <f t="shared" si="182"/>
        <v>-0.59429366068174538</v>
      </c>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row>
    <row r="172" spans="2:60">
      <c r="B172" s="72">
        <f t="shared" si="178"/>
        <v>1</v>
      </c>
      <c r="C172" s="72">
        <f t="shared" si="183"/>
        <v>12</v>
      </c>
      <c r="D172" s="72" t="str">
        <f t="shared" si="179"/>
        <v>AP Power</v>
      </c>
      <c r="E172" s="73">
        <v>2013</v>
      </c>
      <c r="F172" s="375">
        <v>839.99999999999989</v>
      </c>
      <c r="G172" s="75">
        <f t="shared" si="175"/>
        <v>0.1446603881278539</v>
      </c>
      <c r="H172" s="127"/>
      <c r="I172" s="127"/>
      <c r="J172" s="374">
        <v>27228.371009999999</v>
      </c>
      <c r="K172" s="75">
        <f>J172/$J$224</f>
        <v>3.2339952765495117E-2</v>
      </c>
      <c r="L172" s="72"/>
      <c r="M172" s="375">
        <v>1064469</v>
      </c>
      <c r="N172" s="374">
        <v>41472.236619902702</v>
      </c>
      <c r="O172" s="127">
        <f t="shared" ref="O172:O173" si="184">N172-J172</f>
        <v>14243.865609902703</v>
      </c>
      <c r="P172" s="75">
        <f t="shared" si="180"/>
        <v>0.34345544804947925</v>
      </c>
      <c r="Q172" s="75">
        <f t="shared" ref="Q172:Q173" si="185">1-P172</f>
        <v>0.65654455195052075</v>
      </c>
      <c r="R172" s="125">
        <f t="shared" ref="R172:R173" si="186">Q172*L172</f>
        <v>0</v>
      </c>
      <c r="S172" s="125">
        <f t="shared" ref="S172:S173" si="187">Q172-R172</f>
        <v>0.65654455195052075</v>
      </c>
      <c r="T172" s="125">
        <f t="shared" ref="T172:T173" si="188">R172-S172</f>
        <v>-0.65654455195052075</v>
      </c>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row>
    <row r="173" spans="2:60">
      <c r="B173" s="72">
        <f t="shared" si="178"/>
        <v>1</v>
      </c>
      <c r="C173" s="72">
        <f t="shared" si="183"/>
        <v>12</v>
      </c>
      <c r="D173" s="72" t="str">
        <f t="shared" si="179"/>
        <v>AP Power</v>
      </c>
      <c r="E173" s="73">
        <v>2014</v>
      </c>
      <c r="F173" s="375">
        <v>839.69999999999993</v>
      </c>
      <c r="G173" s="75">
        <f t="shared" si="175"/>
        <v>0.12316790134332604</v>
      </c>
      <c r="H173" s="127"/>
      <c r="I173" s="127"/>
      <c r="J173" s="374">
        <v>33127.893809999994</v>
      </c>
      <c r="K173" s="75">
        <f>J173/$J$225</f>
        <v>3.8283242562929351E-2</v>
      </c>
      <c r="L173" s="72"/>
      <c r="M173" s="375">
        <v>905995</v>
      </c>
      <c r="N173" s="374">
        <v>25804.046626830095</v>
      </c>
      <c r="O173" s="127">
        <f t="shared" si="184"/>
        <v>-7323.8471831698989</v>
      </c>
      <c r="P173" s="75">
        <f>AVERAGE(P161:P172)</f>
        <v>0.40051876504585665</v>
      </c>
      <c r="Q173" s="75">
        <f t="shared" si="185"/>
        <v>0.5994812349541434</v>
      </c>
      <c r="R173" s="125">
        <f t="shared" si="186"/>
        <v>0</v>
      </c>
      <c r="S173" s="125">
        <f t="shared" si="187"/>
        <v>0.5994812349541434</v>
      </c>
      <c r="T173" s="125">
        <f t="shared" si="188"/>
        <v>-0.5994812349541434</v>
      </c>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row>
    <row r="174" spans="2:60">
      <c r="B174" s="69">
        <f>'OPG hydro peers'!B17</f>
        <v>1</v>
      </c>
      <c r="C174" s="69">
        <f t="shared" si="183"/>
        <v>13</v>
      </c>
      <c r="D174" s="69" t="str">
        <f>'OPG hydro peers'!D17</f>
        <v>SCE&amp;G</v>
      </c>
      <c r="E174" s="70">
        <v>2002</v>
      </c>
      <c r="F174" s="373">
        <v>760.8</v>
      </c>
      <c r="G174" s="76">
        <f t="shared" ref="G174:G186" si="189">M174/(F174*8760)</f>
        <v>0.14300375956095243</v>
      </c>
      <c r="H174" s="71"/>
      <c r="I174" s="71"/>
      <c r="J174" s="373">
        <v>6273.6912599999996</v>
      </c>
      <c r="K174" s="76">
        <f>J174/$J$213</f>
        <v>1.2125524009547075E-2</v>
      </c>
      <c r="L174" s="76"/>
      <c r="M174" s="373">
        <v>953064</v>
      </c>
      <c r="N174" s="373">
        <v>6437.5590314534984</v>
      </c>
      <c r="O174" s="71">
        <f t="shared" ref="O174:O184" si="190">N174-J174</f>
        <v>163.86777145349879</v>
      </c>
      <c r="P174" s="76">
        <f>AVERAGE($P$175:$P$179,$P$181:$P$182)</f>
        <v>0.44666486599078531</v>
      </c>
      <c r="Q174" s="76">
        <f>1-P174</f>
        <v>0.55333513400921475</v>
      </c>
      <c r="R174" s="126">
        <f t="shared" ref="R174:R184" si="191">Q174*L174</f>
        <v>0</v>
      </c>
      <c r="S174" s="126">
        <f>Q174-R174</f>
        <v>0.55333513400921475</v>
      </c>
      <c r="T174" s="126">
        <f>R174-S174</f>
        <v>-0.55333513400921475</v>
      </c>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row>
    <row r="175" spans="2:60">
      <c r="B175" s="69">
        <f t="shared" ref="B175:B186" si="192">B174</f>
        <v>1</v>
      </c>
      <c r="C175" s="69">
        <f t="shared" si="183"/>
        <v>13</v>
      </c>
      <c r="D175" s="69" t="str">
        <f t="shared" ref="D175:D182" si="193">D174</f>
        <v>SCE&amp;G</v>
      </c>
      <c r="E175" s="70">
        <v>2003</v>
      </c>
      <c r="F175" s="373">
        <v>750.5</v>
      </c>
      <c r="G175" s="76">
        <f t="shared" si="189"/>
        <v>0.19560490875185188</v>
      </c>
      <c r="H175" s="71"/>
      <c r="I175" s="71"/>
      <c r="J175" s="373">
        <v>6575.3733600000005</v>
      </c>
      <c r="K175" s="76">
        <f>J175/$J$214</f>
        <v>1.1724097550659562E-2</v>
      </c>
      <c r="L175" s="76"/>
      <c r="M175" s="373">
        <v>1285981</v>
      </c>
      <c r="N175" s="373">
        <v>18541.377933948304</v>
      </c>
      <c r="O175" s="71">
        <f t="shared" si="190"/>
        <v>11966.004573948303</v>
      </c>
      <c r="P175" s="76">
        <f t="shared" ref="P175:P182" si="194">O175/N175</f>
        <v>0.64536759978551361</v>
      </c>
      <c r="Q175" s="76">
        <f t="shared" ref="Q175:Q184" si="195">1-P175</f>
        <v>0.35463240021448639</v>
      </c>
      <c r="R175" s="126">
        <f t="shared" si="191"/>
        <v>0</v>
      </c>
      <c r="S175" s="126">
        <f t="shared" ref="S175:T184" si="196">Q175-R175</f>
        <v>0.35463240021448639</v>
      </c>
      <c r="T175" s="126">
        <f t="shared" si="196"/>
        <v>-0.35463240021448639</v>
      </c>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row>
    <row r="176" spans="2:60">
      <c r="B176" s="69">
        <f t="shared" si="192"/>
        <v>1</v>
      </c>
      <c r="C176" s="69">
        <f t="shared" si="183"/>
        <v>13</v>
      </c>
      <c r="D176" s="69" t="str">
        <f t="shared" si="193"/>
        <v>SCE&amp;G</v>
      </c>
      <c r="E176" s="70">
        <v>2004</v>
      </c>
      <c r="F176" s="373">
        <v>750.5</v>
      </c>
      <c r="G176" s="76">
        <f t="shared" si="189"/>
        <v>0.17241047825042058</v>
      </c>
      <c r="H176" s="71"/>
      <c r="I176" s="71"/>
      <c r="J176" s="373">
        <v>6709.1752199999992</v>
      </c>
      <c r="K176" s="76">
        <f>J176/$J$215</f>
        <v>1.1169253436125157E-2</v>
      </c>
      <c r="L176" s="76"/>
      <c r="M176" s="373">
        <v>1133492</v>
      </c>
      <c r="N176" s="373">
        <v>11193.024172133533</v>
      </c>
      <c r="O176" s="71">
        <f t="shared" si="190"/>
        <v>4483.8489521335341</v>
      </c>
      <c r="P176" s="76">
        <f t="shared" si="194"/>
        <v>0.4005931625964545</v>
      </c>
      <c r="Q176" s="76">
        <f t="shared" si="195"/>
        <v>0.5994068374035455</v>
      </c>
      <c r="R176" s="126">
        <f t="shared" si="191"/>
        <v>0</v>
      </c>
      <c r="S176" s="126">
        <f t="shared" si="196"/>
        <v>0.5994068374035455</v>
      </c>
      <c r="T176" s="126">
        <f t="shared" si="196"/>
        <v>-0.5994068374035455</v>
      </c>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row>
    <row r="177" spans="2:60">
      <c r="B177" s="69">
        <f t="shared" si="192"/>
        <v>1</v>
      </c>
      <c r="C177" s="69">
        <f t="shared" si="183"/>
        <v>13</v>
      </c>
      <c r="D177" s="69" t="str">
        <f t="shared" si="193"/>
        <v>SCE&amp;G</v>
      </c>
      <c r="E177" s="70">
        <v>2005</v>
      </c>
      <c r="F177" s="373">
        <v>750.5</v>
      </c>
      <c r="G177" s="76">
        <f t="shared" si="189"/>
        <v>0.19368062083420795</v>
      </c>
      <c r="H177" s="71"/>
      <c r="I177" s="71"/>
      <c r="J177" s="373">
        <v>6809.7437100000006</v>
      </c>
      <c r="K177" s="76">
        <f>J177/$J$216</f>
        <v>1.0901121494521817E-2</v>
      </c>
      <c r="L177" s="76"/>
      <c r="M177" s="373">
        <v>1273330</v>
      </c>
      <c r="N177" s="373">
        <v>24820.439900745001</v>
      </c>
      <c r="O177" s="71">
        <f t="shared" si="190"/>
        <v>18010.696190745002</v>
      </c>
      <c r="P177" s="76">
        <f t="shared" si="194"/>
        <v>0.72563968498416498</v>
      </c>
      <c r="Q177" s="76">
        <f t="shared" si="195"/>
        <v>0.27436031501583502</v>
      </c>
      <c r="R177" s="126">
        <f t="shared" si="191"/>
        <v>0</v>
      </c>
      <c r="S177" s="126">
        <f t="shared" si="196"/>
        <v>0.27436031501583502</v>
      </c>
      <c r="T177" s="126">
        <f t="shared" si="196"/>
        <v>-0.27436031501583502</v>
      </c>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row>
    <row r="178" spans="2:60">
      <c r="B178" s="69">
        <f t="shared" si="192"/>
        <v>1</v>
      </c>
      <c r="C178" s="69">
        <f t="shared" si="183"/>
        <v>13</v>
      </c>
      <c r="D178" s="69" t="str">
        <f t="shared" si="193"/>
        <v>SCE&amp;G</v>
      </c>
      <c r="E178" s="70">
        <v>2006</v>
      </c>
      <c r="F178" s="373">
        <v>750.5</v>
      </c>
      <c r="G178" s="76">
        <f t="shared" si="189"/>
        <v>0.1551315865526483</v>
      </c>
      <c r="H178" s="71"/>
      <c r="I178" s="71"/>
      <c r="J178" s="373">
        <v>7664.6785799999998</v>
      </c>
      <c r="K178" s="76">
        <f>J178/$J$217</f>
        <v>1.1535673958018701E-2</v>
      </c>
      <c r="L178" s="76"/>
      <c r="M178" s="373">
        <v>1019894</v>
      </c>
      <c r="N178" s="373">
        <v>10817.392776589499</v>
      </c>
      <c r="O178" s="71">
        <f t="shared" si="190"/>
        <v>3152.7141965894989</v>
      </c>
      <c r="P178" s="76">
        <f t="shared" si="194"/>
        <v>0.29144861998655142</v>
      </c>
      <c r="Q178" s="76">
        <f t="shared" si="195"/>
        <v>0.70855138001344864</v>
      </c>
      <c r="R178" s="126">
        <f t="shared" si="191"/>
        <v>0</v>
      </c>
      <c r="S178" s="126">
        <f t="shared" si="196"/>
        <v>0.70855138001344864</v>
      </c>
      <c r="T178" s="126">
        <f t="shared" si="196"/>
        <v>-0.70855138001344864</v>
      </c>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row>
    <row r="179" spans="2:60">
      <c r="B179" s="69">
        <f t="shared" si="192"/>
        <v>1</v>
      </c>
      <c r="C179" s="69">
        <f t="shared" si="183"/>
        <v>13</v>
      </c>
      <c r="D179" s="69" t="str">
        <f t="shared" si="193"/>
        <v>SCE&amp;G</v>
      </c>
      <c r="E179" s="70">
        <v>2007</v>
      </c>
      <c r="F179" s="373">
        <v>750.5</v>
      </c>
      <c r="G179" s="76">
        <f t="shared" si="189"/>
        <v>0.15487954757710992</v>
      </c>
      <c r="H179" s="71"/>
      <c r="I179" s="71"/>
      <c r="J179" s="373">
        <v>6986.7702300000001</v>
      </c>
      <c r="K179" s="76">
        <f>J179/$J$218</f>
        <v>9.6867246741781775E-3</v>
      </c>
      <c r="L179" s="76"/>
      <c r="M179" s="373">
        <v>1018237</v>
      </c>
      <c r="N179" s="373">
        <v>11101.447910757601</v>
      </c>
      <c r="O179" s="71">
        <f t="shared" si="190"/>
        <v>4114.6776807576007</v>
      </c>
      <c r="P179" s="76">
        <f t="shared" si="194"/>
        <v>0.37064333534100247</v>
      </c>
      <c r="Q179" s="76">
        <f t="shared" si="195"/>
        <v>0.62935666465899753</v>
      </c>
      <c r="R179" s="126">
        <f t="shared" si="191"/>
        <v>0</v>
      </c>
      <c r="S179" s="126">
        <f t="shared" si="196"/>
        <v>0.62935666465899753</v>
      </c>
      <c r="T179" s="126">
        <f t="shared" si="196"/>
        <v>-0.62935666465899753</v>
      </c>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row>
    <row r="180" spans="2:60">
      <c r="B180" s="69">
        <f t="shared" si="192"/>
        <v>1</v>
      </c>
      <c r="C180" s="69">
        <f t="shared" si="183"/>
        <v>13</v>
      </c>
      <c r="D180" s="69" t="str">
        <f t="shared" si="193"/>
        <v>SCE&amp;G</v>
      </c>
      <c r="E180" s="70">
        <v>2008</v>
      </c>
      <c r="F180" s="373">
        <v>750.3</v>
      </c>
      <c r="G180" s="76">
        <f t="shared" si="189"/>
        <v>0.13963486142833581</v>
      </c>
      <c r="H180" s="71"/>
      <c r="I180" s="71"/>
      <c r="J180" s="373">
        <v>7493.8155900000002</v>
      </c>
      <c r="K180" s="76">
        <f>J180/$J$219</f>
        <v>9.5872007840300429E-3</v>
      </c>
      <c r="L180" s="76"/>
      <c r="M180" s="373">
        <v>917768</v>
      </c>
      <c r="N180" s="373">
        <v>7397.8510074288542</v>
      </c>
      <c r="O180" s="71">
        <f t="shared" si="190"/>
        <v>-95.964582571145911</v>
      </c>
      <c r="P180" s="76">
        <f>AVERAGE($P$175:$P$179,$P$181:$P$182)</f>
        <v>0.44666486599078531</v>
      </c>
      <c r="Q180" s="76">
        <f t="shared" si="195"/>
        <v>0.55333513400921475</v>
      </c>
      <c r="R180" s="126">
        <f t="shared" si="191"/>
        <v>0</v>
      </c>
      <c r="S180" s="126">
        <f t="shared" si="196"/>
        <v>0.55333513400921475</v>
      </c>
      <c r="T180" s="126">
        <f t="shared" si="196"/>
        <v>-0.55333513400921475</v>
      </c>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row>
    <row r="181" spans="2:60">
      <c r="B181" s="69">
        <f t="shared" si="192"/>
        <v>1</v>
      </c>
      <c r="C181" s="69">
        <f t="shared" si="183"/>
        <v>13</v>
      </c>
      <c r="D181" s="69" t="str">
        <f t="shared" si="193"/>
        <v>SCE&amp;G</v>
      </c>
      <c r="E181" s="70">
        <v>2009</v>
      </c>
      <c r="F181" s="373">
        <v>750.3</v>
      </c>
      <c r="G181" s="76">
        <f t="shared" si="189"/>
        <v>0.14609179159386473</v>
      </c>
      <c r="H181" s="71"/>
      <c r="I181" s="71"/>
      <c r="J181" s="373">
        <v>8426.2945799999979</v>
      </c>
      <c r="K181" s="76">
        <f>J181/$J$220</f>
        <v>1.0778436894149581E-2</v>
      </c>
      <c r="L181" s="76"/>
      <c r="M181" s="373">
        <v>960207</v>
      </c>
      <c r="N181" s="373">
        <v>12035.583572090065</v>
      </c>
      <c r="O181" s="71">
        <f t="shared" si="190"/>
        <v>3609.288992090067</v>
      </c>
      <c r="P181" s="76">
        <f t="shared" si="194"/>
        <v>0.29988483487081036</v>
      </c>
      <c r="Q181" s="76">
        <f t="shared" si="195"/>
        <v>0.7001151651291897</v>
      </c>
      <c r="R181" s="126">
        <f t="shared" si="191"/>
        <v>0</v>
      </c>
      <c r="S181" s="126">
        <f t="shared" si="196"/>
        <v>0.7001151651291897</v>
      </c>
      <c r="T181" s="126">
        <f t="shared" si="196"/>
        <v>-0.7001151651291897</v>
      </c>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row>
    <row r="182" spans="2:60">
      <c r="B182" s="69">
        <f t="shared" si="192"/>
        <v>1</v>
      </c>
      <c r="C182" s="69">
        <f t="shared" si="183"/>
        <v>13</v>
      </c>
      <c r="D182" s="69" t="str">
        <f t="shared" si="193"/>
        <v>SCE&amp;G</v>
      </c>
      <c r="E182" s="70">
        <v>2010</v>
      </c>
      <c r="F182" s="373">
        <v>750.3</v>
      </c>
      <c r="G182" s="76">
        <f t="shared" si="189"/>
        <v>0.13243332803864755</v>
      </c>
      <c r="H182" s="71"/>
      <c r="I182" s="71"/>
      <c r="J182" s="373">
        <v>7307.6624700000002</v>
      </c>
      <c r="K182" s="76">
        <f>J182/$J$221</f>
        <v>8.6959171635798398E-3</v>
      </c>
      <c r="L182" s="76"/>
      <c r="M182" s="373">
        <v>870435</v>
      </c>
      <c r="N182" s="373">
        <v>12040.506547515704</v>
      </c>
      <c r="O182" s="71">
        <f t="shared" si="190"/>
        <v>4732.8440775157042</v>
      </c>
      <c r="P182" s="76">
        <f t="shared" si="194"/>
        <v>0.39307682437099983</v>
      </c>
      <c r="Q182" s="76">
        <f t="shared" si="195"/>
        <v>0.60692317562900011</v>
      </c>
      <c r="R182" s="126">
        <f t="shared" si="191"/>
        <v>0</v>
      </c>
      <c r="S182" s="126">
        <f t="shared" si="196"/>
        <v>0.60692317562900011</v>
      </c>
      <c r="T182" s="126">
        <f t="shared" si="196"/>
        <v>-0.60692317562900011</v>
      </c>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row>
    <row r="183" spans="2:60">
      <c r="B183" s="69">
        <f t="shared" si="192"/>
        <v>1</v>
      </c>
      <c r="C183" s="69">
        <f t="shared" si="183"/>
        <v>13</v>
      </c>
      <c r="D183" s="69" t="str">
        <f t="shared" ref="D183:D186" si="197">D182</f>
        <v>SCE&amp;G</v>
      </c>
      <c r="E183" s="70">
        <v>2011</v>
      </c>
      <c r="F183" s="373">
        <v>750.3</v>
      </c>
      <c r="G183" s="76">
        <f t="shared" si="189"/>
        <v>0.11008960190657374</v>
      </c>
      <c r="H183" s="71"/>
      <c r="I183" s="71"/>
      <c r="J183" s="373">
        <v>7016.5682100000004</v>
      </c>
      <c r="K183" s="76">
        <f>J183/$J$222</f>
        <v>8.621824640802812E-3</v>
      </c>
      <c r="L183" s="76"/>
      <c r="M183" s="373">
        <v>723578</v>
      </c>
      <c r="N183" s="373">
        <v>7326.3518371603623</v>
      </c>
      <c r="O183" s="71">
        <f t="shared" si="190"/>
        <v>309.7836271603619</v>
      </c>
      <c r="P183" s="76">
        <f>AVERAGE($P$175:$P$179,$P$181:$P$182)</f>
        <v>0.44666486599078531</v>
      </c>
      <c r="Q183" s="76">
        <f t="shared" si="195"/>
        <v>0.55333513400921475</v>
      </c>
      <c r="R183" s="126">
        <f t="shared" si="191"/>
        <v>0</v>
      </c>
      <c r="S183" s="126">
        <f t="shared" si="196"/>
        <v>0.55333513400921475</v>
      </c>
      <c r="T183" s="126">
        <f t="shared" si="196"/>
        <v>-0.55333513400921475</v>
      </c>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row>
    <row r="184" spans="2:60">
      <c r="B184" s="69">
        <f t="shared" si="192"/>
        <v>1</v>
      </c>
      <c r="C184" s="69">
        <f t="shared" si="183"/>
        <v>13</v>
      </c>
      <c r="D184" s="69" t="str">
        <f t="shared" si="197"/>
        <v>SCE&amp;G</v>
      </c>
      <c r="E184" s="70">
        <v>2012</v>
      </c>
      <c r="F184" s="373">
        <v>750.3</v>
      </c>
      <c r="G184" s="76">
        <f t="shared" si="189"/>
        <v>0.11450442653988632</v>
      </c>
      <c r="H184" s="71"/>
      <c r="I184" s="71"/>
      <c r="J184" s="373">
        <v>7009.2767700000004</v>
      </c>
      <c r="K184" s="76">
        <f>J184/$J$223</f>
        <v>8.4950988223876107E-3</v>
      </c>
      <c r="L184" s="76"/>
      <c r="M184" s="373">
        <v>752595</v>
      </c>
      <c r="N184" s="373">
        <v>4825.4885870306171</v>
      </c>
      <c r="O184" s="71">
        <f t="shared" si="190"/>
        <v>-2183.7881829693833</v>
      </c>
      <c r="P184" s="76">
        <f>AVERAGE($P$175:$P$179,$P$181:$P$182)</f>
        <v>0.44666486599078531</v>
      </c>
      <c r="Q184" s="76">
        <f t="shared" si="195"/>
        <v>0.55333513400921475</v>
      </c>
      <c r="R184" s="126">
        <f t="shared" si="191"/>
        <v>0</v>
      </c>
      <c r="S184" s="126">
        <f t="shared" si="196"/>
        <v>0.55333513400921475</v>
      </c>
      <c r="T184" s="126">
        <f t="shared" si="196"/>
        <v>-0.55333513400921475</v>
      </c>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row>
    <row r="185" spans="2:60">
      <c r="B185" s="69">
        <f t="shared" si="192"/>
        <v>1</v>
      </c>
      <c r="C185" s="69">
        <f t="shared" si="183"/>
        <v>13</v>
      </c>
      <c r="D185" s="69" t="str">
        <f t="shared" si="197"/>
        <v>SCE&amp;G</v>
      </c>
      <c r="E185" s="70">
        <v>2013</v>
      </c>
      <c r="F185" s="373">
        <v>750.3</v>
      </c>
      <c r="G185" s="76">
        <f t="shared" si="189"/>
        <v>0.12312015832936232</v>
      </c>
      <c r="H185" s="69"/>
      <c r="I185" s="69"/>
      <c r="J185" s="373">
        <v>7537.7782499999994</v>
      </c>
      <c r="K185" s="76">
        <f>J185/$J$224</f>
        <v>8.9528452683507193E-3</v>
      </c>
      <c r="L185" s="69"/>
      <c r="M185" s="373">
        <v>809223</v>
      </c>
      <c r="N185" s="373">
        <v>15565.697534817702</v>
      </c>
      <c r="O185" s="71">
        <f t="shared" ref="O185:O186" si="198">N185-J185</f>
        <v>8027.9192848177026</v>
      </c>
      <c r="P185" s="76">
        <f t="shared" ref="P185:P186" si="199">O185/N185</f>
        <v>0.51574426824500941</v>
      </c>
      <c r="Q185" s="76">
        <f t="shared" ref="Q185:Q186" si="200">1-P185</f>
        <v>0.48425573175499059</v>
      </c>
      <c r="R185" s="126">
        <f t="shared" ref="R185:R186" si="201">Q185*L185</f>
        <v>0</v>
      </c>
      <c r="S185" s="126">
        <f t="shared" ref="S185:S186" si="202">Q185-R185</f>
        <v>0.48425573175499059</v>
      </c>
      <c r="T185" s="126">
        <f t="shared" ref="T185:T186" si="203">R185-S185</f>
        <v>-0.48425573175499059</v>
      </c>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row>
    <row r="186" spans="2:60">
      <c r="B186" s="69">
        <f t="shared" si="192"/>
        <v>1</v>
      </c>
      <c r="C186" s="69">
        <f t="shared" si="183"/>
        <v>13</v>
      </c>
      <c r="D186" s="69" t="str">
        <f t="shared" si="197"/>
        <v>SCE&amp;G</v>
      </c>
      <c r="E186" s="70">
        <v>2014</v>
      </c>
      <c r="F186" s="373">
        <v>750.66</v>
      </c>
      <c r="G186" s="76">
        <f t="shared" si="189"/>
        <v>9.3299935630465597E-2</v>
      </c>
      <c r="H186" s="69"/>
      <c r="I186" s="69"/>
      <c r="J186" s="373">
        <v>7830.4518299999991</v>
      </c>
      <c r="K186" s="76">
        <f>J186/$J$225</f>
        <v>9.0490234152686699E-3</v>
      </c>
      <c r="L186" s="69"/>
      <c r="M186" s="373">
        <v>613520</v>
      </c>
      <c r="N186" s="373">
        <v>14944.725632175001</v>
      </c>
      <c r="O186" s="71">
        <f t="shared" si="198"/>
        <v>7114.2738021750019</v>
      </c>
      <c r="P186" s="76">
        <f t="shared" si="199"/>
        <v>0.4760391041812399</v>
      </c>
      <c r="Q186" s="76">
        <f t="shared" si="200"/>
        <v>0.52396089581876004</v>
      </c>
      <c r="R186" s="126">
        <f t="shared" si="201"/>
        <v>0</v>
      </c>
      <c r="S186" s="126">
        <f t="shared" si="202"/>
        <v>0.52396089581876004</v>
      </c>
      <c r="T186" s="126">
        <f t="shared" si="203"/>
        <v>-0.52396089581876004</v>
      </c>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row>
    <row r="187" spans="2:60">
      <c r="B187" s="72">
        <f>'OPG hydro peers'!B19</f>
        <v>1</v>
      </c>
      <c r="C187" s="72">
        <f t="shared" si="183"/>
        <v>14</v>
      </c>
      <c r="D187" s="72" t="str">
        <f>'OPG hydro peers'!D19</f>
        <v>SEPA</v>
      </c>
      <c r="E187" s="73">
        <v>2002</v>
      </c>
      <c r="F187" s="375">
        <v>3412</v>
      </c>
      <c r="G187" s="75">
        <f>M187/(F187*8760)</f>
        <v>0.17938771700203954</v>
      </c>
      <c r="H187" s="127"/>
      <c r="I187" s="127"/>
      <c r="J187" s="374">
        <v>71519.58</v>
      </c>
      <c r="K187" s="75">
        <f>J187/$J$213</f>
        <v>0.13823000662654905</v>
      </c>
      <c r="L187" s="75"/>
      <c r="M187" s="375">
        <v>5361741</v>
      </c>
      <c r="N187" s="374">
        <v>165323.07</v>
      </c>
      <c r="O187" s="127">
        <f t="shared" ref="O187:O197" si="204">N187-J187</f>
        <v>93803.49</v>
      </c>
      <c r="P187" s="75">
        <f>O187/N187</f>
        <v>0.56739504051068013</v>
      </c>
      <c r="Q187" s="75">
        <f>1-P187</f>
        <v>0.43260495948931987</v>
      </c>
      <c r="R187" s="125">
        <f t="shared" ref="R187:R197" si="205">Q187*L187</f>
        <v>0</v>
      </c>
      <c r="S187" s="125">
        <f>Q187-R187</f>
        <v>0.43260495948931987</v>
      </c>
      <c r="T187" s="125">
        <f>R187-S187</f>
        <v>-0.43260495948931987</v>
      </c>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row>
    <row r="188" spans="2:60">
      <c r="B188" s="72">
        <f t="shared" ref="B188:D195" si="206">B187</f>
        <v>1</v>
      </c>
      <c r="C188" s="72">
        <f t="shared" si="183"/>
        <v>14</v>
      </c>
      <c r="D188" s="72" t="str">
        <f t="shared" si="206"/>
        <v>SEPA</v>
      </c>
      <c r="E188" s="73">
        <v>2003</v>
      </c>
      <c r="F188" s="375">
        <v>3412</v>
      </c>
      <c r="G188" s="75">
        <f t="shared" ref="G188:G199" si="207">M188/(F188*8760)</f>
        <v>0.31167187257436818</v>
      </c>
      <c r="H188" s="127"/>
      <c r="I188" s="127"/>
      <c r="J188" s="374">
        <v>82754.399999999994</v>
      </c>
      <c r="K188" s="75">
        <f>J188/$J$214</f>
        <v>0.14755369850911423</v>
      </c>
      <c r="L188" s="75"/>
      <c r="M188" s="375">
        <v>9315598</v>
      </c>
      <c r="N188" s="374">
        <v>211791.24</v>
      </c>
      <c r="O188" s="127">
        <f t="shared" si="204"/>
        <v>129036.84</v>
      </c>
      <c r="P188" s="75">
        <f t="shared" ref="P188:P197" si="208">O188/N188</f>
        <v>0.60926429251748093</v>
      </c>
      <c r="Q188" s="75">
        <f t="shared" ref="Q188:Q197" si="209">1-P188</f>
        <v>0.39073570748251907</v>
      </c>
      <c r="R188" s="125">
        <f t="shared" si="205"/>
        <v>0</v>
      </c>
      <c r="S188" s="125">
        <f t="shared" ref="S188:S197" si="210">Q188-R188</f>
        <v>0.39073570748251907</v>
      </c>
      <c r="T188" s="125">
        <f t="shared" ref="T188:T197" si="211">R188-S188</f>
        <v>-0.39073570748251907</v>
      </c>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row>
    <row r="189" spans="2:60">
      <c r="B189" s="72">
        <f t="shared" si="206"/>
        <v>1</v>
      </c>
      <c r="C189" s="72">
        <f t="shared" si="183"/>
        <v>14</v>
      </c>
      <c r="D189" s="72" t="str">
        <f t="shared" si="206"/>
        <v>SEPA</v>
      </c>
      <c r="E189" s="73">
        <v>2004</v>
      </c>
      <c r="F189" s="375">
        <v>3412</v>
      </c>
      <c r="G189" s="75">
        <f t="shared" si="207"/>
        <v>0.27881433110108295</v>
      </c>
      <c r="H189" s="127"/>
      <c r="I189" s="127"/>
      <c r="J189" s="374">
        <v>84330.03</v>
      </c>
      <c r="K189" s="75">
        <f>J189/$J$215</f>
        <v>0.14039035298083</v>
      </c>
      <c r="L189" s="75"/>
      <c r="M189" s="375">
        <v>8333515</v>
      </c>
      <c r="N189" s="374">
        <v>239578.16999999998</v>
      </c>
      <c r="O189" s="127">
        <f t="shared" si="204"/>
        <v>155248.13999999998</v>
      </c>
      <c r="P189" s="75">
        <f t="shared" si="208"/>
        <v>0.64800620190061553</v>
      </c>
      <c r="Q189" s="75">
        <f t="shared" si="209"/>
        <v>0.35199379809938447</v>
      </c>
      <c r="R189" s="125">
        <f t="shared" si="205"/>
        <v>0</v>
      </c>
      <c r="S189" s="125">
        <f t="shared" si="210"/>
        <v>0.35199379809938447</v>
      </c>
      <c r="T189" s="125">
        <f t="shared" si="211"/>
        <v>-0.35199379809938447</v>
      </c>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row>
    <row r="190" spans="2:60">
      <c r="B190" s="72">
        <f t="shared" si="206"/>
        <v>1</v>
      </c>
      <c r="C190" s="72">
        <f t="shared" si="183"/>
        <v>14</v>
      </c>
      <c r="D190" s="72" t="str">
        <f t="shared" si="206"/>
        <v>SEPA</v>
      </c>
      <c r="E190" s="73">
        <v>2005</v>
      </c>
      <c r="F190" s="375">
        <v>3392</v>
      </c>
      <c r="G190" s="75">
        <f t="shared" si="207"/>
        <v>0.3117265241341432</v>
      </c>
      <c r="H190" s="127"/>
      <c r="I190" s="127"/>
      <c r="J190" s="374">
        <v>83637.539999999994</v>
      </c>
      <c r="K190" s="75">
        <f>J190/$J$216</f>
        <v>0.13388800281926147</v>
      </c>
      <c r="L190" s="75"/>
      <c r="M190" s="375">
        <v>9262617</v>
      </c>
      <c r="N190" s="374">
        <v>246161.13</v>
      </c>
      <c r="O190" s="127">
        <f t="shared" si="204"/>
        <v>162523.59000000003</v>
      </c>
      <c r="P190" s="75">
        <f t="shared" si="208"/>
        <v>0.66023254768126882</v>
      </c>
      <c r="Q190" s="75">
        <f t="shared" si="209"/>
        <v>0.33976745231873118</v>
      </c>
      <c r="R190" s="125">
        <f t="shared" si="205"/>
        <v>0</v>
      </c>
      <c r="S190" s="125">
        <f t="shared" si="210"/>
        <v>0.33976745231873118</v>
      </c>
      <c r="T190" s="125">
        <f t="shared" si="211"/>
        <v>-0.33976745231873118</v>
      </c>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row>
    <row r="191" spans="2:60">
      <c r="B191" s="72">
        <f t="shared" si="206"/>
        <v>1</v>
      </c>
      <c r="C191" s="72">
        <f t="shared" si="183"/>
        <v>14</v>
      </c>
      <c r="D191" s="72" t="str">
        <f t="shared" si="206"/>
        <v>SEPA</v>
      </c>
      <c r="E191" s="73">
        <v>2006</v>
      </c>
      <c r="F191" s="375">
        <v>3392</v>
      </c>
      <c r="G191" s="75">
        <f t="shared" si="207"/>
        <v>0.190244841474972</v>
      </c>
      <c r="H191" s="127"/>
      <c r="I191" s="127"/>
      <c r="J191" s="374">
        <v>108053.04</v>
      </c>
      <c r="K191" s="75">
        <f>J191/$J$217</f>
        <v>0.16262451537958073</v>
      </c>
      <c r="L191" s="75"/>
      <c r="M191" s="375">
        <v>5652920</v>
      </c>
      <c r="N191" s="374">
        <v>219526.71</v>
      </c>
      <c r="O191" s="127">
        <f t="shared" si="204"/>
        <v>111473.67</v>
      </c>
      <c r="P191" s="75">
        <f t="shared" si="208"/>
        <v>0.50779091983841051</v>
      </c>
      <c r="Q191" s="75">
        <f t="shared" si="209"/>
        <v>0.49220908016158949</v>
      </c>
      <c r="R191" s="125">
        <f t="shared" si="205"/>
        <v>0</v>
      </c>
      <c r="S191" s="125">
        <f t="shared" si="210"/>
        <v>0.49220908016158949</v>
      </c>
      <c r="T191" s="125">
        <f t="shared" si="211"/>
        <v>-0.49220908016158949</v>
      </c>
      <c r="X191" s="240"/>
      <c r="Y191" s="240"/>
      <c r="Z191" s="240"/>
      <c r="AA191" s="240"/>
      <c r="AB191" s="240"/>
      <c r="AC191" s="240"/>
      <c r="AD191" s="240"/>
      <c r="AE191" s="240"/>
      <c r="AF191" s="240"/>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row>
    <row r="192" spans="2:60">
      <c r="B192" s="72">
        <f t="shared" si="206"/>
        <v>1</v>
      </c>
      <c r="C192" s="72">
        <f t="shared" si="183"/>
        <v>14</v>
      </c>
      <c r="D192" s="72" t="str">
        <f t="shared" si="206"/>
        <v>SEPA</v>
      </c>
      <c r="E192" s="73">
        <v>2007</v>
      </c>
      <c r="F192" s="375">
        <v>3392</v>
      </c>
      <c r="G192" s="75">
        <f t="shared" si="207"/>
        <v>0.17611237426768331</v>
      </c>
      <c r="H192" s="127"/>
      <c r="I192" s="127"/>
      <c r="J192" s="374">
        <v>96188.459999999992</v>
      </c>
      <c r="K192" s="75">
        <f>J192/$J$218</f>
        <v>0.13335934890951762</v>
      </c>
      <c r="L192" s="75"/>
      <c r="M192" s="375">
        <v>5232989</v>
      </c>
      <c r="N192" s="374">
        <v>216467.69999999998</v>
      </c>
      <c r="O192" s="127">
        <f t="shared" si="204"/>
        <v>120279.23999999999</v>
      </c>
      <c r="P192" s="75">
        <f t="shared" si="208"/>
        <v>0.55564520711404053</v>
      </c>
      <c r="Q192" s="75">
        <f t="shared" si="209"/>
        <v>0.44435479288595947</v>
      </c>
      <c r="R192" s="125">
        <f t="shared" si="205"/>
        <v>0</v>
      </c>
      <c r="S192" s="125">
        <f t="shared" si="210"/>
        <v>0.44435479288595947</v>
      </c>
      <c r="T192" s="125">
        <f t="shared" si="211"/>
        <v>-0.44435479288595947</v>
      </c>
      <c r="X192" s="240"/>
      <c r="Y192" s="240"/>
      <c r="Z192" s="240"/>
      <c r="AA192" s="240"/>
      <c r="AB192" s="240"/>
      <c r="AC192" s="240"/>
      <c r="AD192" s="240"/>
      <c r="AE192" s="240"/>
      <c r="AF192" s="240"/>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row>
    <row r="193" spans="2:60">
      <c r="B193" s="72">
        <f t="shared" si="206"/>
        <v>1</v>
      </c>
      <c r="C193" s="72">
        <f t="shared" si="183"/>
        <v>14</v>
      </c>
      <c r="D193" s="72" t="str">
        <f t="shared" si="206"/>
        <v>SEPA</v>
      </c>
      <c r="E193" s="73">
        <v>2008</v>
      </c>
      <c r="F193" s="375">
        <v>3392</v>
      </c>
      <c r="G193" s="75">
        <f t="shared" si="207"/>
        <v>0.14885000026923409</v>
      </c>
      <c r="H193" s="127"/>
      <c r="I193" s="127"/>
      <c r="J193" s="374">
        <v>99695.19</v>
      </c>
      <c r="K193" s="75">
        <f>J193/$J$219</f>
        <v>0.12754487914107107</v>
      </c>
      <c r="L193" s="75"/>
      <c r="M193" s="375">
        <v>4422917</v>
      </c>
      <c r="N193" s="374">
        <v>230546.28</v>
      </c>
      <c r="O193" s="127">
        <f t="shared" si="204"/>
        <v>130851.09</v>
      </c>
      <c r="P193" s="75">
        <f t="shared" si="208"/>
        <v>0.56756973046799974</v>
      </c>
      <c r="Q193" s="75">
        <f t="shared" si="209"/>
        <v>0.43243026953200026</v>
      </c>
      <c r="R193" s="125">
        <f t="shared" si="205"/>
        <v>0</v>
      </c>
      <c r="S193" s="125">
        <f t="shared" si="210"/>
        <v>0.43243026953200026</v>
      </c>
      <c r="T193" s="125">
        <f t="shared" si="211"/>
        <v>-0.43243026953200026</v>
      </c>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row>
    <row r="194" spans="2:60">
      <c r="B194" s="72">
        <f t="shared" si="206"/>
        <v>1</v>
      </c>
      <c r="C194" s="72">
        <f t="shared" si="183"/>
        <v>14</v>
      </c>
      <c r="D194" s="72" t="str">
        <f t="shared" si="206"/>
        <v>SEPA</v>
      </c>
      <c r="E194" s="73">
        <v>2009</v>
      </c>
      <c r="F194" s="375">
        <v>3392</v>
      </c>
      <c r="G194" s="75">
        <f t="shared" si="207"/>
        <v>0.20646986328293271</v>
      </c>
      <c r="H194" s="127"/>
      <c r="I194" s="127"/>
      <c r="J194" s="374">
        <v>111926.31</v>
      </c>
      <c r="K194" s="75">
        <f>J194/$J$220</f>
        <v>0.14316977144300402</v>
      </c>
      <c r="L194" s="75"/>
      <c r="M194" s="375">
        <v>6135029</v>
      </c>
      <c r="N194" s="374">
        <v>236135.4</v>
      </c>
      <c r="O194" s="127">
        <f t="shared" si="204"/>
        <v>124209.09</v>
      </c>
      <c r="P194" s="75">
        <f t="shared" si="208"/>
        <v>0.52600791749140541</v>
      </c>
      <c r="Q194" s="75">
        <f t="shared" si="209"/>
        <v>0.47399208250859459</v>
      </c>
      <c r="R194" s="125">
        <f t="shared" si="205"/>
        <v>0</v>
      </c>
      <c r="S194" s="125">
        <f t="shared" si="210"/>
        <v>0.47399208250859459</v>
      </c>
      <c r="T194" s="125">
        <f t="shared" si="211"/>
        <v>-0.47399208250859459</v>
      </c>
      <c r="X194" s="240"/>
      <c r="Y194" s="240"/>
      <c r="Z194" s="240"/>
      <c r="AA194" s="240"/>
      <c r="AB194" s="240"/>
      <c r="AC194" s="240"/>
      <c r="AD194" s="240"/>
      <c r="AE194" s="240"/>
      <c r="AF194" s="240"/>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row>
    <row r="195" spans="2:60">
      <c r="B195" s="72">
        <f t="shared" si="206"/>
        <v>1</v>
      </c>
      <c r="C195" s="72">
        <f t="shared" si="183"/>
        <v>14</v>
      </c>
      <c r="D195" s="72" t="str">
        <f t="shared" si="206"/>
        <v>SEPA</v>
      </c>
      <c r="E195" s="73">
        <v>2010</v>
      </c>
      <c r="F195" s="375">
        <v>3392</v>
      </c>
      <c r="G195" s="75">
        <f t="shared" si="207"/>
        <v>0.27678966625743084</v>
      </c>
      <c r="H195" s="127"/>
      <c r="I195" s="127"/>
      <c r="J195" s="374">
        <v>150046.47</v>
      </c>
      <c r="K195" s="75">
        <f>J195/$J$221</f>
        <v>0.17855116860748602</v>
      </c>
      <c r="L195" s="75"/>
      <c r="M195" s="375">
        <v>8224506</v>
      </c>
      <c r="N195" s="374">
        <v>255416.88</v>
      </c>
      <c r="O195" s="127">
        <f t="shared" si="204"/>
        <v>105370.41</v>
      </c>
      <c r="P195" s="75">
        <f t="shared" si="208"/>
        <v>0.41254285934430018</v>
      </c>
      <c r="Q195" s="75">
        <f t="shared" si="209"/>
        <v>0.58745714065569987</v>
      </c>
      <c r="R195" s="125">
        <f t="shared" si="205"/>
        <v>0</v>
      </c>
      <c r="S195" s="125">
        <f t="shared" si="210"/>
        <v>0.58745714065569987</v>
      </c>
      <c r="T195" s="125">
        <f t="shared" si="211"/>
        <v>-0.58745714065569987</v>
      </c>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row>
    <row r="196" spans="2:60">
      <c r="B196" s="72">
        <f t="shared" ref="B196:D199" si="212">B195</f>
        <v>1</v>
      </c>
      <c r="C196" s="72">
        <f t="shared" si="183"/>
        <v>14</v>
      </c>
      <c r="D196" s="72" t="str">
        <f t="shared" si="212"/>
        <v>SEPA</v>
      </c>
      <c r="E196" s="73">
        <v>2011</v>
      </c>
      <c r="F196" s="375">
        <v>3392</v>
      </c>
      <c r="G196" s="75">
        <f t="shared" si="207"/>
        <v>0.21911272561816145</v>
      </c>
      <c r="H196" s="127"/>
      <c r="I196" s="127"/>
      <c r="J196" s="374">
        <v>128499.33</v>
      </c>
      <c r="K196" s="75">
        <f>J196/$J$222</f>
        <v>0.15789751578865532</v>
      </c>
      <c r="L196" s="75"/>
      <c r="M196" s="375">
        <v>6510698</v>
      </c>
      <c r="N196" s="374">
        <v>274686.06</v>
      </c>
      <c r="O196" s="127">
        <f t="shared" si="204"/>
        <v>146186.72999999998</v>
      </c>
      <c r="P196" s="75">
        <f t="shared" si="208"/>
        <v>0.53219566366054394</v>
      </c>
      <c r="Q196" s="75">
        <f t="shared" si="209"/>
        <v>0.46780433633945606</v>
      </c>
      <c r="R196" s="125">
        <f t="shared" si="205"/>
        <v>0</v>
      </c>
      <c r="S196" s="125">
        <f t="shared" si="210"/>
        <v>0.46780433633945606</v>
      </c>
      <c r="T196" s="125">
        <f t="shared" si="211"/>
        <v>-0.46780433633945606</v>
      </c>
      <c r="X196" s="240"/>
      <c r="Y196" s="240"/>
      <c r="Z196" s="240"/>
      <c r="AA196" s="240"/>
      <c r="AB196" s="240"/>
      <c r="AC196" s="240"/>
      <c r="AD196" s="240"/>
      <c r="AE196" s="240"/>
      <c r="AF196" s="240"/>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row>
    <row r="197" spans="2:60">
      <c r="B197" s="72">
        <f t="shared" si="212"/>
        <v>1</v>
      </c>
      <c r="C197" s="72">
        <f t="shared" si="183"/>
        <v>14</v>
      </c>
      <c r="D197" s="72" t="str">
        <f t="shared" si="212"/>
        <v>SEPA</v>
      </c>
      <c r="E197" s="73">
        <v>2012</v>
      </c>
      <c r="F197" s="375">
        <v>3392</v>
      </c>
      <c r="G197" s="75">
        <f t="shared" si="207"/>
        <v>0.18907545689023864</v>
      </c>
      <c r="H197" s="127"/>
      <c r="I197" s="127"/>
      <c r="J197" s="374">
        <v>122088.56999999999</v>
      </c>
      <c r="K197" s="75">
        <f>J197/$J$223</f>
        <v>0.14796882777878767</v>
      </c>
      <c r="L197" s="75"/>
      <c r="M197" s="375">
        <v>5618173</v>
      </c>
      <c r="N197" s="374">
        <v>267661.52999999997</v>
      </c>
      <c r="O197" s="127">
        <f t="shared" si="204"/>
        <v>145572.95999999996</v>
      </c>
      <c r="P197" s="75">
        <f t="shared" si="208"/>
        <v>0.54386956541718934</v>
      </c>
      <c r="Q197" s="75">
        <f t="shared" si="209"/>
        <v>0.45613043458281066</v>
      </c>
      <c r="R197" s="125">
        <f t="shared" si="205"/>
        <v>0</v>
      </c>
      <c r="S197" s="125">
        <f t="shared" si="210"/>
        <v>0.45613043458281066</v>
      </c>
      <c r="T197" s="125">
        <f t="shared" si="211"/>
        <v>-0.45613043458281066</v>
      </c>
      <c r="X197" s="240"/>
      <c r="Y197" s="240"/>
      <c r="Z197" s="240"/>
      <c r="AA197" s="240"/>
      <c r="AB197" s="240"/>
      <c r="AC197" s="240"/>
      <c r="AD197" s="240"/>
      <c r="AE197" s="240"/>
      <c r="AF197" s="240"/>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row>
    <row r="198" spans="2:60">
      <c r="B198" s="72">
        <f t="shared" si="212"/>
        <v>1</v>
      </c>
      <c r="C198" s="72">
        <f t="shared" si="183"/>
        <v>14</v>
      </c>
      <c r="D198" s="72" t="str">
        <f t="shared" si="212"/>
        <v>SEPA</v>
      </c>
      <c r="E198" s="73">
        <v>2013</v>
      </c>
      <c r="F198" s="375">
        <v>3392</v>
      </c>
      <c r="G198" s="75">
        <f t="shared" si="207"/>
        <v>0.25776417248212286</v>
      </c>
      <c r="H198" s="127"/>
      <c r="I198" s="127"/>
      <c r="J198" s="374">
        <v>114310.05</v>
      </c>
      <c r="K198" s="75">
        <f>J198/$J$224</f>
        <v>0.1357694742834116</v>
      </c>
      <c r="L198" s="72"/>
      <c r="M198" s="375">
        <v>7659184</v>
      </c>
      <c r="N198" s="374">
        <v>317460.52429290005</v>
      </c>
      <c r="O198" s="127">
        <f>N198-J199</f>
        <v>193084.15429290006</v>
      </c>
      <c r="P198" s="75">
        <f t="shared" ref="P198:P199" si="213">O198/N198</f>
        <v>0.60821468975699777</v>
      </c>
      <c r="Q198" s="75">
        <f t="shared" ref="Q198:Q199" si="214">1-P198</f>
        <v>0.39178531024300223</v>
      </c>
      <c r="R198" s="125">
        <f t="shared" ref="R198:R199" si="215">Q198*L198</f>
        <v>0</v>
      </c>
      <c r="S198" s="125">
        <f t="shared" ref="S198:S199" si="216">Q198-R198</f>
        <v>0.39178531024300223</v>
      </c>
      <c r="T198" s="125">
        <f t="shared" ref="T198:T199" si="217">R198-S198</f>
        <v>-0.39178531024300223</v>
      </c>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row>
    <row r="199" spans="2:60">
      <c r="B199" s="72">
        <f t="shared" si="212"/>
        <v>1</v>
      </c>
      <c r="C199" s="72">
        <f t="shared" si="183"/>
        <v>14</v>
      </c>
      <c r="D199" s="72" t="str">
        <f t="shared" si="212"/>
        <v>SEPA</v>
      </c>
      <c r="E199" s="73">
        <v>2014</v>
      </c>
      <c r="F199" s="375">
        <v>3392</v>
      </c>
      <c r="G199" s="75">
        <f t="shared" si="207"/>
        <v>0.24900201656328078</v>
      </c>
      <c r="H199" s="127"/>
      <c r="I199" s="127"/>
      <c r="J199" s="374">
        <v>124376.37</v>
      </c>
      <c r="K199" s="75">
        <f>J199/$J$225</f>
        <v>0.1437317678303271</v>
      </c>
      <c r="L199" s="72"/>
      <c r="M199" s="375">
        <v>7398826</v>
      </c>
      <c r="N199" s="374">
        <v>312081.49910792091</v>
      </c>
      <c r="O199" s="127">
        <f>N199-J198</f>
        <v>197771.44910792093</v>
      </c>
      <c r="P199" s="75">
        <f t="shared" si="213"/>
        <v>0.63371731318020097</v>
      </c>
      <c r="Q199" s="75">
        <f t="shared" si="214"/>
        <v>0.36628268681979903</v>
      </c>
      <c r="R199" s="125">
        <f t="shared" si="215"/>
        <v>0</v>
      </c>
      <c r="S199" s="125">
        <f t="shared" si="216"/>
        <v>0.36628268681979903</v>
      </c>
      <c r="T199" s="125">
        <f t="shared" si="217"/>
        <v>-0.36628268681979903</v>
      </c>
      <c r="X199" s="240"/>
      <c r="Y199" s="240"/>
      <c r="Z199" s="240"/>
      <c r="AA199" s="240"/>
      <c r="AB199" s="240"/>
      <c r="AC199" s="240"/>
      <c r="AD199" s="240"/>
      <c r="AE199" s="240"/>
      <c r="AF199" s="240"/>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row>
    <row r="200" spans="2:60">
      <c r="B200" s="69">
        <f>'OPG hydro peers'!B20</f>
        <v>1</v>
      </c>
      <c r="C200" s="69">
        <f t="shared" si="183"/>
        <v>15</v>
      </c>
      <c r="D200" s="69" t="str">
        <f>'OPG hydro peers'!D20</f>
        <v>Seattle</v>
      </c>
      <c r="E200" s="70">
        <v>2002</v>
      </c>
      <c r="F200" s="373">
        <v>1928.7</v>
      </c>
      <c r="G200" s="76">
        <f>M200/(F200*8760)</f>
        <v>0.40790121010366603</v>
      </c>
      <c r="H200" s="71"/>
      <c r="I200" s="71"/>
      <c r="J200" s="373">
        <v>22811.579999999998</v>
      </c>
      <c r="K200" s="76">
        <f>J200/$J$213</f>
        <v>4.4089252964881136E-2</v>
      </c>
      <c r="L200" s="76"/>
      <c r="M200" s="373">
        <v>6891659</v>
      </c>
      <c r="N200" s="373">
        <v>181848.12</v>
      </c>
      <c r="O200" s="71">
        <f t="shared" ref="O200:O210" si="218">N200-J200</f>
        <v>159036.54</v>
      </c>
      <c r="P200" s="76">
        <f>O200/N200</f>
        <v>0.87455696545006911</v>
      </c>
      <c r="Q200" s="76">
        <f>1-P200</f>
        <v>0.12544303454993089</v>
      </c>
      <c r="R200" s="126">
        <f t="shared" ref="R200:R210" si="219">Q200*L200</f>
        <v>0</v>
      </c>
      <c r="S200" s="126">
        <f>Q200-R200</f>
        <v>0.12544303454993089</v>
      </c>
      <c r="T200" s="126">
        <f>R200-S200</f>
        <v>-0.12544303454993089</v>
      </c>
      <c r="X200" s="240"/>
      <c r="Y200" s="240"/>
      <c r="Z200" s="240"/>
      <c r="AA200" s="240"/>
      <c r="AB200" s="240"/>
      <c r="AC200" s="240"/>
      <c r="AD200" s="240"/>
      <c r="AE200" s="240"/>
      <c r="AF200" s="240"/>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row>
    <row r="201" spans="2:60">
      <c r="B201" s="69">
        <f t="shared" ref="B201:B212" si="220">B200</f>
        <v>1</v>
      </c>
      <c r="C201" s="69">
        <f t="shared" si="183"/>
        <v>15</v>
      </c>
      <c r="D201" s="69" t="str">
        <f t="shared" ref="D201:D212" si="221">D200</f>
        <v>Seattle</v>
      </c>
      <c r="E201" s="70">
        <v>2003</v>
      </c>
      <c r="F201" s="373">
        <v>1928.7</v>
      </c>
      <c r="G201" s="76">
        <f t="shared" ref="G201:G209" si="222">M201/(F201*8760)</f>
        <v>0.36097095471835788</v>
      </c>
      <c r="H201" s="71"/>
      <c r="I201" s="71"/>
      <c r="J201" s="373">
        <v>24859.53</v>
      </c>
      <c r="K201" s="76">
        <f>J201/$J$214</f>
        <v>4.4325324027462962E-2</v>
      </c>
      <c r="L201" s="76"/>
      <c r="M201" s="373">
        <v>6098753</v>
      </c>
      <c r="N201" s="373">
        <v>293020.44</v>
      </c>
      <c r="O201" s="71">
        <f t="shared" si="218"/>
        <v>268160.91000000003</v>
      </c>
      <c r="P201" s="76">
        <f t="shared" ref="P201:P210" si="223">O201/N201</f>
        <v>0.91516110616720125</v>
      </c>
      <c r="Q201" s="76">
        <f t="shared" ref="Q201:Q210" si="224">1-P201</f>
        <v>8.4838893832798745E-2</v>
      </c>
      <c r="R201" s="126">
        <f t="shared" si="219"/>
        <v>0</v>
      </c>
      <c r="S201" s="126">
        <f t="shared" ref="S201:S210" si="225">Q201-R201</f>
        <v>8.4838893832798745E-2</v>
      </c>
      <c r="T201" s="126">
        <f t="shared" ref="T201:T210" si="226">R201-S201</f>
        <v>-8.4838893832798745E-2</v>
      </c>
      <c r="X201" s="240"/>
      <c r="Y201" s="240"/>
      <c r="Z201" s="240"/>
      <c r="AA201" s="240"/>
      <c r="AB201" s="240"/>
      <c r="AC201" s="240"/>
      <c r="AD201" s="240"/>
      <c r="AE201" s="240"/>
      <c r="AF201" s="240"/>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row>
    <row r="202" spans="2:60">
      <c r="B202" s="69">
        <f t="shared" si="220"/>
        <v>1</v>
      </c>
      <c r="C202" s="69">
        <f t="shared" si="183"/>
        <v>15</v>
      </c>
      <c r="D202" s="69" t="str">
        <f t="shared" si="221"/>
        <v>Seattle</v>
      </c>
      <c r="E202" s="70">
        <v>2004</v>
      </c>
      <c r="F202" s="373">
        <v>1928.7</v>
      </c>
      <c r="G202" s="76">
        <f t="shared" si="222"/>
        <v>0.35629240648289606</v>
      </c>
      <c r="H202" s="69"/>
      <c r="I202" s="69"/>
      <c r="J202" s="373">
        <v>24949.32</v>
      </c>
      <c r="K202" s="76">
        <f>J202/$J$215</f>
        <v>4.1534953105455803E-2</v>
      </c>
      <c r="L202" s="69"/>
      <c r="M202" s="373">
        <v>6019707</v>
      </c>
      <c r="N202" s="373">
        <v>324412.5</v>
      </c>
      <c r="O202" s="71">
        <f t="shared" si="218"/>
        <v>299463.18</v>
      </c>
      <c r="P202" s="76">
        <f t="shared" si="223"/>
        <v>0.92309383886255925</v>
      </c>
      <c r="Q202" s="76">
        <f t="shared" si="224"/>
        <v>7.6906161137440754E-2</v>
      </c>
      <c r="R202" s="126">
        <f t="shared" si="219"/>
        <v>0</v>
      </c>
      <c r="S202" s="126">
        <f t="shared" si="225"/>
        <v>7.6906161137440754E-2</v>
      </c>
      <c r="T202" s="126">
        <f t="shared" si="226"/>
        <v>-7.6906161137440754E-2</v>
      </c>
      <c r="X202" s="240"/>
      <c r="Y202" s="240"/>
      <c r="Z202" s="240"/>
      <c r="AA202" s="240"/>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row>
    <row r="203" spans="2:60">
      <c r="B203" s="69">
        <f t="shared" si="220"/>
        <v>1</v>
      </c>
      <c r="C203" s="69">
        <f t="shared" si="183"/>
        <v>15</v>
      </c>
      <c r="D203" s="69" t="str">
        <f t="shared" si="221"/>
        <v>Seattle</v>
      </c>
      <c r="E203" s="70">
        <v>2005</v>
      </c>
      <c r="F203" s="373">
        <v>1928.6</v>
      </c>
      <c r="G203" s="76">
        <f t="shared" si="222"/>
        <v>0.32820037200193009</v>
      </c>
      <c r="H203" s="69"/>
      <c r="I203" s="69"/>
      <c r="J203" s="373">
        <v>23242.079999999998</v>
      </c>
      <c r="K203" s="76">
        <f>J203/$J$216</f>
        <v>3.7206207554233428E-2</v>
      </c>
      <c r="L203" s="69"/>
      <c r="M203" s="373">
        <v>5544793</v>
      </c>
      <c r="N203" s="373">
        <v>401320.71</v>
      </c>
      <c r="O203" s="71">
        <f t="shared" si="218"/>
        <v>378078.63</v>
      </c>
      <c r="P203" s="76">
        <f t="shared" si="223"/>
        <v>0.94208601893483146</v>
      </c>
      <c r="Q203" s="76">
        <f t="shared" si="224"/>
        <v>5.791398106516854E-2</v>
      </c>
      <c r="R203" s="126">
        <f t="shared" si="219"/>
        <v>0</v>
      </c>
      <c r="S203" s="126">
        <f t="shared" si="225"/>
        <v>5.791398106516854E-2</v>
      </c>
      <c r="T203" s="126">
        <f t="shared" si="226"/>
        <v>-5.791398106516854E-2</v>
      </c>
      <c r="X203" s="240"/>
      <c r="Y203" s="240"/>
      <c r="Z203" s="240"/>
      <c r="AA203" s="240"/>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row>
    <row r="204" spans="2:60">
      <c r="B204" s="69">
        <f t="shared" si="220"/>
        <v>1</v>
      </c>
      <c r="C204" s="69">
        <f t="shared" ref="C204:C238" si="227">IF(D204=D203,C203,C203+1)</f>
        <v>15</v>
      </c>
      <c r="D204" s="69" t="str">
        <f t="shared" si="221"/>
        <v>Seattle</v>
      </c>
      <c r="E204" s="70">
        <v>2006</v>
      </c>
      <c r="F204" s="373">
        <v>1928.6</v>
      </c>
      <c r="G204" s="76">
        <f t="shared" si="222"/>
        <v>0.39752740175876983</v>
      </c>
      <c r="H204" s="71"/>
      <c r="I204" s="71"/>
      <c r="J204" s="373">
        <v>24063.72</v>
      </c>
      <c r="K204" s="76">
        <f>J204/$J$217</f>
        <v>3.6216943116361415E-2</v>
      </c>
      <c r="L204" s="76"/>
      <c r="M204" s="373">
        <v>6716041</v>
      </c>
      <c r="N204" s="373">
        <v>387697.23</v>
      </c>
      <c r="O204" s="71">
        <f t="shared" si="218"/>
        <v>363633.51</v>
      </c>
      <c r="P204" s="76">
        <f t="shared" si="223"/>
        <v>0.9379316689985121</v>
      </c>
      <c r="Q204" s="76">
        <f t="shared" si="224"/>
        <v>6.2068331001487898E-2</v>
      </c>
      <c r="R204" s="126">
        <f t="shared" si="219"/>
        <v>0</v>
      </c>
      <c r="S204" s="126">
        <f t="shared" si="225"/>
        <v>6.2068331001487898E-2</v>
      </c>
      <c r="T204" s="126">
        <f t="shared" si="226"/>
        <v>-6.2068331001487898E-2</v>
      </c>
      <c r="X204" s="240"/>
      <c r="Y204" s="240"/>
      <c r="Z204" s="240"/>
      <c r="AA204" s="240"/>
      <c r="AB204" s="240"/>
      <c r="AC204" s="240"/>
      <c r="AD204" s="240"/>
      <c r="AE204" s="240"/>
      <c r="AF204" s="240"/>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row>
    <row r="205" spans="2:60">
      <c r="B205" s="69">
        <f t="shared" si="220"/>
        <v>1</v>
      </c>
      <c r="C205" s="69">
        <f t="shared" si="227"/>
        <v>15</v>
      </c>
      <c r="D205" s="69" t="str">
        <f t="shared" si="221"/>
        <v>Seattle</v>
      </c>
      <c r="E205" s="70">
        <v>2007</v>
      </c>
      <c r="F205" s="373">
        <v>1928.6</v>
      </c>
      <c r="G205" s="76">
        <f t="shared" si="222"/>
        <v>0.3865438506272087</v>
      </c>
      <c r="H205" s="71"/>
      <c r="I205" s="71"/>
      <c r="J205" s="373">
        <v>30718.02</v>
      </c>
      <c r="K205" s="76">
        <f>J205/$J$218</f>
        <v>4.2588634301760735E-2</v>
      </c>
      <c r="L205" s="76"/>
      <c r="M205" s="373">
        <v>6530479</v>
      </c>
      <c r="N205" s="373">
        <v>432000.6</v>
      </c>
      <c r="O205" s="71">
        <f t="shared" si="218"/>
        <v>401282.57999999996</v>
      </c>
      <c r="P205" s="76">
        <f t="shared" si="223"/>
        <v>0.92889357098115133</v>
      </c>
      <c r="Q205" s="76">
        <f t="shared" si="224"/>
        <v>7.1106429018848671E-2</v>
      </c>
      <c r="R205" s="126">
        <f t="shared" si="219"/>
        <v>0</v>
      </c>
      <c r="S205" s="126">
        <f t="shared" si="225"/>
        <v>7.1106429018848671E-2</v>
      </c>
      <c r="T205" s="126">
        <f t="shared" si="226"/>
        <v>-7.1106429018848671E-2</v>
      </c>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row>
    <row r="206" spans="2:60">
      <c r="B206" s="69">
        <f t="shared" si="220"/>
        <v>1</v>
      </c>
      <c r="C206" s="69">
        <f t="shared" si="227"/>
        <v>15</v>
      </c>
      <c r="D206" s="69" t="str">
        <f t="shared" si="221"/>
        <v>Seattle</v>
      </c>
      <c r="E206" s="70">
        <v>2008</v>
      </c>
      <c r="F206" s="373">
        <v>1928.6</v>
      </c>
      <c r="G206" s="76">
        <f t="shared" si="222"/>
        <v>0.37282610188288096</v>
      </c>
      <c r="H206" s="71"/>
      <c r="I206" s="71"/>
      <c r="J206" s="373">
        <v>34412.94</v>
      </c>
      <c r="K206" s="76">
        <f>J206/$J$219</f>
        <v>4.40261388055826E-2</v>
      </c>
      <c r="L206" s="76"/>
      <c r="M206" s="373">
        <v>6298724</v>
      </c>
      <c r="N206" s="373">
        <v>478724.61</v>
      </c>
      <c r="O206" s="71">
        <f t="shared" si="218"/>
        <v>444311.67</v>
      </c>
      <c r="P206" s="76">
        <f t="shared" si="223"/>
        <v>0.92811537305341374</v>
      </c>
      <c r="Q206" s="76">
        <f t="shared" si="224"/>
        <v>7.1884626946586261E-2</v>
      </c>
      <c r="R206" s="126">
        <f t="shared" si="219"/>
        <v>0</v>
      </c>
      <c r="S206" s="126">
        <f t="shared" si="225"/>
        <v>7.1884626946586261E-2</v>
      </c>
      <c r="T206" s="126">
        <f t="shared" si="226"/>
        <v>-7.1884626946586261E-2</v>
      </c>
      <c r="X206" s="240"/>
      <c r="Y206" s="240"/>
      <c r="Z206" s="240"/>
      <c r="AA206" s="240"/>
      <c r="AB206" s="240"/>
      <c r="AC206" s="240"/>
      <c r="AD206" s="240"/>
      <c r="AE206" s="240"/>
      <c r="AF206" s="240"/>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row>
    <row r="207" spans="2:60">
      <c r="B207" s="69">
        <f t="shared" si="220"/>
        <v>1</v>
      </c>
      <c r="C207" s="69">
        <f t="shared" si="227"/>
        <v>15</v>
      </c>
      <c r="D207" s="69" t="str">
        <f t="shared" si="221"/>
        <v>Seattle</v>
      </c>
      <c r="E207" s="70">
        <v>2009</v>
      </c>
      <c r="F207" s="373">
        <v>1928.6</v>
      </c>
      <c r="G207" s="76">
        <f t="shared" si="222"/>
        <v>0.34794575003421224</v>
      </c>
      <c r="H207" s="71"/>
      <c r="I207" s="71"/>
      <c r="J207" s="373">
        <v>35205.06</v>
      </c>
      <c r="K207" s="76">
        <f>J207/$J$220</f>
        <v>4.5032310935983172E-2</v>
      </c>
      <c r="L207" s="76"/>
      <c r="M207" s="373">
        <v>5878382</v>
      </c>
      <c r="N207" s="373">
        <v>239954.55</v>
      </c>
      <c r="O207" s="71">
        <f t="shared" si="218"/>
        <v>204749.49</v>
      </c>
      <c r="P207" s="76">
        <f t="shared" si="223"/>
        <v>0.8532844657457006</v>
      </c>
      <c r="Q207" s="76">
        <f t="shared" si="224"/>
        <v>0.1467155342542994</v>
      </c>
      <c r="R207" s="126">
        <f t="shared" si="219"/>
        <v>0</v>
      </c>
      <c r="S207" s="126">
        <f t="shared" si="225"/>
        <v>0.1467155342542994</v>
      </c>
      <c r="T207" s="126">
        <f t="shared" si="226"/>
        <v>-0.1467155342542994</v>
      </c>
      <c r="X207" s="240"/>
      <c r="Y207" s="240"/>
      <c r="Z207" s="240"/>
      <c r="AA207" s="240"/>
      <c r="AB207" s="240"/>
      <c r="AC207" s="240"/>
      <c r="AD207" s="240"/>
      <c r="AE207" s="240"/>
      <c r="AF207" s="240"/>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row>
    <row r="208" spans="2:60">
      <c r="B208" s="69">
        <f t="shared" si="220"/>
        <v>1</v>
      </c>
      <c r="C208" s="69">
        <f t="shared" si="227"/>
        <v>15</v>
      </c>
      <c r="D208" s="69" t="str">
        <f t="shared" si="221"/>
        <v>Seattle</v>
      </c>
      <c r="E208" s="70">
        <v>2010</v>
      </c>
      <c r="F208" s="373">
        <v>1928.6</v>
      </c>
      <c r="G208" s="76">
        <f t="shared" si="222"/>
        <v>0.32609306346146472</v>
      </c>
      <c r="H208" s="71"/>
      <c r="I208" s="71"/>
      <c r="J208" s="373">
        <v>27512.639999999999</v>
      </c>
      <c r="K208" s="76">
        <f>J208/$J$221</f>
        <v>3.2739284192937451E-2</v>
      </c>
      <c r="L208" s="76"/>
      <c r="M208" s="373">
        <v>5509191</v>
      </c>
      <c r="N208" s="373">
        <v>229894.38</v>
      </c>
      <c r="O208" s="71">
        <f t="shared" si="218"/>
        <v>202381.74</v>
      </c>
      <c r="P208" s="76">
        <f t="shared" si="223"/>
        <v>0.88032486918557984</v>
      </c>
      <c r="Q208" s="76">
        <f t="shared" si="224"/>
        <v>0.11967513081442016</v>
      </c>
      <c r="R208" s="126">
        <f t="shared" si="219"/>
        <v>0</v>
      </c>
      <c r="S208" s="126">
        <f t="shared" si="225"/>
        <v>0.11967513081442016</v>
      </c>
      <c r="T208" s="126">
        <f t="shared" si="226"/>
        <v>-0.11967513081442016</v>
      </c>
      <c r="X208" s="240"/>
      <c r="Y208" s="240"/>
      <c r="Z208" s="240"/>
      <c r="AA208" s="240"/>
      <c r="AB208" s="240"/>
      <c r="AC208" s="240"/>
      <c r="AD208" s="240"/>
      <c r="AE208" s="240"/>
      <c r="AF208" s="240"/>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row>
    <row r="209" spans="2:60">
      <c r="B209" s="69">
        <f t="shared" si="220"/>
        <v>1</v>
      </c>
      <c r="C209" s="69">
        <f t="shared" si="227"/>
        <v>15</v>
      </c>
      <c r="D209" s="69" t="str">
        <f t="shared" si="221"/>
        <v>Seattle</v>
      </c>
      <c r="E209" s="70">
        <v>2011</v>
      </c>
      <c r="F209" s="373">
        <v>1928.6</v>
      </c>
      <c r="G209" s="76">
        <f t="shared" si="222"/>
        <v>0.44670685244033931</v>
      </c>
      <c r="H209" s="71"/>
      <c r="I209" s="71"/>
      <c r="J209" s="373">
        <v>36035.31</v>
      </c>
      <c r="K209" s="76">
        <f>J209/$J$222</f>
        <v>4.4279498808858293E-2</v>
      </c>
      <c r="L209" s="76"/>
      <c r="M209" s="373">
        <v>7546905</v>
      </c>
      <c r="N209" s="373">
        <v>256800.63</v>
      </c>
      <c r="O209" s="71">
        <f t="shared" si="218"/>
        <v>220765.32</v>
      </c>
      <c r="P209" s="76">
        <f t="shared" si="223"/>
        <v>0.85967592836512907</v>
      </c>
      <c r="Q209" s="76">
        <f t="shared" si="224"/>
        <v>0.14032407163487093</v>
      </c>
      <c r="R209" s="126">
        <f t="shared" si="219"/>
        <v>0</v>
      </c>
      <c r="S209" s="126">
        <f t="shared" si="225"/>
        <v>0.14032407163487093</v>
      </c>
      <c r="T209" s="126">
        <f t="shared" si="226"/>
        <v>-0.14032407163487093</v>
      </c>
      <c r="X209" s="240"/>
      <c r="Y209" s="240"/>
      <c r="Z209" s="240"/>
      <c r="AA209" s="240"/>
      <c r="AB209" s="240"/>
      <c r="AC209" s="240"/>
      <c r="AD209" s="240"/>
      <c r="AE209" s="240"/>
      <c r="AF209" s="240"/>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row>
    <row r="210" spans="2:60">
      <c r="B210" s="69">
        <f t="shared" si="220"/>
        <v>1</v>
      </c>
      <c r="C210" s="69">
        <f t="shared" si="227"/>
        <v>15</v>
      </c>
      <c r="D210" s="69" t="str">
        <f t="shared" si="221"/>
        <v>Seattle</v>
      </c>
      <c r="E210" s="70">
        <v>2012</v>
      </c>
      <c r="F210" s="373">
        <v>1928.6</v>
      </c>
      <c r="G210" s="76">
        <f>M210/(F210*8760)</f>
        <v>0.41120324346285686</v>
      </c>
      <c r="H210" s="71"/>
      <c r="I210" s="71"/>
      <c r="J210" s="373">
        <v>39715.47</v>
      </c>
      <c r="K210" s="76">
        <f>J210/$J$223</f>
        <v>4.8134330188187226E-2</v>
      </c>
      <c r="L210" s="76"/>
      <c r="M210" s="373">
        <v>6947088</v>
      </c>
      <c r="N210" s="373">
        <v>177021.6</v>
      </c>
      <c r="O210" s="71">
        <f t="shared" si="218"/>
        <v>137306.13</v>
      </c>
      <c r="P210" s="76">
        <f t="shared" si="223"/>
        <v>0.77564619232907173</v>
      </c>
      <c r="Q210" s="76">
        <f t="shared" si="224"/>
        <v>0.22435380767092827</v>
      </c>
      <c r="R210" s="126">
        <f t="shared" si="219"/>
        <v>0</v>
      </c>
      <c r="S210" s="126">
        <f t="shared" si="225"/>
        <v>0.22435380767092827</v>
      </c>
      <c r="T210" s="126">
        <f t="shared" si="226"/>
        <v>-0.22435380767092827</v>
      </c>
      <c r="X210" s="240"/>
      <c r="Y210" s="240"/>
      <c r="Z210" s="240"/>
      <c r="AA210" s="240"/>
      <c r="AB210" s="240"/>
      <c r="AC210" s="240"/>
      <c r="AD210" s="240"/>
      <c r="AE210" s="240"/>
      <c r="AF210" s="240"/>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row>
    <row r="211" spans="2:60">
      <c r="B211" s="69">
        <f t="shared" si="220"/>
        <v>1</v>
      </c>
      <c r="C211" s="69">
        <f t="shared" si="227"/>
        <v>15</v>
      </c>
      <c r="D211" s="69" t="str">
        <f t="shared" si="221"/>
        <v>Seattle</v>
      </c>
      <c r="E211" s="70">
        <v>2013</v>
      </c>
      <c r="F211" s="373">
        <v>1928.6</v>
      </c>
      <c r="G211" s="76">
        <f t="shared" ref="G211:G212" si="228">M211/(F211*8760)</f>
        <v>0.36159075336546681</v>
      </c>
      <c r="H211" s="71"/>
      <c r="I211" s="71"/>
      <c r="J211" s="373">
        <v>49200</v>
      </c>
      <c r="K211" s="76">
        <f>J211/$J$224</f>
        <v>5.8436315396099038E-2</v>
      </c>
      <c r="L211" s="76"/>
      <c r="M211" s="373">
        <v>6108908</v>
      </c>
      <c r="N211" s="373">
        <v>267775.91109541967</v>
      </c>
      <c r="O211" s="71">
        <f t="shared" ref="O211:O212" si="229">N211-J211</f>
        <v>218575.91109541967</v>
      </c>
      <c r="P211" s="76">
        <f t="shared" ref="P211:P212" si="230">O211/N211</f>
        <v>0.81626427934188595</v>
      </c>
      <c r="Q211" s="76">
        <f t="shared" ref="Q211:Q212" si="231">1-P211</f>
        <v>0.18373572065811405</v>
      </c>
      <c r="R211" s="126">
        <f t="shared" ref="R211:R212" si="232">Q211*L211</f>
        <v>0</v>
      </c>
      <c r="S211" s="126">
        <f t="shared" ref="S211:S212" si="233">Q211-R211</f>
        <v>0.18373572065811405</v>
      </c>
      <c r="T211" s="126">
        <f t="shared" ref="T211:T212" si="234">R211-S211</f>
        <v>-0.18373572065811405</v>
      </c>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row>
    <row r="212" spans="2:60">
      <c r="B212" s="69">
        <f t="shared" si="220"/>
        <v>1</v>
      </c>
      <c r="C212" s="69">
        <f t="shared" si="227"/>
        <v>15</v>
      </c>
      <c r="D212" s="69" t="str">
        <f t="shared" si="221"/>
        <v>Seattle</v>
      </c>
      <c r="E212" s="70">
        <v>2014</v>
      </c>
      <c r="F212" s="373">
        <v>1928.6</v>
      </c>
      <c r="G212" s="76">
        <f t="shared" si="228"/>
        <v>0.41974328268027011</v>
      </c>
      <c r="H212" s="71"/>
      <c r="I212" s="71"/>
      <c r="J212" s="373">
        <v>43750</v>
      </c>
      <c r="K212" s="76">
        <f>J212/$J$225</f>
        <v>5.0558356403043521E-2</v>
      </c>
      <c r="L212" s="76"/>
      <c r="M212" s="373">
        <v>7091368</v>
      </c>
      <c r="N212" s="373">
        <v>331023.64445432753</v>
      </c>
      <c r="O212" s="71">
        <f t="shared" si="229"/>
        <v>287273.64445432753</v>
      </c>
      <c r="P212" s="76">
        <f t="shared" si="230"/>
        <v>0.86783421446489351</v>
      </c>
      <c r="Q212" s="76">
        <f t="shared" si="231"/>
        <v>0.13216578553510649</v>
      </c>
      <c r="R212" s="126">
        <f t="shared" si="232"/>
        <v>0</v>
      </c>
      <c r="S212" s="126">
        <f t="shared" si="233"/>
        <v>0.13216578553510649</v>
      </c>
      <c r="T212" s="126">
        <f t="shared" si="234"/>
        <v>-0.13216578553510649</v>
      </c>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row>
    <row r="213" spans="2:60" s="241" customFormat="1">
      <c r="B213" s="72">
        <f>'OPG hydro peers'!B23</f>
        <v>1</v>
      </c>
      <c r="C213" s="72">
        <f t="shared" si="227"/>
        <v>16</v>
      </c>
      <c r="D213" s="72" t="str">
        <f>'OPG hydro peers'!D22</f>
        <v>Peer Industry</v>
      </c>
      <c r="E213" s="73">
        <v>2002</v>
      </c>
      <c r="F213" s="127">
        <f t="shared" ref="F213:F225" si="235">SUMIF($E$5:$E$212,E213,$F$5:$F$212)</f>
        <v>30596.999999999996</v>
      </c>
      <c r="G213" s="75">
        <f t="shared" ref="G213:G225" si="236">M213/(F213*8760)</f>
        <v>0.34735578425407454</v>
      </c>
      <c r="H213" s="127"/>
      <c r="I213" s="127"/>
      <c r="J213" s="74">
        <f t="shared" ref="J213:K225" si="237">SUMIF($E$5:$E$212,$E213,J$5:J$212)</f>
        <v>517395.47545000003</v>
      </c>
      <c r="K213" s="75">
        <f t="shared" si="237"/>
        <v>0.99999999999999967</v>
      </c>
      <c r="L213" s="75"/>
      <c r="M213" s="127">
        <f t="shared" ref="M213:N225" si="238">SUMIF($E$5:$E$212,$E213,M$5:M$212)</f>
        <v>93101673.593999997</v>
      </c>
      <c r="N213" s="74">
        <f t="shared" si="238"/>
        <v>3580636.1040946147</v>
      </c>
      <c r="O213" s="127">
        <f>N213-J213</f>
        <v>3063240.6286446145</v>
      </c>
      <c r="P213" s="75">
        <f>O213/N213</f>
        <v>0.85550179900763001</v>
      </c>
      <c r="Q213" s="75">
        <f>1-P213</f>
        <v>0.14449820099236999</v>
      </c>
      <c r="R213" s="125">
        <f>Q213*L213</f>
        <v>0</v>
      </c>
      <c r="S213" s="125">
        <f>Q213-R213</f>
        <v>0.14449820099236999</v>
      </c>
      <c r="T213" s="125"/>
      <c r="U213"/>
      <c r="V213"/>
      <c r="W213"/>
      <c r="X213" s="239"/>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row>
    <row r="214" spans="2:60" s="241" customFormat="1">
      <c r="B214" s="72">
        <f t="shared" ref="B214:B225" si="239">B213</f>
        <v>1</v>
      </c>
      <c r="C214" s="72">
        <f t="shared" si="227"/>
        <v>16</v>
      </c>
      <c r="D214" s="72" t="str">
        <f t="shared" ref="D214:D225" si="240">D213</f>
        <v>Peer Industry</v>
      </c>
      <c r="E214" s="73">
        <v>2003</v>
      </c>
      <c r="F214" s="127">
        <f t="shared" si="235"/>
        <v>31284.499999999996</v>
      </c>
      <c r="G214" s="75">
        <f t="shared" si="236"/>
        <v>0.37469440537281551</v>
      </c>
      <c r="H214" s="127"/>
      <c r="I214" s="127"/>
      <c r="J214" s="74">
        <f t="shared" si="237"/>
        <v>560842.60060000012</v>
      </c>
      <c r="K214" s="75">
        <f t="shared" si="237"/>
        <v>0.99999999999999978</v>
      </c>
      <c r="L214" s="75"/>
      <c r="M214" s="127">
        <f t="shared" si="238"/>
        <v>102685833.61399999</v>
      </c>
      <c r="N214" s="74">
        <f t="shared" si="238"/>
        <v>4511026.4944742126</v>
      </c>
      <c r="O214" s="127">
        <f t="shared" ref="O214:O225" si="241">N214-J214</f>
        <v>3950183.8938742126</v>
      </c>
      <c r="P214" s="75">
        <f t="shared" ref="P214:P223" si="242">O214/N214</f>
        <v>0.87567295353130714</v>
      </c>
      <c r="Q214" s="75">
        <f t="shared" ref="Q214:Q223" si="243">1-P214</f>
        <v>0.12432704646869286</v>
      </c>
      <c r="R214" s="125">
        <f t="shared" ref="R214:R223" si="244">Q214*L214</f>
        <v>0</v>
      </c>
      <c r="S214" s="125">
        <f t="shared" ref="S214:S223" si="245">Q214-R214</f>
        <v>0.12432704646869286</v>
      </c>
      <c r="T214" s="125"/>
      <c r="U214"/>
      <c r="V214"/>
      <c r="W214"/>
      <c r="X214" s="239"/>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c r="AX214" s="240"/>
      <c r="AY214" s="240"/>
      <c r="AZ214" s="240"/>
      <c r="BA214" s="240"/>
      <c r="BB214" s="240"/>
      <c r="BC214" s="240"/>
      <c r="BD214" s="240"/>
      <c r="BE214" s="240"/>
      <c r="BF214" s="240"/>
      <c r="BG214" s="240"/>
      <c r="BH214" s="240"/>
    </row>
    <row r="215" spans="2:60" s="241" customFormat="1">
      <c r="B215" s="72">
        <f t="shared" si="239"/>
        <v>1</v>
      </c>
      <c r="C215" s="72">
        <f t="shared" si="227"/>
        <v>16</v>
      </c>
      <c r="D215" s="72" t="str">
        <f t="shared" si="240"/>
        <v>Peer Industry</v>
      </c>
      <c r="E215" s="73">
        <v>2004</v>
      </c>
      <c r="F215" s="127">
        <f t="shared" si="235"/>
        <v>31331.019999999997</v>
      </c>
      <c r="G215" s="75">
        <f t="shared" si="236"/>
        <v>0.36058477511057513</v>
      </c>
      <c r="H215" s="127"/>
      <c r="I215" s="127"/>
      <c r="J215" s="74">
        <f t="shared" si="237"/>
        <v>600682.51278999983</v>
      </c>
      <c r="K215" s="75">
        <f t="shared" si="237"/>
        <v>1.0000000000000002</v>
      </c>
      <c r="L215" s="75"/>
      <c r="M215" s="127">
        <f t="shared" si="238"/>
        <v>98966001.893999994</v>
      </c>
      <c r="N215" s="74">
        <f t="shared" si="238"/>
        <v>4375511.8059701808</v>
      </c>
      <c r="O215" s="127">
        <f t="shared" si="241"/>
        <v>3774829.2931801807</v>
      </c>
      <c r="P215" s="75">
        <f t="shared" si="242"/>
        <v>0.86271719985524964</v>
      </c>
      <c r="Q215" s="75">
        <f t="shared" si="243"/>
        <v>0.13728280014475036</v>
      </c>
      <c r="R215" s="125">
        <f t="shared" si="244"/>
        <v>0</v>
      </c>
      <c r="S215" s="125">
        <f t="shared" si="245"/>
        <v>0.13728280014475036</v>
      </c>
      <c r="T215" s="125"/>
      <c r="U215"/>
      <c r="V215"/>
      <c r="W215"/>
      <c r="X215" s="239"/>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c r="AX215" s="240"/>
      <c r="AY215" s="240"/>
      <c r="AZ215" s="240"/>
      <c r="BA215" s="240"/>
      <c r="BB215" s="240"/>
      <c r="BC215" s="240"/>
      <c r="BD215" s="240"/>
      <c r="BE215" s="240"/>
      <c r="BF215" s="240"/>
      <c r="BG215" s="240"/>
      <c r="BH215" s="240"/>
    </row>
    <row r="216" spans="2:60" s="241" customFormat="1">
      <c r="B216" s="72">
        <f t="shared" si="239"/>
        <v>1</v>
      </c>
      <c r="C216" s="72">
        <f t="shared" si="227"/>
        <v>16</v>
      </c>
      <c r="D216" s="72" t="str">
        <f t="shared" si="240"/>
        <v>Peer Industry</v>
      </c>
      <c r="E216" s="73">
        <v>2005</v>
      </c>
      <c r="F216" s="127">
        <f t="shared" si="235"/>
        <v>31309.42</v>
      </c>
      <c r="G216" s="75">
        <f t="shared" si="236"/>
        <v>0.36681591442803524</v>
      </c>
      <c r="H216" s="127"/>
      <c r="I216" s="127"/>
      <c r="J216" s="74">
        <f t="shared" si="237"/>
        <v>624682.85611000005</v>
      </c>
      <c r="K216" s="75">
        <f t="shared" si="237"/>
        <v>1</v>
      </c>
      <c r="L216" s="75"/>
      <c r="M216" s="127">
        <f t="shared" si="238"/>
        <v>100606791.301</v>
      </c>
      <c r="N216" s="74">
        <f t="shared" si="238"/>
        <v>5379311.2403839109</v>
      </c>
      <c r="O216" s="127">
        <f t="shared" si="241"/>
        <v>4754628.3842739109</v>
      </c>
      <c r="P216" s="75">
        <f t="shared" si="242"/>
        <v>0.88387307813306271</v>
      </c>
      <c r="Q216" s="75">
        <f t="shared" si="243"/>
        <v>0.11612692186693729</v>
      </c>
      <c r="R216" s="125">
        <f t="shared" si="244"/>
        <v>0</v>
      </c>
      <c r="S216" s="125">
        <f t="shared" si="245"/>
        <v>0.11612692186693729</v>
      </c>
      <c r="T216" s="125"/>
      <c r="U216"/>
      <c r="V216"/>
      <c r="W216"/>
      <c r="X216" s="239"/>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c r="AX216" s="240"/>
      <c r="AY216" s="240"/>
      <c r="AZ216" s="240"/>
      <c r="BA216" s="240"/>
      <c r="BB216" s="240"/>
      <c r="BC216" s="240"/>
      <c r="BD216" s="240"/>
      <c r="BE216" s="240"/>
      <c r="BF216" s="240"/>
      <c r="BG216" s="240"/>
      <c r="BH216" s="240"/>
    </row>
    <row r="217" spans="2:60" s="241" customFormat="1">
      <c r="B217" s="72">
        <f t="shared" si="239"/>
        <v>1</v>
      </c>
      <c r="C217" s="72">
        <f t="shared" si="227"/>
        <v>16</v>
      </c>
      <c r="D217" s="72" t="str">
        <f t="shared" si="240"/>
        <v>Peer Industry</v>
      </c>
      <c r="E217" s="73">
        <v>2006</v>
      </c>
      <c r="F217" s="127">
        <f t="shared" si="235"/>
        <v>31373.799999999996</v>
      </c>
      <c r="G217" s="75">
        <f t="shared" si="236"/>
        <v>0.37267145461016532</v>
      </c>
      <c r="H217" s="127"/>
      <c r="I217" s="127"/>
      <c r="J217" s="74">
        <f t="shared" si="237"/>
        <v>664432.66408999998</v>
      </c>
      <c r="K217" s="75">
        <f t="shared" si="237"/>
        <v>1.0000000000000002</v>
      </c>
      <c r="L217" s="75"/>
      <c r="M217" s="127">
        <f t="shared" si="238"/>
        <v>102422968.42</v>
      </c>
      <c r="N217" s="74">
        <f t="shared" si="238"/>
        <v>4612210.2487583999</v>
      </c>
      <c r="O217" s="127">
        <f t="shared" si="241"/>
        <v>3947777.5846683998</v>
      </c>
      <c r="P217" s="75">
        <f t="shared" si="242"/>
        <v>0.8559405082912549</v>
      </c>
      <c r="Q217" s="75">
        <f t="shared" si="243"/>
        <v>0.1440594917087451</v>
      </c>
      <c r="R217" s="125">
        <f t="shared" si="244"/>
        <v>0</v>
      </c>
      <c r="S217" s="125">
        <f t="shared" si="245"/>
        <v>0.1440594917087451</v>
      </c>
      <c r="T217" s="125"/>
      <c r="U217"/>
      <c r="V217"/>
      <c r="W217"/>
      <c r="X217" s="239"/>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c r="BF217" s="240"/>
      <c r="BG217" s="240"/>
      <c r="BH217" s="240"/>
    </row>
    <row r="218" spans="2:60" s="241" customFormat="1">
      <c r="B218" s="72">
        <f t="shared" si="239"/>
        <v>1</v>
      </c>
      <c r="C218" s="72">
        <f t="shared" si="227"/>
        <v>16</v>
      </c>
      <c r="D218" s="72" t="str">
        <f t="shared" si="240"/>
        <v>Peer Industry</v>
      </c>
      <c r="E218" s="73">
        <v>2007</v>
      </c>
      <c r="F218" s="127">
        <f t="shared" si="235"/>
        <v>30700.599999999995</v>
      </c>
      <c r="G218" s="75">
        <f t="shared" si="236"/>
        <v>0.31818192682087904</v>
      </c>
      <c r="H218" s="127"/>
      <c r="I218" s="127"/>
      <c r="J218" s="74">
        <f t="shared" si="237"/>
        <v>721272.71756000002</v>
      </c>
      <c r="K218" s="75">
        <f t="shared" si="237"/>
        <v>0.99999999999999989</v>
      </c>
      <c r="L218" s="75"/>
      <c r="M218" s="127">
        <f t="shared" si="238"/>
        <v>85570974.307999998</v>
      </c>
      <c r="N218" s="74">
        <f t="shared" si="238"/>
        <v>4096345.9821861805</v>
      </c>
      <c r="O218" s="127">
        <f t="shared" si="241"/>
        <v>3375073.2646261808</v>
      </c>
      <c r="P218" s="75">
        <f t="shared" si="242"/>
        <v>0.82392290087394826</v>
      </c>
      <c r="Q218" s="75">
        <f t="shared" si="243"/>
        <v>0.17607709912605174</v>
      </c>
      <c r="R218" s="125">
        <f t="shared" si="244"/>
        <v>0</v>
      </c>
      <c r="S218" s="125">
        <f t="shared" si="245"/>
        <v>0.17607709912605174</v>
      </c>
      <c r="T218" s="125"/>
      <c r="U218"/>
      <c r="V218"/>
      <c r="W218"/>
      <c r="X218" s="239"/>
      <c r="Y218" s="240"/>
      <c r="Z218" s="240"/>
      <c r="AA218" s="240"/>
      <c r="AB218" s="240"/>
      <c r="AC218" s="240"/>
      <c r="AD218" s="240"/>
      <c r="AE218" s="240"/>
      <c r="AF218" s="240"/>
      <c r="AG218" s="240"/>
      <c r="AH218" s="240"/>
      <c r="AI218" s="240"/>
      <c r="AJ218" s="240"/>
      <c r="AK218" s="240"/>
      <c r="AL218" s="240"/>
      <c r="AM218" s="240"/>
      <c r="AN218" s="240"/>
      <c r="AO218" s="240"/>
      <c r="AP218" s="240"/>
      <c r="AQ218" s="240"/>
      <c r="AR218" s="240"/>
      <c r="AS218" s="240"/>
      <c r="AT218" s="240"/>
      <c r="AU218" s="240"/>
      <c r="AV218" s="240"/>
      <c r="AW218" s="240"/>
      <c r="AX218" s="240"/>
      <c r="AY218" s="240"/>
      <c r="AZ218" s="240"/>
      <c r="BA218" s="240"/>
      <c r="BB218" s="240"/>
      <c r="BC218" s="240"/>
      <c r="BD218" s="240"/>
      <c r="BE218" s="240"/>
      <c r="BF218" s="240"/>
      <c r="BG218" s="240"/>
      <c r="BH218" s="240"/>
    </row>
    <row r="219" spans="2:60" s="241" customFormat="1">
      <c r="B219" s="72">
        <f t="shared" si="239"/>
        <v>1</v>
      </c>
      <c r="C219" s="72">
        <f t="shared" si="227"/>
        <v>16</v>
      </c>
      <c r="D219" s="72" t="str">
        <f t="shared" si="240"/>
        <v>Peer Industry</v>
      </c>
      <c r="E219" s="73">
        <v>2008</v>
      </c>
      <c r="F219" s="127">
        <f t="shared" si="235"/>
        <v>31026.799999999996</v>
      </c>
      <c r="G219" s="75">
        <f t="shared" si="236"/>
        <v>0.33158643121857306</v>
      </c>
      <c r="H219" s="127"/>
      <c r="I219" s="127"/>
      <c r="J219" s="74">
        <f t="shared" si="237"/>
        <v>781647.92402000003</v>
      </c>
      <c r="K219" s="75">
        <f t="shared" si="237"/>
        <v>1</v>
      </c>
      <c r="L219" s="75"/>
      <c r="M219" s="127">
        <f t="shared" si="238"/>
        <v>90123457.144999996</v>
      </c>
      <c r="N219" s="74">
        <f t="shared" si="238"/>
        <v>5034783.7758249938</v>
      </c>
      <c r="O219" s="127">
        <f t="shared" si="241"/>
        <v>4253135.851804994</v>
      </c>
      <c r="P219" s="75">
        <f t="shared" si="242"/>
        <v>0.84475044831653767</v>
      </c>
      <c r="Q219" s="75">
        <f t="shared" si="243"/>
        <v>0.15524955168346233</v>
      </c>
      <c r="R219" s="125">
        <f t="shared" si="244"/>
        <v>0</v>
      </c>
      <c r="S219" s="125">
        <f t="shared" si="245"/>
        <v>0.15524955168346233</v>
      </c>
      <c r="T219" s="125"/>
      <c r="U219"/>
      <c r="V219"/>
      <c r="W219"/>
      <c r="X219" s="239"/>
      <c r="Y219" s="240"/>
      <c r="Z219" s="240"/>
      <c r="AA219" s="240"/>
      <c r="AB219" s="240"/>
      <c r="AC219" s="240"/>
      <c r="AD219" s="240"/>
      <c r="AE219" s="240"/>
      <c r="AF219" s="240"/>
      <c r="AG219" s="240"/>
      <c r="AH219" s="240"/>
      <c r="AI219" s="240"/>
      <c r="AJ219" s="240"/>
      <c r="AK219" s="240"/>
      <c r="AL219" s="240"/>
      <c r="AM219" s="240"/>
      <c r="AN219" s="240"/>
      <c r="AO219" s="240"/>
      <c r="AP219" s="240"/>
      <c r="AQ219" s="240"/>
      <c r="AR219" s="240"/>
      <c r="AS219" s="240"/>
      <c r="AT219" s="240"/>
      <c r="AU219" s="240"/>
      <c r="AV219" s="240"/>
      <c r="AW219" s="240"/>
      <c r="AX219" s="240"/>
      <c r="AY219" s="240"/>
      <c r="AZ219" s="240"/>
      <c r="BA219" s="240"/>
      <c r="BB219" s="240"/>
      <c r="BC219" s="240"/>
      <c r="BD219" s="240"/>
      <c r="BE219" s="240"/>
      <c r="BF219" s="240"/>
      <c r="BG219" s="240"/>
      <c r="BH219" s="240"/>
    </row>
    <row r="220" spans="2:60" s="241" customFormat="1">
      <c r="B220" s="72">
        <f t="shared" si="239"/>
        <v>1</v>
      </c>
      <c r="C220" s="72">
        <f t="shared" si="227"/>
        <v>16</v>
      </c>
      <c r="D220" s="72" t="str">
        <f t="shared" si="240"/>
        <v>Peer Industry</v>
      </c>
      <c r="E220" s="73">
        <v>2009</v>
      </c>
      <c r="F220" s="127">
        <f t="shared" si="235"/>
        <v>31080.072999999993</v>
      </c>
      <c r="G220" s="75">
        <f t="shared" si="236"/>
        <v>0.36363696426894399</v>
      </c>
      <c r="H220" s="127"/>
      <c r="I220" s="127"/>
      <c r="J220" s="74">
        <f t="shared" si="237"/>
        <v>781773.3371499998</v>
      </c>
      <c r="K220" s="75">
        <f t="shared" si="237"/>
        <v>1.0000000000000002</v>
      </c>
      <c r="L220" s="75"/>
      <c r="M220" s="127">
        <f t="shared" si="238"/>
        <v>99004323.340000004</v>
      </c>
      <c r="N220" s="74">
        <f t="shared" si="238"/>
        <v>3516180.2057647663</v>
      </c>
      <c r="O220" s="127">
        <f t="shared" si="241"/>
        <v>2734406.8686147667</v>
      </c>
      <c r="P220" s="75">
        <f t="shared" si="242"/>
        <v>0.7776640298843942</v>
      </c>
      <c r="Q220" s="75">
        <f t="shared" si="243"/>
        <v>0.2223359701156058</v>
      </c>
      <c r="R220" s="125">
        <f t="shared" si="244"/>
        <v>0</v>
      </c>
      <c r="S220" s="125">
        <f t="shared" si="245"/>
        <v>0.2223359701156058</v>
      </c>
      <c r="T220" s="125"/>
      <c r="U220"/>
      <c r="V220"/>
      <c r="W220"/>
      <c r="X220" s="239"/>
      <c r="Y220" s="240"/>
      <c r="Z220" s="240"/>
      <c r="AA220" s="240"/>
      <c r="AB220" s="240"/>
      <c r="AC220" s="240"/>
      <c r="AD220" s="240"/>
      <c r="AE220" s="240"/>
      <c r="AF220" s="240"/>
      <c r="AG220" s="240"/>
      <c r="AH220" s="240"/>
      <c r="AI220" s="240"/>
      <c r="AJ220" s="240"/>
      <c r="AK220" s="240"/>
      <c r="AL220" s="240"/>
      <c r="AM220" s="240"/>
      <c r="AN220" s="240"/>
      <c r="AO220" s="240"/>
      <c r="AP220" s="240"/>
      <c r="AQ220" s="240"/>
      <c r="AR220" s="240"/>
      <c r="AS220" s="240"/>
      <c r="AT220" s="240"/>
      <c r="AU220" s="240"/>
      <c r="AV220" s="240"/>
      <c r="AW220" s="240"/>
      <c r="AX220" s="240"/>
      <c r="AY220" s="240"/>
      <c r="AZ220" s="240"/>
      <c r="BA220" s="240"/>
      <c r="BB220" s="240"/>
      <c r="BC220" s="240"/>
      <c r="BD220" s="240"/>
      <c r="BE220" s="240"/>
      <c r="BF220" s="240"/>
      <c r="BG220" s="240"/>
      <c r="BH220" s="240"/>
    </row>
    <row r="221" spans="2:60" s="241" customFormat="1">
      <c r="B221" s="72">
        <f t="shared" si="239"/>
        <v>1</v>
      </c>
      <c r="C221" s="72">
        <f t="shared" si="227"/>
        <v>16</v>
      </c>
      <c r="D221" s="72" t="str">
        <f t="shared" si="240"/>
        <v>Peer Industry</v>
      </c>
      <c r="E221" s="73">
        <v>2010</v>
      </c>
      <c r="F221" s="127">
        <f t="shared" si="235"/>
        <v>31084.619999999995</v>
      </c>
      <c r="G221" s="75">
        <f t="shared" si="236"/>
        <v>0.34705433343566411</v>
      </c>
      <c r="H221" s="127"/>
      <c r="I221" s="127"/>
      <c r="J221" s="74">
        <f t="shared" si="237"/>
        <v>840355.57521245535</v>
      </c>
      <c r="K221" s="75">
        <f t="shared" si="237"/>
        <v>1</v>
      </c>
      <c r="L221" s="75"/>
      <c r="M221" s="127">
        <f t="shared" si="238"/>
        <v>94503336.170000002</v>
      </c>
      <c r="N221" s="74">
        <f t="shared" si="238"/>
        <v>3422343.089991231</v>
      </c>
      <c r="O221" s="127">
        <f t="shared" si="241"/>
        <v>2581987.5147787756</v>
      </c>
      <c r="P221" s="75">
        <f t="shared" si="242"/>
        <v>0.75445022514834759</v>
      </c>
      <c r="Q221" s="75">
        <f t="shared" si="243"/>
        <v>0.24554977485165241</v>
      </c>
      <c r="R221" s="125">
        <f t="shared" si="244"/>
        <v>0</v>
      </c>
      <c r="S221" s="125">
        <f t="shared" si="245"/>
        <v>0.24554977485165241</v>
      </c>
      <c r="T221" s="125"/>
      <c r="U221"/>
      <c r="V221"/>
      <c r="W221"/>
      <c r="X221" s="239"/>
      <c r="Y221" s="240"/>
      <c r="Z221" s="240"/>
      <c r="AA221" s="240"/>
      <c r="AB221" s="240"/>
      <c r="AC221" s="240"/>
      <c r="AD221" s="240"/>
      <c r="AE221" s="240"/>
      <c r="AF221" s="240"/>
      <c r="AG221" s="240"/>
      <c r="AH221" s="240"/>
      <c r="AI221" s="240"/>
      <c r="AJ221" s="240"/>
      <c r="AK221" s="240"/>
      <c r="AL221" s="240"/>
      <c r="AM221" s="240"/>
      <c r="AN221" s="240"/>
      <c r="AO221" s="240"/>
      <c r="AP221" s="240"/>
      <c r="AQ221" s="240"/>
      <c r="AR221" s="240"/>
      <c r="AS221" s="240"/>
      <c r="AT221" s="240"/>
      <c r="AU221" s="240"/>
      <c r="AV221" s="240"/>
      <c r="AW221" s="240"/>
      <c r="AX221" s="240"/>
      <c r="AY221" s="240"/>
      <c r="AZ221" s="240"/>
      <c r="BA221" s="240"/>
      <c r="BB221" s="240"/>
      <c r="BC221" s="240"/>
      <c r="BD221" s="240"/>
      <c r="BE221" s="240"/>
      <c r="BF221" s="240"/>
      <c r="BG221" s="240"/>
      <c r="BH221" s="240"/>
    </row>
    <row r="222" spans="2:60" s="241" customFormat="1">
      <c r="B222" s="72">
        <f t="shared" si="239"/>
        <v>1</v>
      </c>
      <c r="C222" s="72">
        <f t="shared" si="227"/>
        <v>16</v>
      </c>
      <c r="D222" s="72" t="str">
        <f t="shared" si="240"/>
        <v>Peer Industry</v>
      </c>
      <c r="E222" s="73">
        <v>2011</v>
      </c>
      <c r="F222" s="127">
        <f t="shared" si="235"/>
        <v>30703.879999999997</v>
      </c>
      <c r="G222" s="75">
        <f t="shared" si="236"/>
        <v>0.37194663826581192</v>
      </c>
      <c r="H222" s="127"/>
      <c r="I222" s="127"/>
      <c r="J222" s="74">
        <f t="shared" si="237"/>
        <v>813814.76686432119</v>
      </c>
      <c r="K222" s="75">
        <f t="shared" si="237"/>
        <v>1.0000000000000002</v>
      </c>
      <c r="L222" s="75"/>
      <c r="M222" s="127">
        <f t="shared" si="238"/>
        <v>100040995.34200001</v>
      </c>
      <c r="N222" s="74">
        <f t="shared" si="238"/>
        <v>3339014.882398806</v>
      </c>
      <c r="O222" s="127">
        <f t="shared" si="241"/>
        <v>2525200.1155344849</v>
      </c>
      <c r="P222" s="75">
        <f t="shared" si="242"/>
        <v>0.7562709974267432</v>
      </c>
      <c r="Q222" s="75">
        <f t="shared" si="243"/>
        <v>0.2437290025732568</v>
      </c>
      <c r="R222" s="125">
        <f t="shared" si="244"/>
        <v>0</v>
      </c>
      <c r="S222" s="125">
        <f t="shared" si="245"/>
        <v>0.2437290025732568</v>
      </c>
      <c r="T222" s="125"/>
      <c r="U222"/>
      <c r="V222"/>
      <c r="W222"/>
      <c r="X222" s="239"/>
      <c r="Y222" s="240"/>
      <c r="Z222" s="240"/>
      <c r="AA222" s="240"/>
      <c r="AB222" s="240"/>
      <c r="AC222" s="240"/>
      <c r="AD222" s="240"/>
      <c r="AE222" s="240"/>
      <c r="AF222" s="240"/>
      <c r="AG222" s="240"/>
      <c r="AH222" s="240"/>
      <c r="AI222" s="240"/>
      <c r="AJ222" s="240"/>
      <c r="AK222" s="240"/>
      <c r="AL222" s="240"/>
      <c r="AM222" s="240"/>
      <c r="AN222" s="240"/>
      <c r="AO222" s="240"/>
      <c r="AP222" s="240"/>
      <c r="AQ222" s="240"/>
      <c r="AR222" s="240"/>
      <c r="AS222" s="240"/>
      <c r="AT222" s="240"/>
      <c r="AU222" s="240"/>
      <c r="AV222" s="240"/>
      <c r="AW222" s="240"/>
      <c r="AX222" s="240"/>
      <c r="AY222" s="240"/>
      <c r="AZ222" s="240"/>
      <c r="BA222" s="240"/>
      <c r="BB222" s="240"/>
      <c r="BC222" s="240"/>
      <c r="BD222" s="240"/>
      <c r="BE222" s="240"/>
      <c r="BF222" s="240"/>
      <c r="BG222" s="240"/>
      <c r="BH222" s="240"/>
    </row>
    <row r="223" spans="2:60" s="241" customFormat="1">
      <c r="B223" s="72">
        <f t="shared" si="239"/>
        <v>1</v>
      </c>
      <c r="C223" s="72">
        <f t="shared" si="227"/>
        <v>16</v>
      </c>
      <c r="D223" s="72" t="str">
        <f t="shared" si="240"/>
        <v>Peer Industry</v>
      </c>
      <c r="E223" s="73">
        <v>2012</v>
      </c>
      <c r="F223" s="127">
        <f t="shared" si="235"/>
        <v>30801.859999999997</v>
      </c>
      <c r="G223" s="75">
        <f t="shared" si="236"/>
        <v>0.32110114314406568</v>
      </c>
      <c r="H223" s="127"/>
      <c r="I223" s="127"/>
      <c r="J223" s="74">
        <f t="shared" si="237"/>
        <v>825096.55467786442</v>
      </c>
      <c r="K223" s="75">
        <f t="shared" si="237"/>
        <v>0.99999999999999989</v>
      </c>
      <c r="L223" s="75"/>
      <c r="M223" s="127">
        <f t="shared" si="238"/>
        <v>86640889.122999996</v>
      </c>
      <c r="N223" s="74">
        <f t="shared" si="238"/>
        <v>2470493.8921806784</v>
      </c>
      <c r="O223" s="127">
        <f t="shared" si="241"/>
        <v>1645397.3375028139</v>
      </c>
      <c r="P223" s="75">
        <f t="shared" si="242"/>
        <v>0.66601959337387362</v>
      </c>
      <c r="Q223" s="75">
        <f t="shared" si="243"/>
        <v>0.33398040662612638</v>
      </c>
      <c r="R223" s="125">
        <f t="shared" si="244"/>
        <v>0</v>
      </c>
      <c r="S223" s="125">
        <f t="shared" si="245"/>
        <v>0.33398040662612638</v>
      </c>
      <c r="T223" s="125"/>
      <c r="U223"/>
      <c r="V223"/>
      <c r="W223"/>
      <c r="X223" s="239"/>
      <c r="Y223" s="240"/>
      <c r="Z223" s="240"/>
      <c r="AA223" s="240"/>
      <c r="AB223" s="240"/>
      <c r="AC223" s="240"/>
      <c r="AD223" s="240"/>
      <c r="AE223" s="240"/>
      <c r="AF223" s="240"/>
      <c r="AG223" s="240"/>
      <c r="AH223" s="240"/>
      <c r="AI223" s="240"/>
      <c r="AJ223" s="240"/>
      <c r="AK223" s="240"/>
      <c r="AL223" s="240"/>
      <c r="AM223" s="240"/>
      <c r="AN223" s="240"/>
      <c r="AO223" s="240"/>
      <c r="AP223" s="240"/>
      <c r="AQ223" s="240"/>
      <c r="AR223" s="240"/>
      <c r="AS223" s="240"/>
      <c r="AT223" s="240"/>
      <c r="AU223" s="240"/>
      <c r="AV223" s="240"/>
      <c r="AW223" s="240"/>
      <c r="AX223" s="240"/>
      <c r="AY223" s="240"/>
      <c r="AZ223" s="240"/>
      <c r="BA223" s="240"/>
      <c r="BB223" s="240"/>
      <c r="BC223" s="240"/>
      <c r="BD223" s="240"/>
      <c r="BE223" s="240"/>
      <c r="BF223" s="240"/>
      <c r="BG223" s="240"/>
      <c r="BH223" s="240"/>
    </row>
    <row r="224" spans="2:60" s="241" customFormat="1">
      <c r="B224" s="72">
        <f t="shared" si="239"/>
        <v>1</v>
      </c>
      <c r="C224" s="72">
        <f t="shared" si="227"/>
        <v>16</v>
      </c>
      <c r="D224" s="72" t="str">
        <f t="shared" si="240"/>
        <v>Peer Industry</v>
      </c>
      <c r="E224" s="73">
        <v>2013</v>
      </c>
      <c r="F224" s="127">
        <f t="shared" si="235"/>
        <v>30961.65</v>
      </c>
      <c r="G224" s="75">
        <f t="shared" si="236"/>
        <v>0.32771082085514441</v>
      </c>
      <c r="H224" s="127"/>
      <c r="I224" s="127"/>
      <c r="J224" s="74">
        <f t="shared" si="237"/>
        <v>841942.20095000009</v>
      </c>
      <c r="K224" s="125">
        <f t="shared" si="237"/>
        <v>0.99999999999999978</v>
      </c>
      <c r="L224" s="72"/>
      <c r="M224" s="127">
        <f t="shared" si="238"/>
        <v>88883057.372000009</v>
      </c>
      <c r="N224" s="74">
        <f t="shared" si="238"/>
        <v>3327949.5758225247</v>
      </c>
      <c r="O224" s="127">
        <f t="shared" si="241"/>
        <v>2486007.3748725248</v>
      </c>
      <c r="P224" s="75">
        <f t="shared" ref="P224:P225" si="246">O224/N224</f>
        <v>0.74700872661452256</v>
      </c>
      <c r="Q224" s="75">
        <f t="shared" ref="Q224:Q225" si="247">1-P224</f>
        <v>0.25299127338547744</v>
      </c>
      <c r="R224" s="125">
        <f t="shared" ref="R224:R225" si="248">Q224*L224</f>
        <v>0</v>
      </c>
      <c r="S224" s="125">
        <f t="shared" ref="S224:S225" si="249">Q224-R224</f>
        <v>0.25299127338547744</v>
      </c>
      <c r="T224" s="75"/>
      <c r="U224"/>
      <c r="V224"/>
      <c r="W224"/>
      <c r="X224" s="239"/>
      <c r="Y224" s="240"/>
      <c r="Z224" s="240"/>
      <c r="AA224" s="240"/>
      <c r="AB224" s="240"/>
      <c r="AC224" s="240"/>
      <c r="AD224" s="240"/>
      <c r="AE224" s="240"/>
      <c r="AF224" s="240"/>
      <c r="AG224" s="240"/>
      <c r="AH224" s="240"/>
      <c r="AI224" s="240"/>
      <c r="AJ224" s="240"/>
      <c r="AK224" s="240"/>
      <c r="AL224" s="240"/>
      <c r="AM224" s="240"/>
      <c r="AN224" s="240"/>
      <c r="AO224" s="240"/>
      <c r="AP224" s="240"/>
      <c r="AQ224" s="240"/>
      <c r="AR224" s="240"/>
      <c r="AS224" s="240"/>
      <c r="AT224" s="240"/>
      <c r="AU224" s="240"/>
      <c r="AV224" s="240"/>
      <c r="AW224" s="240"/>
      <c r="AX224" s="240"/>
      <c r="AY224" s="240"/>
      <c r="AZ224" s="240"/>
      <c r="BA224" s="240"/>
      <c r="BB224" s="240"/>
      <c r="BC224" s="240"/>
      <c r="BD224" s="240"/>
      <c r="BE224" s="240"/>
      <c r="BF224" s="240"/>
      <c r="BG224" s="240"/>
      <c r="BH224" s="240"/>
    </row>
    <row r="225" spans="2:60" s="241" customFormat="1">
      <c r="B225" s="72">
        <f t="shared" si="239"/>
        <v>1</v>
      </c>
      <c r="C225" s="72">
        <f t="shared" si="227"/>
        <v>16</v>
      </c>
      <c r="D225" s="72" t="str">
        <f t="shared" si="240"/>
        <v>Peer Industry</v>
      </c>
      <c r="E225" s="73">
        <v>2014</v>
      </c>
      <c r="F225" s="127">
        <f t="shared" si="235"/>
        <v>31168.479999999996</v>
      </c>
      <c r="G225" s="75">
        <f t="shared" si="236"/>
        <v>0.31592783421924769</v>
      </c>
      <c r="H225" s="127"/>
      <c r="I225" s="127"/>
      <c r="J225" s="74">
        <f t="shared" si="237"/>
        <v>865336.674539648</v>
      </c>
      <c r="K225" s="125">
        <f t="shared" si="237"/>
        <v>0.99999999999999967</v>
      </c>
      <c r="L225" s="72"/>
      <c r="M225" s="127">
        <f t="shared" si="238"/>
        <v>86259635.748999998</v>
      </c>
      <c r="N225" s="74">
        <f t="shared" si="238"/>
        <v>3620717.7099698973</v>
      </c>
      <c r="O225" s="127">
        <f t="shared" si="241"/>
        <v>2755381.0354302493</v>
      </c>
      <c r="P225" s="75">
        <f t="shared" si="246"/>
        <v>0.76100410364583704</v>
      </c>
      <c r="Q225" s="75">
        <f t="shared" si="247"/>
        <v>0.23899589635416296</v>
      </c>
      <c r="R225" s="125">
        <f t="shared" si="248"/>
        <v>0</v>
      </c>
      <c r="S225" s="125">
        <f t="shared" si="249"/>
        <v>0.23899589635416296</v>
      </c>
      <c r="T225" s="75"/>
      <c r="U225"/>
      <c r="V225"/>
      <c r="W225"/>
      <c r="X225" s="239"/>
      <c r="Y225" s="240"/>
      <c r="Z225" s="240"/>
      <c r="AA225" s="240"/>
      <c r="AB225" s="240"/>
      <c r="AC225" s="240"/>
      <c r="AD225" s="240"/>
      <c r="AE225" s="240"/>
      <c r="AF225" s="240"/>
      <c r="AG225" s="240"/>
      <c r="AH225" s="240"/>
      <c r="AI225" s="240"/>
      <c r="AJ225" s="240"/>
      <c r="AK225" s="240"/>
      <c r="AL225" s="240"/>
      <c r="AM225" s="240"/>
      <c r="AN225" s="240"/>
      <c r="AO225" s="240"/>
      <c r="AP225" s="240"/>
      <c r="AQ225" s="240"/>
      <c r="AR225" s="240"/>
      <c r="AS225" s="240"/>
      <c r="AT225" s="240"/>
      <c r="AU225" s="240"/>
      <c r="AV225" s="240"/>
      <c r="AW225" s="240"/>
      <c r="AX225" s="240"/>
      <c r="AY225" s="240"/>
      <c r="AZ225" s="240"/>
      <c r="BA225" s="240"/>
      <c r="BB225" s="240"/>
      <c r="BC225" s="240"/>
      <c r="BD225" s="240"/>
      <c r="BE225" s="240"/>
      <c r="BF225" s="240"/>
      <c r="BG225" s="240"/>
      <c r="BH225" s="240"/>
    </row>
    <row r="226" spans="2:60" s="237" customFormat="1">
      <c r="B226" s="69">
        <f>'OPG hydro peers'!B23</f>
        <v>1</v>
      </c>
      <c r="C226" s="69">
        <f t="shared" si="227"/>
        <v>17</v>
      </c>
      <c r="D226" s="69" t="str">
        <f>'OPG hydro peers'!D23</f>
        <v>Peer Industry less OPG</v>
      </c>
      <c r="E226" s="70">
        <v>2002</v>
      </c>
      <c r="F226" s="138">
        <f t="shared" ref="F226:F238" si="250">F213-F5</f>
        <v>23698.489999999998</v>
      </c>
      <c r="G226" s="76">
        <f t="shared" ref="G226:G235" si="251">M226/(F226*8760)</f>
        <v>0.28479896056456644</v>
      </c>
      <c r="H226" s="138"/>
      <c r="I226" s="138"/>
      <c r="J226" s="71">
        <f t="shared" ref="J226:K238" si="252">SUMIF($E$5:$E$212,$E226,J$5:J$212)-J5</f>
        <v>399506.35545000003</v>
      </c>
      <c r="K226" s="76">
        <f t="shared" si="252"/>
        <v>0.77214891588012602</v>
      </c>
      <c r="L226" s="69"/>
      <c r="M226" s="138">
        <f t="shared" ref="M226:N238" si="253">M213-M5</f>
        <v>59123914.593999997</v>
      </c>
      <c r="N226" s="71">
        <f t="shared" si="253"/>
        <v>1454346.3295986149</v>
      </c>
      <c r="O226" s="138">
        <f>N226-J226</f>
        <v>1054839.9741486148</v>
      </c>
      <c r="P226" s="76">
        <f>O226/N226</f>
        <v>0.72530177488036163</v>
      </c>
      <c r="Q226" s="76">
        <f>1-P226</f>
        <v>0.27469822511963837</v>
      </c>
      <c r="R226" s="76">
        <f t="shared" ref="R226:R236" si="254">Q226*L226</f>
        <v>0</v>
      </c>
      <c r="S226" s="76">
        <f>Q226-R226</f>
        <v>0.27469822511963837</v>
      </c>
      <c r="T226" s="76">
        <f>R226-S226</f>
        <v>-0.27469822511963837</v>
      </c>
      <c r="U226"/>
      <c r="V226"/>
      <c r="W226"/>
      <c r="X226" s="239"/>
      <c r="Y226" s="240"/>
      <c r="Z226" s="240"/>
      <c r="AA226" s="240"/>
      <c r="AB226" s="240"/>
      <c r="AC226" s="240"/>
      <c r="AD226" s="240"/>
      <c r="AE226" s="240"/>
      <c r="AF226" s="240"/>
      <c r="AG226" s="240"/>
      <c r="AH226" s="240"/>
      <c r="AI226" s="240"/>
      <c r="AJ226" s="240"/>
      <c r="AK226" s="240"/>
      <c r="AL226" s="240"/>
      <c r="AM226" s="240"/>
      <c r="AN226" s="240"/>
      <c r="AO226" s="240"/>
      <c r="AP226" s="240"/>
      <c r="AQ226" s="240"/>
      <c r="AR226" s="240"/>
      <c r="AS226" s="240"/>
      <c r="AT226" s="240"/>
      <c r="AU226" s="240"/>
      <c r="AV226" s="240"/>
      <c r="AW226" s="240"/>
      <c r="AX226" s="240"/>
      <c r="AY226" s="240"/>
      <c r="AZ226" s="240"/>
      <c r="BA226" s="240"/>
      <c r="BB226" s="240"/>
      <c r="BC226" s="240"/>
      <c r="BD226" s="240"/>
      <c r="BE226" s="240"/>
      <c r="BF226" s="240"/>
      <c r="BG226" s="240"/>
      <c r="BH226" s="240"/>
    </row>
    <row r="227" spans="2:60" s="237" customFormat="1">
      <c r="B227" s="69">
        <f t="shared" ref="B227:B238" si="255">B226</f>
        <v>1</v>
      </c>
      <c r="C227" s="69">
        <f t="shared" si="227"/>
        <v>17</v>
      </c>
      <c r="D227" s="69" t="str">
        <f t="shared" ref="D227:D234" si="256">D226</f>
        <v>Peer Industry less OPG</v>
      </c>
      <c r="E227" s="70">
        <v>2003</v>
      </c>
      <c r="F227" s="138">
        <f t="shared" si="250"/>
        <v>24358.489999999998</v>
      </c>
      <c r="G227" s="76">
        <f t="shared" si="251"/>
        <v>0.32562998570340856</v>
      </c>
      <c r="H227" s="138"/>
      <c r="I227" s="138"/>
      <c r="J227" s="71">
        <f t="shared" si="252"/>
        <v>430140.35661000013</v>
      </c>
      <c r="K227" s="76">
        <f t="shared" si="252"/>
        <v>0.7669537873011566</v>
      </c>
      <c r="L227" s="69"/>
      <c r="M227" s="138">
        <f t="shared" si="253"/>
        <v>69483047.613999993</v>
      </c>
      <c r="N227" s="71">
        <f t="shared" si="253"/>
        <v>2442947.4458542126</v>
      </c>
      <c r="O227" s="138">
        <f t="shared" ref="O227:O235" si="257">N227-J227</f>
        <v>2012807.0892442125</v>
      </c>
      <c r="P227" s="76">
        <f t="shared" ref="P227:P236" si="258">O227/N227</f>
        <v>0.82392566105342668</v>
      </c>
      <c r="Q227" s="76">
        <f t="shared" ref="Q227:Q236" si="259">1-P227</f>
        <v>0.17607433894657332</v>
      </c>
      <c r="R227" s="76">
        <f t="shared" si="254"/>
        <v>0</v>
      </c>
      <c r="S227" s="76">
        <f t="shared" ref="S227:T236" si="260">Q227-R227</f>
        <v>0.17607433894657332</v>
      </c>
      <c r="T227" s="76">
        <f t="shared" si="260"/>
        <v>-0.17607433894657332</v>
      </c>
      <c r="U227"/>
      <c r="V227"/>
      <c r="W227"/>
      <c r="X227" s="239"/>
      <c r="Y227" s="240"/>
      <c r="Z227" s="240"/>
      <c r="AA227" s="240"/>
      <c r="AB227" s="240"/>
      <c r="AC227" s="240"/>
      <c r="AD227" s="240"/>
      <c r="AE227" s="240"/>
      <c r="AF227" s="240"/>
      <c r="AG227" s="240"/>
      <c r="AH227" s="240"/>
      <c r="AI227" s="240"/>
      <c r="AJ227" s="240"/>
      <c r="AK227" s="240"/>
      <c r="AL227" s="240"/>
      <c r="AM227" s="240"/>
      <c r="AN227" s="240"/>
      <c r="AO227" s="240"/>
      <c r="AP227" s="240"/>
      <c r="AQ227" s="240"/>
      <c r="AR227" s="240"/>
      <c r="AS227" s="240"/>
      <c r="AT227" s="240"/>
      <c r="AU227" s="240"/>
      <c r="AV227" s="240"/>
      <c r="AW227" s="240"/>
      <c r="AX227" s="240"/>
      <c r="AY227" s="240"/>
      <c r="AZ227" s="240"/>
      <c r="BA227" s="240"/>
      <c r="BB227" s="240"/>
      <c r="BC227" s="240"/>
      <c r="BD227" s="240"/>
      <c r="BE227" s="240"/>
      <c r="BF227" s="240"/>
      <c r="BG227" s="240"/>
      <c r="BH227" s="240"/>
    </row>
    <row r="228" spans="2:60" s="237" customFormat="1">
      <c r="B228" s="69">
        <f t="shared" si="255"/>
        <v>1</v>
      </c>
      <c r="C228" s="69">
        <f t="shared" si="227"/>
        <v>17</v>
      </c>
      <c r="D228" s="69" t="str">
        <f t="shared" si="256"/>
        <v>Peer Industry less OPG</v>
      </c>
      <c r="E228" s="70">
        <v>2004</v>
      </c>
      <c r="F228" s="138">
        <f t="shared" si="250"/>
        <v>24373.01</v>
      </c>
      <c r="G228" s="76">
        <f t="shared" si="251"/>
        <v>0.29795069846507866</v>
      </c>
      <c r="H228" s="138"/>
      <c r="I228" s="138"/>
      <c r="J228" s="71">
        <f t="shared" si="252"/>
        <v>468471.38903999981</v>
      </c>
      <c r="K228" s="76">
        <f t="shared" si="252"/>
        <v>0.77989849723455951</v>
      </c>
      <c r="L228" s="69"/>
      <c r="M228" s="138">
        <f t="shared" si="253"/>
        <v>63614728.893999994</v>
      </c>
      <c r="N228" s="71">
        <f t="shared" si="253"/>
        <v>2523964.5509401807</v>
      </c>
      <c r="O228" s="138">
        <f t="shared" si="257"/>
        <v>2055493.1619001809</v>
      </c>
      <c r="P228" s="76">
        <f t="shared" si="258"/>
        <v>0.81439066215668776</v>
      </c>
      <c r="Q228" s="76">
        <f t="shared" si="259"/>
        <v>0.18560933784331224</v>
      </c>
      <c r="R228" s="76">
        <f t="shared" si="254"/>
        <v>0</v>
      </c>
      <c r="S228" s="76">
        <f t="shared" si="260"/>
        <v>0.18560933784331224</v>
      </c>
      <c r="T228" s="76">
        <f t="shared" si="260"/>
        <v>-0.18560933784331224</v>
      </c>
      <c r="U228"/>
      <c r="V228"/>
      <c r="W228"/>
      <c r="X228" s="239"/>
      <c r="Y228" s="240"/>
      <c r="Z228" s="240"/>
      <c r="AA228" s="240"/>
      <c r="AB228" s="240"/>
      <c r="AC228" s="240"/>
      <c r="AD228" s="240"/>
      <c r="AE228" s="240"/>
      <c r="AF228" s="240"/>
      <c r="AG228" s="240"/>
      <c r="AH228" s="240"/>
      <c r="AI228" s="240"/>
      <c r="AJ228" s="240"/>
      <c r="AK228" s="240"/>
      <c r="AL228" s="240"/>
      <c r="AM228" s="240"/>
      <c r="AN228" s="240"/>
      <c r="AO228" s="240"/>
      <c r="AP228" s="240"/>
      <c r="AQ228" s="240"/>
      <c r="AR228" s="240"/>
      <c r="AS228" s="240"/>
      <c r="AT228" s="240"/>
      <c r="AU228" s="240"/>
      <c r="AV228" s="240"/>
      <c r="AW228" s="240"/>
      <c r="AX228" s="240"/>
      <c r="AY228" s="240"/>
      <c r="AZ228" s="240"/>
      <c r="BA228" s="240"/>
      <c r="BB228" s="240"/>
      <c r="BC228" s="240"/>
      <c r="BD228" s="240"/>
      <c r="BE228" s="240"/>
      <c r="BF228" s="240"/>
      <c r="BG228" s="240"/>
      <c r="BH228" s="240"/>
    </row>
    <row r="229" spans="2:60" s="237" customFormat="1">
      <c r="B229" s="69">
        <f t="shared" si="255"/>
        <v>1</v>
      </c>
      <c r="C229" s="69">
        <f t="shared" si="227"/>
        <v>17</v>
      </c>
      <c r="D229" s="69" t="str">
        <f t="shared" si="256"/>
        <v>Peer Industry less OPG</v>
      </c>
      <c r="E229" s="70">
        <v>2005</v>
      </c>
      <c r="F229" s="138">
        <f t="shared" si="250"/>
        <v>24385.809999999998</v>
      </c>
      <c r="G229" s="76">
        <f t="shared" si="251"/>
        <v>0.3142017083793654</v>
      </c>
      <c r="H229" s="138"/>
      <c r="I229" s="138"/>
      <c r="J229" s="71">
        <f t="shared" si="252"/>
        <v>482294.38857000007</v>
      </c>
      <c r="K229" s="76">
        <f t="shared" si="252"/>
        <v>0.77206278970632281</v>
      </c>
      <c r="L229" s="69"/>
      <c r="M229" s="138">
        <f t="shared" si="253"/>
        <v>67119673.300999999</v>
      </c>
      <c r="N229" s="71">
        <f t="shared" si="253"/>
        <v>3541380.774213911</v>
      </c>
      <c r="O229" s="138">
        <f t="shared" si="257"/>
        <v>3059086.3856439111</v>
      </c>
      <c r="P229" s="76">
        <f t="shared" si="258"/>
        <v>0.86381176740954779</v>
      </c>
      <c r="Q229" s="76">
        <f t="shared" si="259"/>
        <v>0.13618823259045221</v>
      </c>
      <c r="R229" s="76">
        <f t="shared" si="254"/>
        <v>0</v>
      </c>
      <c r="S229" s="76">
        <f t="shared" si="260"/>
        <v>0.13618823259045221</v>
      </c>
      <c r="T229" s="76">
        <f t="shared" si="260"/>
        <v>-0.13618823259045221</v>
      </c>
      <c r="U229"/>
      <c r="V229"/>
      <c r="W229"/>
      <c r="X229" s="239"/>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row>
    <row r="230" spans="2:60" s="237" customFormat="1">
      <c r="B230" s="69">
        <f t="shared" si="255"/>
        <v>1</v>
      </c>
      <c r="C230" s="69">
        <f t="shared" si="227"/>
        <v>17</v>
      </c>
      <c r="D230" s="69" t="str">
        <f t="shared" si="256"/>
        <v>Peer Industry less OPG</v>
      </c>
      <c r="E230" s="70">
        <v>2006</v>
      </c>
      <c r="F230" s="138">
        <f t="shared" si="250"/>
        <v>24402.789999999997</v>
      </c>
      <c r="G230" s="76">
        <f t="shared" si="251"/>
        <v>0.31853877631601979</v>
      </c>
      <c r="H230" s="138"/>
      <c r="I230" s="138"/>
      <c r="J230" s="71">
        <f t="shared" si="252"/>
        <v>507826.74332999997</v>
      </c>
      <c r="K230" s="76">
        <f t="shared" si="252"/>
        <v>0.76430129157709958</v>
      </c>
      <c r="L230" s="69"/>
      <c r="M230" s="138">
        <f t="shared" si="253"/>
        <v>68093537.420000002</v>
      </c>
      <c r="N230" s="71">
        <f t="shared" si="253"/>
        <v>3203290.4427383998</v>
      </c>
      <c r="O230" s="138">
        <f t="shared" si="257"/>
        <v>2695463.6994083999</v>
      </c>
      <c r="P230" s="76">
        <f t="shared" si="258"/>
        <v>0.84146715622331336</v>
      </c>
      <c r="Q230" s="76">
        <f t="shared" si="259"/>
        <v>0.15853284377668664</v>
      </c>
      <c r="R230" s="76">
        <f t="shared" si="254"/>
        <v>0</v>
      </c>
      <c r="S230" s="76">
        <f t="shared" si="260"/>
        <v>0.15853284377668664</v>
      </c>
      <c r="T230" s="76">
        <f t="shared" si="260"/>
        <v>-0.15853284377668664</v>
      </c>
      <c r="U230"/>
      <c r="V230"/>
      <c r="W230"/>
      <c r="X230" s="239"/>
      <c r="Y230" s="240"/>
      <c r="Z230" s="240"/>
      <c r="AA230" s="240"/>
      <c r="AB230" s="240"/>
      <c r="AC230" s="240"/>
      <c r="AD230" s="240"/>
      <c r="AE230" s="240"/>
      <c r="AF230" s="240"/>
      <c r="AG230" s="240"/>
      <c r="AH230" s="240"/>
      <c r="AI230" s="240"/>
      <c r="AJ230" s="240"/>
      <c r="AK230" s="240"/>
      <c r="AL230" s="240"/>
      <c r="AM230" s="240"/>
      <c r="AN230" s="240"/>
      <c r="AO230" s="240"/>
      <c r="AP230" s="240"/>
      <c r="AQ230" s="240"/>
      <c r="AR230" s="240"/>
      <c r="AS230" s="240"/>
      <c r="AT230" s="240"/>
      <c r="AU230" s="240"/>
      <c r="AV230" s="240"/>
      <c r="AW230" s="240"/>
      <c r="AX230" s="240"/>
      <c r="AY230" s="240"/>
      <c r="AZ230" s="240"/>
      <c r="BA230" s="240"/>
      <c r="BB230" s="240"/>
      <c r="BC230" s="240"/>
      <c r="BD230" s="240"/>
      <c r="BE230" s="240"/>
      <c r="BF230" s="240"/>
      <c r="BG230" s="240"/>
      <c r="BH230" s="240"/>
    </row>
    <row r="231" spans="2:60" s="237" customFormat="1">
      <c r="B231" s="69">
        <f t="shared" si="255"/>
        <v>1</v>
      </c>
      <c r="C231" s="69">
        <f t="shared" si="227"/>
        <v>17</v>
      </c>
      <c r="D231" s="69" t="str">
        <f t="shared" si="256"/>
        <v>Peer Industry less OPG</v>
      </c>
      <c r="E231" s="70">
        <v>2007</v>
      </c>
      <c r="F231" s="138">
        <f t="shared" si="250"/>
        <v>23729.789999999997</v>
      </c>
      <c r="G231" s="76">
        <f t="shared" si="251"/>
        <v>0.25296342634854785</v>
      </c>
      <c r="H231" s="138"/>
      <c r="I231" s="138"/>
      <c r="J231" s="71">
        <f t="shared" si="252"/>
        <v>556318.61511000001</v>
      </c>
      <c r="K231" s="76">
        <f t="shared" si="252"/>
        <v>0.77130134214971446</v>
      </c>
      <c r="L231" s="69"/>
      <c r="M231" s="138">
        <f t="shared" si="253"/>
        <v>52584256.307999998</v>
      </c>
      <c r="N231" s="71">
        <f t="shared" si="253"/>
        <v>2717824.9315861803</v>
      </c>
      <c r="O231" s="138">
        <f t="shared" si="257"/>
        <v>2161506.3164761802</v>
      </c>
      <c r="P231" s="76">
        <f t="shared" si="258"/>
        <v>0.79530741342293865</v>
      </c>
      <c r="Q231" s="76">
        <f t="shared" si="259"/>
        <v>0.20469258657706135</v>
      </c>
      <c r="R231" s="76">
        <f t="shared" si="254"/>
        <v>0</v>
      </c>
      <c r="S231" s="76">
        <f t="shared" si="260"/>
        <v>0.20469258657706135</v>
      </c>
      <c r="T231" s="76">
        <f t="shared" si="260"/>
        <v>-0.20469258657706135</v>
      </c>
      <c r="U231"/>
      <c r="V231"/>
      <c r="W231"/>
      <c r="X231" s="239"/>
      <c r="Y231" s="240"/>
      <c r="Z231" s="240"/>
      <c r="AA231" s="240"/>
      <c r="AB231" s="240"/>
      <c r="AC231" s="240"/>
      <c r="AD231" s="240"/>
      <c r="AE231" s="240"/>
      <c r="AF231" s="240"/>
      <c r="AG231" s="240"/>
      <c r="AH231" s="240"/>
      <c r="AI231" s="240"/>
      <c r="AJ231" s="240"/>
      <c r="AK231" s="240"/>
      <c r="AL231" s="240"/>
      <c r="AM231" s="240"/>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row>
    <row r="232" spans="2:60" s="237" customFormat="1">
      <c r="B232" s="69">
        <f t="shared" si="255"/>
        <v>1</v>
      </c>
      <c r="C232" s="69">
        <f t="shared" si="227"/>
        <v>17</v>
      </c>
      <c r="D232" s="69" t="str">
        <f t="shared" si="256"/>
        <v>Peer Industry less OPG</v>
      </c>
      <c r="E232" s="70">
        <v>2008</v>
      </c>
      <c r="F232" s="138">
        <f t="shared" si="250"/>
        <v>24027.639999999996</v>
      </c>
      <c r="G232" s="76">
        <f t="shared" si="251"/>
        <v>0.25037817674289709</v>
      </c>
      <c r="H232" s="138"/>
      <c r="I232" s="138"/>
      <c r="J232" s="71">
        <f t="shared" si="252"/>
        <v>595908.49227000005</v>
      </c>
      <c r="K232" s="76">
        <f t="shared" si="252"/>
        <v>0.76237456015395555</v>
      </c>
      <c r="L232" s="69"/>
      <c r="M232" s="138">
        <f t="shared" si="253"/>
        <v>52700131.045000002</v>
      </c>
      <c r="N232" s="71">
        <f t="shared" si="253"/>
        <v>3419194.8823449938</v>
      </c>
      <c r="O232" s="138">
        <f t="shared" si="257"/>
        <v>2823286.3900749935</v>
      </c>
      <c r="P232" s="76">
        <f t="shared" si="258"/>
        <v>0.82571672198418034</v>
      </c>
      <c r="Q232" s="76">
        <f t="shared" si="259"/>
        <v>0.17428327801581966</v>
      </c>
      <c r="R232" s="76">
        <f t="shared" si="254"/>
        <v>0</v>
      </c>
      <c r="S232" s="76">
        <f t="shared" si="260"/>
        <v>0.17428327801581966</v>
      </c>
      <c r="T232" s="76">
        <f t="shared" si="260"/>
        <v>-0.17428327801581966</v>
      </c>
      <c r="U232"/>
      <c r="V232"/>
      <c r="W232"/>
      <c r="X232" s="239"/>
      <c r="Y232" s="240"/>
      <c r="Z232" s="240"/>
      <c r="AA232" s="240"/>
      <c r="AB232" s="240"/>
      <c r="AC232" s="240"/>
      <c r="AD232" s="240"/>
      <c r="AE232" s="240"/>
      <c r="AF232" s="240"/>
      <c r="AG232" s="240"/>
      <c r="AH232" s="240"/>
      <c r="AI232" s="240"/>
      <c r="AJ232" s="240"/>
      <c r="AK232" s="240"/>
      <c r="AL232" s="240"/>
      <c r="AM232" s="240"/>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row>
    <row r="233" spans="2:60" s="237" customFormat="1">
      <c r="B233" s="69">
        <f t="shared" si="255"/>
        <v>1</v>
      </c>
      <c r="C233" s="69">
        <f t="shared" si="227"/>
        <v>17</v>
      </c>
      <c r="D233" s="69" t="str">
        <f t="shared" si="256"/>
        <v>Peer Industry less OPG</v>
      </c>
      <c r="E233" s="70">
        <v>2009</v>
      </c>
      <c r="F233" s="138">
        <f t="shared" si="250"/>
        <v>24174.849999999995</v>
      </c>
      <c r="G233" s="76">
        <f t="shared" si="251"/>
        <v>0.29608002809214073</v>
      </c>
      <c r="H233" s="138"/>
      <c r="I233" s="138"/>
      <c r="J233" s="71">
        <f t="shared" si="252"/>
        <v>596676.50918999978</v>
      </c>
      <c r="K233" s="76">
        <f t="shared" si="252"/>
        <v>0.76323466257524064</v>
      </c>
      <c r="L233" s="69"/>
      <c r="M233" s="138">
        <f t="shared" si="253"/>
        <v>62701366.740000002</v>
      </c>
      <c r="N233" s="71">
        <f t="shared" si="253"/>
        <v>2180928.969364766</v>
      </c>
      <c r="O233" s="138">
        <f t="shared" si="257"/>
        <v>1584252.4601747664</v>
      </c>
      <c r="P233" s="76">
        <f t="shared" si="258"/>
        <v>0.7264117641741481</v>
      </c>
      <c r="Q233" s="76">
        <f t="shared" si="259"/>
        <v>0.2735882358258519</v>
      </c>
      <c r="R233" s="76">
        <f t="shared" si="254"/>
        <v>0</v>
      </c>
      <c r="S233" s="76">
        <f t="shared" si="260"/>
        <v>0.2735882358258519</v>
      </c>
      <c r="T233" s="76">
        <f t="shared" si="260"/>
        <v>-0.2735882358258519</v>
      </c>
      <c r="U233"/>
      <c r="V233"/>
      <c r="W233"/>
      <c r="X233" s="239"/>
      <c r="Y233" s="240"/>
      <c r="Z233" s="240"/>
      <c r="AA233" s="240"/>
      <c r="AB233" s="240"/>
      <c r="AC233" s="240"/>
      <c r="AD233" s="240"/>
      <c r="AE233" s="240"/>
      <c r="AF233" s="240"/>
      <c r="AG233" s="240"/>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row>
    <row r="234" spans="2:60" s="237" customFormat="1">
      <c r="B234" s="69">
        <f t="shared" si="255"/>
        <v>1</v>
      </c>
      <c r="C234" s="69">
        <f t="shared" si="227"/>
        <v>17</v>
      </c>
      <c r="D234" s="69" t="str">
        <f t="shared" si="256"/>
        <v>Peer Industry less OPG</v>
      </c>
      <c r="E234" s="70">
        <v>2010</v>
      </c>
      <c r="F234" s="138">
        <f t="shared" si="250"/>
        <v>24179.049999999996</v>
      </c>
      <c r="G234" s="76">
        <f t="shared" si="251"/>
        <v>0.30185325192696022</v>
      </c>
      <c r="H234" s="138"/>
      <c r="I234" s="138"/>
      <c r="J234" s="71">
        <f t="shared" si="252"/>
        <v>655662.46176000009</v>
      </c>
      <c r="K234" s="76">
        <f t="shared" si="252"/>
        <v>0.7802202794861427</v>
      </c>
      <c r="L234" s="69"/>
      <c r="M234" s="138">
        <f t="shared" si="253"/>
        <v>63935077.870000005</v>
      </c>
      <c r="N234" s="71">
        <f t="shared" si="253"/>
        <v>2296417.1814012313</v>
      </c>
      <c r="O234" s="138">
        <f t="shared" si="257"/>
        <v>1640754.7196412312</v>
      </c>
      <c r="P234" s="76">
        <f t="shared" si="258"/>
        <v>0.71448460363812161</v>
      </c>
      <c r="Q234" s="76">
        <f t="shared" si="259"/>
        <v>0.28551539636187839</v>
      </c>
      <c r="R234" s="76">
        <f t="shared" si="254"/>
        <v>0</v>
      </c>
      <c r="S234" s="76">
        <f t="shared" si="260"/>
        <v>0.28551539636187839</v>
      </c>
      <c r="T234" s="76">
        <f t="shared" si="260"/>
        <v>-0.28551539636187839</v>
      </c>
      <c r="U234"/>
      <c r="V234"/>
      <c r="W234"/>
      <c r="X234" s="239"/>
      <c r="Y234" s="240"/>
      <c r="Z234" s="240"/>
      <c r="AA234" s="240"/>
      <c r="AB234" s="240"/>
      <c r="AC234" s="240"/>
      <c r="AD234" s="240"/>
      <c r="AE234" s="240"/>
      <c r="AF234" s="240"/>
      <c r="AG234" s="240"/>
      <c r="AH234" s="240"/>
      <c r="AI234" s="240"/>
      <c r="AJ234" s="240"/>
      <c r="AK234" s="240"/>
      <c r="AL234" s="240"/>
      <c r="AM234" s="240"/>
      <c r="AN234" s="240"/>
      <c r="AO234" s="240"/>
      <c r="AP234" s="240"/>
      <c r="AQ234" s="240"/>
      <c r="AR234" s="240"/>
      <c r="AS234" s="240"/>
      <c r="AT234" s="240"/>
      <c r="AU234" s="240"/>
      <c r="AV234" s="240"/>
      <c r="AW234" s="240"/>
      <c r="AX234" s="240"/>
      <c r="AY234" s="240"/>
      <c r="AZ234" s="240"/>
      <c r="BA234" s="240"/>
      <c r="BB234" s="240"/>
      <c r="BC234" s="240"/>
      <c r="BD234" s="240"/>
      <c r="BE234" s="240"/>
      <c r="BF234" s="240"/>
      <c r="BG234" s="240"/>
      <c r="BH234" s="240"/>
    </row>
    <row r="235" spans="2:60" s="237" customFormat="1">
      <c r="B235" s="69">
        <f t="shared" si="255"/>
        <v>1</v>
      </c>
      <c r="C235" s="69">
        <f t="shared" si="227"/>
        <v>17</v>
      </c>
      <c r="D235" s="69" t="str">
        <f t="shared" ref="D235:D238" si="261">D234</f>
        <v>Peer Industry less OPG</v>
      </c>
      <c r="E235" s="70">
        <v>2011</v>
      </c>
      <c r="F235" s="138">
        <f t="shared" si="250"/>
        <v>24281.879999999997</v>
      </c>
      <c r="G235" s="76">
        <f t="shared" si="251"/>
        <v>0.32758833282210043</v>
      </c>
      <c r="H235" s="138"/>
      <c r="I235" s="138"/>
      <c r="J235" s="71">
        <f t="shared" si="252"/>
        <v>639204.12818999996</v>
      </c>
      <c r="K235" s="76">
        <f t="shared" si="252"/>
        <v>0.78544179119886626</v>
      </c>
      <c r="L235" s="69"/>
      <c r="M235" s="138">
        <f t="shared" si="253"/>
        <v>69681074.742000014</v>
      </c>
      <c r="N235" s="71">
        <f t="shared" si="253"/>
        <v>2239473.5091988062</v>
      </c>
      <c r="O235" s="138">
        <f t="shared" si="257"/>
        <v>1600269.3810088062</v>
      </c>
      <c r="P235" s="76">
        <f t="shared" si="258"/>
        <v>0.71457392750375437</v>
      </c>
      <c r="Q235" s="76">
        <f t="shared" si="259"/>
        <v>0.28542607249624563</v>
      </c>
      <c r="R235" s="76">
        <f t="shared" si="254"/>
        <v>0</v>
      </c>
      <c r="S235" s="76">
        <f t="shared" si="260"/>
        <v>0.28542607249624563</v>
      </c>
      <c r="T235" s="76">
        <f t="shared" si="260"/>
        <v>-0.28542607249624563</v>
      </c>
      <c r="U235"/>
      <c r="V235"/>
      <c r="W235"/>
      <c r="X235" s="239"/>
      <c r="Y235" s="240"/>
      <c r="Z235" s="240"/>
      <c r="AA235" s="240"/>
      <c r="AB235" s="240"/>
      <c r="AC235" s="240"/>
      <c r="AD235" s="240"/>
      <c r="AE235" s="240"/>
      <c r="AF235" s="240"/>
      <c r="AG235" s="240"/>
      <c r="AH235" s="240"/>
      <c r="AI235" s="240"/>
      <c r="AJ235" s="240"/>
      <c r="AK235" s="240"/>
      <c r="AL235" s="240"/>
      <c r="AM235" s="240"/>
      <c r="AN235" s="240"/>
      <c r="AO235" s="240"/>
      <c r="AP235" s="240"/>
      <c r="AQ235" s="240"/>
      <c r="AR235" s="240"/>
      <c r="AS235" s="240"/>
      <c r="AT235" s="240"/>
      <c r="AU235" s="240"/>
      <c r="AV235" s="240"/>
      <c r="AW235" s="240"/>
      <c r="AX235" s="240"/>
      <c r="AY235" s="240"/>
      <c r="AZ235" s="240"/>
      <c r="BA235" s="240"/>
      <c r="BB235" s="240"/>
      <c r="BC235" s="240"/>
      <c r="BD235" s="240"/>
      <c r="BE235" s="240"/>
      <c r="BF235" s="240"/>
      <c r="BG235" s="240"/>
      <c r="BH235" s="240"/>
    </row>
    <row r="236" spans="2:60" s="237" customFormat="1">
      <c r="B236" s="69">
        <f t="shared" si="255"/>
        <v>1</v>
      </c>
      <c r="C236" s="69">
        <f t="shared" si="227"/>
        <v>17</v>
      </c>
      <c r="D236" s="69" t="str">
        <f t="shared" si="261"/>
        <v>Peer Industry less OPG</v>
      </c>
      <c r="E236" s="70">
        <v>2012</v>
      </c>
      <c r="F236" s="138">
        <f t="shared" si="250"/>
        <v>24379.859999999997</v>
      </c>
      <c r="G236" s="76">
        <f>M236/(F236*8760)</f>
        <v>0.27242887598644333</v>
      </c>
      <c r="H236" s="138"/>
      <c r="I236" s="138"/>
      <c r="J236" s="71">
        <f t="shared" si="252"/>
        <v>646962.35810999991</v>
      </c>
      <c r="K236" s="76">
        <f t="shared" si="252"/>
        <v>0.78410502921392999</v>
      </c>
      <c r="L236" s="69"/>
      <c r="M236" s="138">
        <f t="shared" si="253"/>
        <v>58181974.023000002</v>
      </c>
      <c r="N236" s="71">
        <f t="shared" si="253"/>
        <v>1528635.4741906784</v>
      </c>
      <c r="O236" s="138">
        <f>N236-J236</f>
        <v>881673.11608067853</v>
      </c>
      <c r="P236" s="76">
        <f t="shared" si="258"/>
        <v>0.5767713303575347</v>
      </c>
      <c r="Q236" s="76">
        <f t="shared" si="259"/>
        <v>0.4232286696424653</v>
      </c>
      <c r="R236" s="76">
        <f t="shared" si="254"/>
        <v>0</v>
      </c>
      <c r="S236" s="76">
        <f t="shared" si="260"/>
        <v>0.4232286696424653</v>
      </c>
      <c r="T236" s="76">
        <f t="shared" si="260"/>
        <v>-0.4232286696424653</v>
      </c>
      <c r="U236"/>
      <c r="V236"/>
      <c r="W236"/>
      <c r="X236" s="239"/>
      <c r="Y236" s="240"/>
      <c r="Z236" s="240"/>
      <c r="AA236" s="240"/>
      <c r="AB236" s="240"/>
      <c r="AC236" s="240"/>
      <c r="AD236" s="240"/>
      <c r="AE236" s="240"/>
      <c r="AF236" s="240"/>
      <c r="AG236" s="240"/>
      <c r="AH236" s="240"/>
      <c r="AI236" s="24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40"/>
    </row>
    <row r="237" spans="2:60" s="237" customFormat="1">
      <c r="B237" s="69">
        <f t="shared" si="255"/>
        <v>1</v>
      </c>
      <c r="C237" s="69">
        <f t="shared" si="227"/>
        <v>17</v>
      </c>
      <c r="D237" s="69" t="str">
        <f t="shared" si="261"/>
        <v>Peer Industry less OPG</v>
      </c>
      <c r="E237" s="70">
        <v>2013</v>
      </c>
      <c r="F237" s="138">
        <f t="shared" si="250"/>
        <v>24528.65</v>
      </c>
      <c r="G237" s="76">
        <f t="shared" ref="G237:G238" si="262">M237/(F237*8760)</f>
        <v>0.27242239508813326</v>
      </c>
      <c r="H237" s="138"/>
      <c r="I237" s="138"/>
      <c r="J237" s="71">
        <f t="shared" si="252"/>
        <v>659358.51090000011</v>
      </c>
      <c r="K237" s="76">
        <f t="shared" si="252"/>
        <v>0.78313987605802027</v>
      </c>
      <c r="L237" s="69"/>
      <c r="M237" s="138">
        <f t="shared" si="253"/>
        <v>58535665.372000009</v>
      </c>
      <c r="N237" s="71">
        <f t="shared" si="253"/>
        <v>2200948.1559125246</v>
      </c>
      <c r="O237" s="138">
        <f t="shared" ref="O237:O238" si="263">N237-J237</f>
        <v>1541589.6450125244</v>
      </c>
      <c r="P237" s="76">
        <f t="shared" ref="P237:P238" si="264">O237/N237</f>
        <v>0.70042069862993817</v>
      </c>
      <c r="Q237" s="76">
        <f t="shared" ref="Q237:Q238" si="265">1-P237</f>
        <v>0.29957930137006183</v>
      </c>
      <c r="R237" s="76">
        <f t="shared" ref="R237:R238" si="266">Q237*L237</f>
        <v>0</v>
      </c>
      <c r="S237" s="76">
        <f t="shared" ref="S237:S238" si="267">Q237-R237</f>
        <v>0.29957930137006183</v>
      </c>
      <c r="T237" s="76">
        <f t="shared" ref="T237:T238" si="268">R237-S237</f>
        <v>-0.29957930137006183</v>
      </c>
      <c r="U237"/>
      <c r="V237"/>
      <c r="W237"/>
      <c r="X237" s="239"/>
      <c r="Y237" s="240"/>
      <c r="Z237" s="240"/>
      <c r="AA237" s="240"/>
      <c r="AB237" s="240"/>
      <c r="AC237" s="240"/>
      <c r="AD237" s="240"/>
      <c r="AE237" s="240"/>
      <c r="AF237" s="240"/>
      <c r="AG237" s="240"/>
      <c r="AH237" s="240"/>
      <c r="AI237" s="240"/>
      <c r="AJ237" s="240"/>
      <c r="AK237" s="240"/>
      <c r="AL237" s="240"/>
      <c r="AM237" s="240"/>
      <c r="AN237" s="240"/>
      <c r="AO237" s="240"/>
      <c r="AP237" s="240"/>
      <c r="AQ237" s="240"/>
      <c r="AR237" s="240"/>
      <c r="AS237" s="240"/>
      <c r="AT237" s="240"/>
      <c r="AU237" s="240"/>
      <c r="AV237" s="240"/>
      <c r="AW237" s="240"/>
      <c r="AX237" s="240"/>
      <c r="AY237" s="240"/>
      <c r="AZ237" s="240"/>
      <c r="BA237" s="240"/>
      <c r="BB237" s="240"/>
      <c r="BC237" s="240"/>
      <c r="BD237" s="240"/>
      <c r="BE237" s="240"/>
      <c r="BF237" s="240"/>
      <c r="BG237" s="240"/>
      <c r="BH237" s="240"/>
    </row>
    <row r="238" spans="2:60" s="237" customFormat="1">
      <c r="B238" s="69">
        <f t="shared" si="255"/>
        <v>1</v>
      </c>
      <c r="C238" s="69">
        <f t="shared" si="227"/>
        <v>17</v>
      </c>
      <c r="D238" s="69" t="str">
        <f t="shared" si="261"/>
        <v>Peer Industry less OPG</v>
      </c>
      <c r="E238" s="70">
        <v>2014</v>
      </c>
      <c r="F238" s="138">
        <f t="shared" si="250"/>
        <v>24735.479999999996</v>
      </c>
      <c r="G238" s="76">
        <f t="shared" si="262"/>
        <v>0.25675334875026506</v>
      </c>
      <c r="H238" s="138"/>
      <c r="I238" s="138"/>
      <c r="J238" s="71">
        <f t="shared" si="252"/>
        <v>677317.00375000015</v>
      </c>
      <c r="K238" s="76">
        <f t="shared" si="252"/>
        <v>0.78272078796420708</v>
      </c>
      <c r="L238" s="69"/>
      <c r="M238" s="138">
        <f t="shared" si="253"/>
        <v>55634035.748999998</v>
      </c>
      <c r="N238" s="71">
        <f t="shared" si="253"/>
        <v>2310626.4687198973</v>
      </c>
      <c r="O238" s="138">
        <f t="shared" si="263"/>
        <v>1633309.4649698972</v>
      </c>
      <c r="P238" s="76">
        <f t="shared" si="264"/>
        <v>0.70686867266553977</v>
      </c>
      <c r="Q238" s="76">
        <f t="shared" si="265"/>
        <v>0.29313132733446023</v>
      </c>
      <c r="R238" s="76">
        <f t="shared" si="266"/>
        <v>0</v>
      </c>
      <c r="S238" s="76">
        <f t="shared" si="267"/>
        <v>0.29313132733446023</v>
      </c>
      <c r="T238" s="76">
        <f t="shared" si="268"/>
        <v>-0.29313132733446023</v>
      </c>
      <c r="U238"/>
      <c r="V238"/>
      <c r="W238"/>
      <c r="X238" s="239"/>
      <c r="Y238" s="240"/>
      <c r="Z238" s="240"/>
      <c r="AA238" s="240"/>
      <c r="AB238" s="240"/>
      <c r="AC238" s="240"/>
      <c r="AD238" s="240"/>
      <c r="AE238" s="240"/>
      <c r="AF238" s="240"/>
      <c r="AG238" s="240"/>
      <c r="AH238" s="240"/>
      <c r="AI238" s="240"/>
      <c r="AJ238" s="240"/>
      <c r="AK238" s="240"/>
      <c r="AL238" s="240"/>
      <c r="AM238" s="240"/>
      <c r="AN238" s="240"/>
      <c r="AO238" s="240"/>
      <c r="AP238" s="240"/>
      <c r="AQ238" s="240"/>
      <c r="AR238" s="240"/>
      <c r="AS238" s="240"/>
      <c r="AT238" s="240"/>
      <c r="AU238" s="240"/>
      <c r="AV238" s="240"/>
      <c r="AW238" s="240"/>
      <c r="AX238" s="240"/>
      <c r="AY238" s="240"/>
      <c r="AZ238" s="240"/>
      <c r="BA238" s="240"/>
      <c r="BB238" s="240"/>
      <c r="BC238" s="240"/>
      <c r="BD238" s="240"/>
      <c r="BE238" s="240"/>
      <c r="BF238" s="240"/>
      <c r="BG238" s="240"/>
      <c r="BH238" s="240"/>
    </row>
  </sheetData>
  <pageMargins left="0.7" right="0.7" top="0.75" bottom="0.75" header="0.3" footer="0.3"/>
  <pageSetup scale="83" orientation="landscape" r:id="rId1"/>
  <headerFooter>
    <oddHeader>&amp;CFiled: 2016-10-26, EB-2016-0152
Exhibit L, Tab 11.1 Schedule 1 Staff-246</oddHeader>
  </headerFooter>
  <ignoredErrors>
    <ignoredError sqref="B18:D2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25"/>
  <sheetViews>
    <sheetView showGridLines="0" view="pageLayout" zoomScaleNormal="100" workbookViewId="0">
      <selection activeCell="I31" sqref="I31"/>
    </sheetView>
  </sheetViews>
  <sheetFormatPr defaultRowHeight="12.75"/>
  <cols>
    <col min="1" max="1" width="2.85546875" customWidth="1"/>
    <col min="2" max="2" width="31.140625" bestFit="1" customWidth="1"/>
    <col min="3" max="3" width="7.28515625" bestFit="1" customWidth="1"/>
    <col min="4" max="4" width="20.5703125" bestFit="1" customWidth="1"/>
    <col min="5" max="5" width="42.7109375" bestFit="1" customWidth="1"/>
  </cols>
  <sheetData>
    <row r="1" spans="2:6" ht="13.5" thickBot="1"/>
    <row r="2" spans="2:6" ht="15">
      <c r="B2" s="101" t="s">
        <v>94</v>
      </c>
      <c r="C2" s="102"/>
      <c r="D2" s="102"/>
      <c r="E2" s="103"/>
    </row>
    <row r="3" spans="2:6" ht="24" customHeight="1">
      <c r="B3" s="91" t="s">
        <v>93</v>
      </c>
      <c r="C3" s="83" t="s">
        <v>22</v>
      </c>
      <c r="D3" s="83" t="s">
        <v>137</v>
      </c>
      <c r="E3" s="92" t="s">
        <v>146</v>
      </c>
    </row>
    <row r="4" spans="2:6" ht="13.5">
      <c r="B4" s="93">
        <v>1</v>
      </c>
      <c r="C4" s="94">
        <v>0</v>
      </c>
      <c r="D4" s="95" t="s">
        <v>31</v>
      </c>
      <c r="E4" s="96" t="s">
        <v>105</v>
      </c>
      <c r="F4" s="18" t="s">
        <v>213</v>
      </c>
    </row>
    <row r="5" spans="2:6" ht="13.5">
      <c r="B5" s="93">
        <v>1</v>
      </c>
      <c r="C5" s="94">
        <f>C4+1</f>
        <v>1</v>
      </c>
      <c r="D5" s="95" t="s">
        <v>122</v>
      </c>
      <c r="E5" s="96" t="s">
        <v>124</v>
      </c>
      <c r="F5" s="18" t="s">
        <v>214</v>
      </c>
    </row>
    <row r="6" spans="2:6" ht="13.5">
      <c r="B6" s="93">
        <v>1</v>
      </c>
      <c r="C6" s="94">
        <f t="shared" ref="C6:C23" si="0">C5+1</f>
        <v>2</v>
      </c>
      <c r="D6" s="95" t="s">
        <v>123</v>
      </c>
      <c r="E6" s="96" t="s">
        <v>125</v>
      </c>
      <c r="F6" s="18" t="s">
        <v>214</v>
      </c>
    </row>
    <row r="7" spans="2:6" ht="13.5">
      <c r="B7" s="93">
        <v>1</v>
      </c>
      <c r="C7" s="94">
        <f t="shared" si="0"/>
        <v>3</v>
      </c>
      <c r="D7" s="95" t="s">
        <v>138</v>
      </c>
      <c r="E7" s="96" t="s">
        <v>126</v>
      </c>
      <c r="F7" s="18" t="s">
        <v>214</v>
      </c>
    </row>
    <row r="8" spans="2:6" ht="13.5">
      <c r="B8" s="93">
        <v>1</v>
      </c>
      <c r="C8" s="94">
        <f t="shared" si="0"/>
        <v>4</v>
      </c>
      <c r="D8" s="95" t="s">
        <v>139</v>
      </c>
      <c r="E8" s="96" t="s">
        <v>127</v>
      </c>
      <c r="F8" s="18" t="s">
        <v>214</v>
      </c>
    </row>
    <row r="9" spans="2:6" ht="13.5">
      <c r="B9" s="93">
        <v>1</v>
      </c>
      <c r="C9" s="94">
        <f t="shared" si="0"/>
        <v>5</v>
      </c>
      <c r="D9" s="95" t="s">
        <v>140</v>
      </c>
      <c r="E9" s="96" t="s">
        <v>128</v>
      </c>
      <c r="F9" s="18" t="s">
        <v>214</v>
      </c>
    </row>
    <row r="10" spans="2:6" ht="13.5">
      <c r="B10" s="93">
        <v>1</v>
      </c>
      <c r="C10" s="94">
        <f t="shared" si="0"/>
        <v>6</v>
      </c>
      <c r="D10" s="95" t="s">
        <v>141</v>
      </c>
      <c r="E10" s="96" t="s">
        <v>129</v>
      </c>
      <c r="F10" s="18" t="s">
        <v>214</v>
      </c>
    </row>
    <row r="11" spans="2:6" ht="13.5">
      <c r="B11" s="93">
        <v>1</v>
      </c>
      <c r="C11" s="94">
        <f t="shared" si="0"/>
        <v>7</v>
      </c>
      <c r="D11" s="95" t="s">
        <v>142</v>
      </c>
      <c r="E11" s="96" t="s">
        <v>130</v>
      </c>
      <c r="F11" s="18" t="s">
        <v>214</v>
      </c>
    </row>
    <row r="12" spans="2:6" ht="13.5">
      <c r="B12" s="93">
        <v>1</v>
      </c>
      <c r="C12" s="94">
        <f t="shared" si="0"/>
        <v>8</v>
      </c>
      <c r="D12" s="95" t="s">
        <v>121</v>
      </c>
      <c r="E12" s="96" t="s">
        <v>121</v>
      </c>
      <c r="F12" s="370" t="s">
        <v>214</v>
      </c>
    </row>
    <row r="13" spans="2:6" ht="13.5">
      <c r="B13" s="93">
        <v>1</v>
      </c>
      <c r="C13" s="94">
        <f t="shared" si="0"/>
        <v>9</v>
      </c>
      <c r="D13" s="95" t="s">
        <v>143</v>
      </c>
      <c r="E13" s="96" t="s">
        <v>131</v>
      </c>
      <c r="F13" s="370" t="s">
        <v>214</v>
      </c>
    </row>
    <row r="14" spans="2:6" ht="13.5">
      <c r="B14" s="93">
        <v>1</v>
      </c>
      <c r="C14" s="94">
        <f t="shared" si="0"/>
        <v>10</v>
      </c>
      <c r="D14" s="95" t="s">
        <v>144</v>
      </c>
      <c r="E14" s="96" t="s">
        <v>132</v>
      </c>
      <c r="F14" s="370" t="s">
        <v>214</v>
      </c>
    </row>
    <row r="15" spans="2:6" ht="13.5">
      <c r="B15" s="93">
        <v>1</v>
      </c>
      <c r="C15" s="94">
        <f t="shared" si="0"/>
        <v>11</v>
      </c>
      <c r="D15" s="95" t="s">
        <v>145</v>
      </c>
      <c r="E15" s="96" t="s">
        <v>133</v>
      </c>
      <c r="F15" s="370" t="s">
        <v>214</v>
      </c>
    </row>
    <row r="16" spans="2:6" ht="13.5">
      <c r="B16" s="93">
        <v>1</v>
      </c>
      <c r="C16" s="94">
        <f t="shared" si="0"/>
        <v>12</v>
      </c>
      <c r="D16" s="95" t="s">
        <v>149</v>
      </c>
      <c r="E16" s="96" t="s">
        <v>134</v>
      </c>
      <c r="F16" s="370" t="s">
        <v>214</v>
      </c>
    </row>
    <row r="17" spans="2:6" ht="13.5">
      <c r="B17" s="93">
        <v>1</v>
      </c>
      <c r="C17" s="94">
        <f t="shared" si="0"/>
        <v>13</v>
      </c>
      <c r="D17" s="95" t="s">
        <v>147</v>
      </c>
      <c r="E17" s="96" t="s">
        <v>135</v>
      </c>
      <c r="F17" s="370" t="s">
        <v>214</v>
      </c>
    </row>
    <row r="18" spans="2:6" ht="13.5">
      <c r="B18" s="93">
        <v>1</v>
      </c>
      <c r="C18" s="94">
        <f t="shared" si="0"/>
        <v>14</v>
      </c>
      <c r="D18" s="95" t="s">
        <v>148</v>
      </c>
      <c r="E18" s="96" t="s">
        <v>136</v>
      </c>
      <c r="F18" s="370" t="s">
        <v>214</v>
      </c>
    </row>
    <row r="19" spans="2:6" ht="13.5">
      <c r="B19" s="93">
        <v>1</v>
      </c>
      <c r="C19" s="94">
        <f t="shared" si="0"/>
        <v>15</v>
      </c>
      <c r="D19" s="95" t="s">
        <v>226</v>
      </c>
      <c r="E19" s="96" t="s">
        <v>227</v>
      </c>
      <c r="F19" s="370" t="s">
        <v>214</v>
      </c>
    </row>
    <row r="20" spans="2:6" ht="13.5">
      <c r="B20" s="93">
        <v>1</v>
      </c>
      <c r="C20" s="94">
        <f t="shared" si="0"/>
        <v>16</v>
      </c>
      <c r="D20" s="95" t="s">
        <v>228</v>
      </c>
      <c r="E20" s="96" t="s">
        <v>229</v>
      </c>
      <c r="F20" s="370" t="s">
        <v>214</v>
      </c>
    </row>
    <row r="21" spans="2:6" ht="13.5">
      <c r="B21" s="93">
        <v>0</v>
      </c>
      <c r="C21" s="94">
        <f t="shared" si="0"/>
        <v>17</v>
      </c>
      <c r="D21" s="95" t="s">
        <v>274</v>
      </c>
      <c r="E21" s="96" t="s">
        <v>275</v>
      </c>
      <c r="F21" s="370" t="s">
        <v>214</v>
      </c>
    </row>
    <row r="22" spans="2:6" ht="13.5">
      <c r="B22" s="93">
        <v>1</v>
      </c>
      <c r="C22" s="94">
        <f t="shared" si="0"/>
        <v>18</v>
      </c>
      <c r="D22" s="95" t="s">
        <v>150</v>
      </c>
      <c r="E22" s="96" t="s">
        <v>151</v>
      </c>
      <c r="F22" s="18" t="s">
        <v>215</v>
      </c>
    </row>
    <row r="23" spans="2:6" ht="14.25" thickBot="1">
      <c r="B23" s="97">
        <v>1</v>
      </c>
      <c r="C23" s="98">
        <f t="shared" si="0"/>
        <v>19</v>
      </c>
      <c r="D23" s="99" t="s">
        <v>230</v>
      </c>
      <c r="E23" s="100" t="s">
        <v>231</v>
      </c>
      <c r="F23" s="18" t="s">
        <v>214</v>
      </c>
    </row>
    <row r="25" spans="2:6" ht="13.5">
      <c r="B25" s="94"/>
      <c r="C25" s="94"/>
      <c r="D25" s="95"/>
    </row>
  </sheetData>
  <pageMargins left="0.7" right="0.7" top="0.75" bottom="0.75" header="0.3" footer="0.3"/>
  <pageSetup scale="83" orientation="landscape" r:id="rId1"/>
  <headerFooter>
    <oddHeader>&amp;CFiled: 2016-10-26, EB-2016-0152
Exhibit L, Tab 11.1 Schedule 1 Staff-246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58"/>
  <sheetViews>
    <sheetView showGridLines="0" view="pageLayout" zoomScaleNormal="100" workbookViewId="0">
      <selection activeCell="I31" sqref="I31"/>
    </sheetView>
  </sheetViews>
  <sheetFormatPr defaultRowHeight="13.5"/>
  <cols>
    <col min="1" max="1" width="2.85546875" style="1" customWidth="1"/>
    <col min="2" max="2" width="9.140625" style="1" customWidth="1"/>
    <col min="3" max="5" width="9.140625" style="1"/>
    <col min="6" max="6" width="9.140625" style="1" hidden="1" customWidth="1"/>
    <col min="7" max="7" width="9.140625" style="1"/>
    <col min="8" max="8" width="5" style="1" bestFit="1" customWidth="1"/>
    <col min="9" max="11" width="9.140625" style="1" customWidth="1"/>
    <col min="12" max="13" width="5" style="1" customWidth="1"/>
    <col min="14" max="16" width="9.140625" style="1" customWidth="1"/>
    <col min="17" max="17" width="5" style="1" customWidth="1"/>
    <col min="18" max="18" width="5" style="1" bestFit="1" customWidth="1"/>
    <col min="19" max="21" width="9.140625" style="1" customWidth="1"/>
    <col min="22" max="22" width="5" style="1" customWidth="1"/>
    <col min="23" max="23" width="5" style="1" bestFit="1" customWidth="1"/>
    <col min="24" max="26" width="9.140625" style="1" customWidth="1"/>
    <col min="27" max="16384" width="9.140625" style="1"/>
  </cols>
  <sheetData>
    <row r="1" spans="2:26">
      <c r="B1" s="1" t="s">
        <v>209</v>
      </c>
      <c r="K1" s="332" t="s">
        <v>210</v>
      </c>
      <c r="L1" s="320">
        <f>TFP_dataset!$K$1</f>
        <v>0.22554587611543522</v>
      </c>
    </row>
    <row r="2" spans="2:26">
      <c r="K2" s="332" t="s">
        <v>211</v>
      </c>
      <c r="L2" s="321">
        <f>1-L1</f>
        <v>0.7744541238845648</v>
      </c>
    </row>
    <row r="3" spans="2:26" ht="14.25" thickBot="1">
      <c r="N3" s="432" t="s">
        <v>247</v>
      </c>
      <c r="O3" s="432"/>
      <c r="P3" s="432"/>
      <c r="Q3" s="432"/>
      <c r="R3" s="432"/>
      <c r="S3" s="432"/>
      <c r="T3" s="432"/>
      <c r="U3" s="432"/>
      <c r="V3" s="432"/>
      <c r="W3" s="432"/>
      <c r="X3" s="432"/>
      <c r="Y3" s="432"/>
      <c r="Z3" s="432"/>
    </row>
    <row r="4" spans="2:26">
      <c r="B4" s="151"/>
      <c r="C4" s="152" t="s">
        <v>215</v>
      </c>
      <c r="D4" s="152" t="s">
        <v>213</v>
      </c>
      <c r="E4" s="153" t="s">
        <v>214</v>
      </c>
      <c r="F4" s="147"/>
      <c r="G4" s="150"/>
      <c r="I4" s="280" t="s">
        <v>215</v>
      </c>
      <c r="J4" s="281" t="s">
        <v>215</v>
      </c>
      <c r="K4" s="282" t="s">
        <v>215</v>
      </c>
      <c r="N4" s="280" t="s">
        <v>215</v>
      </c>
      <c r="O4" s="281" t="s">
        <v>215</v>
      </c>
      <c r="P4" s="282" t="s">
        <v>215</v>
      </c>
      <c r="S4" s="309" t="s">
        <v>213</v>
      </c>
      <c r="T4" s="310" t="s">
        <v>213</v>
      </c>
      <c r="U4" s="311" t="s">
        <v>213</v>
      </c>
      <c r="X4" s="309" t="s">
        <v>214</v>
      </c>
      <c r="Y4" s="310" t="s">
        <v>214</v>
      </c>
      <c r="Z4" s="311" t="s">
        <v>214</v>
      </c>
    </row>
    <row r="5" spans="2:26" ht="75">
      <c r="B5" s="91" t="s">
        <v>4</v>
      </c>
      <c r="C5" s="154" t="s">
        <v>107</v>
      </c>
      <c r="D5" s="154" t="s">
        <v>107</v>
      </c>
      <c r="E5" s="155" t="s">
        <v>107</v>
      </c>
      <c r="F5" s="154" t="s">
        <v>223</v>
      </c>
      <c r="G5" s="136"/>
      <c r="I5" s="298" t="s">
        <v>95</v>
      </c>
      <c r="J5" s="299" t="s">
        <v>97</v>
      </c>
      <c r="K5" s="300" t="s">
        <v>246</v>
      </c>
      <c r="N5" s="298" t="s">
        <v>244</v>
      </c>
      <c r="O5" s="299" t="s">
        <v>245</v>
      </c>
      <c r="P5" s="300" t="s">
        <v>108</v>
      </c>
      <c r="S5" s="301" t="str">
        <f>'Can O&amp;M price indexes'!D4</f>
        <v>(Ontario)
Industrial Labour Index Growth</v>
      </c>
      <c r="T5" s="302" t="str">
        <f>'Can O&amp;M price indexes'!H4</f>
        <v>(Canada)
GDP-IPI FDD Growth</v>
      </c>
      <c r="U5" s="303" t="str">
        <f>'Can O&amp;M price indexes'!M4</f>
        <v>O&amp;M Price Index Growth</v>
      </c>
      <c r="X5" s="298" t="str">
        <f>'US O&amp;M price indexes'!D4</f>
        <v>(USA)
Labour Index Growth</v>
      </c>
      <c r="Y5" s="299" t="str">
        <f>'US O&amp;M price indexes'!F4</f>
        <v>(USA)
GDP-PI Growth</v>
      </c>
      <c r="Z5" s="300" t="str">
        <f>'US O&amp;M price indexes'!J4</f>
        <v>O&amp;M Price Index Growth</v>
      </c>
    </row>
    <row r="6" spans="2:26" ht="15" hidden="1">
      <c r="B6" s="156">
        <v>1991</v>
      </c>
      <c r="C6" s="158"/>
      <c r="D6" s="159"/>
      <c r="E6" s="160"/>
      <c r="F6" s="157"/>
      <c r="G6" s="21"/>
      <c r="I6" s="283"/>
      <c r="J6" s="159"/>
      <c r="K6" s="284"/>
      <c r="N6" s="21"/>
      <c r="O6" s="22"/>
      <c r="P6" s="22"/>
      <c r="S6" s="304"/>
      <c r="T6" s="305"/>
      <c r="U6" s="284"/>
      <c r="X6" s="21"/>
      <c r="Y6" s="22"/>
      <c r="Z6" s="22"/>
    </row>
    <row r="7" spans="2:26" ht="15" hidden="1">
      <c r="B7" s="156">
        <v>1992</v>
      </c>
      <c r="C7" s="158"/>
      <c r="D7" s="159"/>
      <c r="E7" s="160"/>
      <c r="F7" s="157"/>
      <c r="G7" s="21"/>
      <c r="I7" s="283"/>
      <c r="J7" s="159"/>
      <c r="K7" s="284"/>
      <c r="N7" s="21"/>
      <c r="O7" s="22"/>
      <c r="P7" s="22"/>
      <c r="S7" s="304"/>
      <c r="T7" s="305"/>
      <c r="U7" s="284"/>
      <c r="X7" s="21"/>
      <c r="Y7" s="22"/>
      <c r="Z7" s="22"/>
    </row>
    <row r="8" spans="2:26" ht="15" hidden="1">
      <c r="B8" s="156">
        <v>1993</v>
      </c>
      <c r="C8" s="158"/>
      <c r="D8" s="159"/>
      <c r="E8" s="160"/>
      <c r="F8" s="157"/>
      <c r="G8" s="21"/>
      <c r="I8" s="283"/>
      <c r="J8" s="159"/>
      <c r="K8" s="284"/>
      <c r="N8" s="21"/>
      <c r="O8" s="22"/>
      <c r="P8" s="22"/>
      <c r="S8" s="304"/>
      <c r="T8" s="305"/>
      <c r="U8" s="284"/>
      <c r="X8" s="21"/>
      <c r="Y8" s="22"/>
      <c r="Z8" s="22"/>
    </row>
    <row r="9" spans="2:26" ht="15" hidden="1">
      <c r="B9" s="156">
        <v>1994</v>
      </c>
      <c r="C9" s="158"/>
      <c r="D9" s="159"/>
      <c r="E9" s="160"/>
      <c r="F9" s="157"/>
      <c r="G9" s="21"/>
      <c r="I9" s="283"/>
      <c r="J9" s="159"/>
      <c r="K9" s="284"/>
      <c r="N9" s="21"/>
      <c r="O9" s="22"/>
      <c r="P9" s="22"/>
      <c r="S9" s="304"/>
      <c r="T9" s="305"/>
      <c r="U9" s="284"/>
      <c r="X9" s="21"/>
      <c r="Y9" s="22"/>
      <c r="Z9" s="22"/>
    </row>
    <row r="10" spans="2:26" ht="15" hidden="1">
      <c r="B10" s="156">
        <v>1995</v>
      </c>
      <c r="C10" s="158"/>
      <c r="D10" s="159"/>
      <c r="E10" s="160"/>
      <c r="F10" s="157"/>
      <c r="G10" s="21"/>
      <c r="I10" s="283"/>
      <c r="J10" s="159"/>
      <c r="K10" s="284"/>
      <c r="N10" s="21"/>
      <c r="O10" s="22"/>
      <c r="P10" s="22"/>
      <c r="S10" s="304"/>
      <c r="T10" s="305"/>
      <c r="U10" s="284"/>
      <c r="X10" s="21"/>
      <c r="Y10" s="22"/>
      <c r="Z10" s="22"/>
    </row>
    <row r="11" spans="2:26" ht="15" hidden="1">
      <c r="B11" s="156">
        <v>1996</v>
      </c>
      <c r="C11" s="158"/>
      <c r="D11" s="159"/>
      <c r="E11" s="160"/>
      <c r="F11" s="157"/>
      <c r="G11" s="21"/>
      <c r="I11" s="283"/>
      <c r="J11" s="159"/>
      <c r="K11" s="284"/>
      <c r="N11" s="21"/>
      <c r="O11" s="22"/>
      <c r="P11" s="22"/>
      <c r="S11" s="304"/>
      <c r="T11" s="305"/>
      <c r="U11" s="284"/>
      <c r="X11" s="21"/>
      <c r="Y11" s="22"/>
      <c r="Z11" s="22"/>
    </row>
    <row r="12" spans="2:26" ht="15" hidden="1">
      <c r="B12" s="156">
        <v>1997</v>
      </c>
      <c r="C12" s="158"/>
      <c r="D12" s="159"/>
      <c r="E12" s="160"/>
      <c r="F12" s="157"/>
      <c r="G12" s="21"/>
      <c r="I12" s="283"/>
      <c r="J12" s="159"/>
      <c r="K12" s="284"/>
      <c r="N12" s="21"/>
      <c r="O12" s="22"/>
      <c r="P12" s="22"/>
      <c r="S12" s="304"/>
      <c r="T12" s="305"/>
      <c r="U12" s="284"/>
      <c r="X12" s="21"/>
      <c r="Y12" s="22"/>
      <c r="Z12" s="22"/>
    </row>
    <row r="13" spans="2:26" ht="15" hidden="1">
      <c r="B13" s="156">
        <v>1998</v>
      </c>
      <c r="C13" s="158"/>
      <c r="D13" s="159"/>
      <c r="E13" s="160"/>
      <c r="F13" s="157"/>
      <c r="G13" s="21"/>
      <c r="I13" s="283"/>
      <c r="J13" s="159"/>
      <c r="K13" s="284"/>
      <c r="N13" s="21"/>
      <c r="O13" s="22"/>
      <c r="P13" s="22"/>
      <c r="S13" s="304"/>
      <c r="T13" s="305"/>
      <c r="U13" s="284"/>
      <c r="X13" s="21"/>
      <c r="Y13" s="22"/>
      <c r="Z13" s="22"/>
    </row>
    <row r="14" spans="2:26" ht="15" hidden="1">
      <c r="B14" s="156">
        <v>1999</v>
      </c>
      <c r="C14" s="158"/>
      <c r="D14" s="159"/>
      <c r="E14" s="160"/>
      <c r="F14" s="157"/>
      <c r="G14" s="21"/>
      <c r="I14" s="283"/>
      <c r="J14" s="159"/>
      <c r="K14" s="284"/>
      <c r="N14" s="21"/>
      <c r="O14" s="22"/>
      <c r="P14" s="22"/>
      <c r="S14" s="304"/>
      <c r="T14" s="305"/>
      <c r="U14" s="284"/>
      <c r="X14" s="21"/>
      <c r="Y14" s="22"/>
      <c r="Z14" s="22"/>
    </row>
    <row r="15" spans="2:26" ht="15" hidden="1">
      <c r="B15" s="156">
        <v>2000</v>
      </c>
      <c r="C15" s="158"/>
      <c r="D15" s="159"/>
      <c r="E15" s="160"/>
      <c r="F15" s="157"/>
      <c r="G15" s="21"/>
      <c r="I15" s="283"/>
      <c r="J15" s="159"/>
      <c r="K15" s="284"/>
      <c r="N15" s="21"/>
      <c r="O15" s="22"/>
      <c r="P15" s="22"/>
      <c r="S15" s="304"/>
      <c r="T15" s="305"/>
      <c r="U15" s="284"/>
      <c r="X15" s="21"/>
      <c r="Y15" s="22"/>
      <c r="Z15" s="22"/>
    </row>
    <row r="16" spans="2:26" ht="15" hidden="1">
      <c r="B16" s="156">
        <v>2001</v>
      </c>
      <c r="C16" s="158"/>
      <c r="D16" s="159"/>
      <c r="E16" s="160"/>
      <c r="F16" s="157"/>
      <c r="G16" s="21"/>
      <c r="I16" s="283"/>
      <c r="J16" s="159"/>
      <c r="K16" s="284"/>
      <c r="N16" s="21"/>
      <c r="O16" s="22"/>
      <c r="P16" s="22"/>
      <c r="S16" s="304"/>
      <c r="T16" s="305"/>
      <c r="U16" s="284"/>
      <c r="X16" s="21"/>
      <c r="Y16" s="22"/>
      <c r="Z16" s="22"/>
    </row>
    <row r="17" spans="2:26" ht="15">
      <c r="B17" s="156">
        <v>2002</v>
      </c>
      <c r="C17" s="161">
        <f>K17</f>
        <v>1</v>
      </c>
      <c r="D17" s="159">
        <f>'Can O&amp;M price indexes'!N15</f>
        <v>1</v>
      </c>
      <c r="E17" s="160">
        <f>'US O&amp;M price indexes'!K14</f>
        <v>1</v>
      </c>
      <c r="F17" s="174">
        <f>TFP_dataset!J5/TFP_dataset!J213</f>
        <v>0.22785108411987368</v>
      </c>
      <c r="G17" s="21"/>
      <c r="H17" s="290">
        <f t="shared" ref="H17:H29" si="0">B17</f>
        <v>2002</v>
      </c>
      <c r="I17" s="285">
        <v>1</v>
      </c>
      <c r="J17" s="279">
        <v>1</v>
      </c>
      <c r="K17" s="286">
        <v>1</v>
      </c>
      <c r="L17" s="66"/>
      <c r="M17" s="290">
        <f t="shared" ref="M17:M27" si="1">B17</f>
        <v>2002</v>
      </c>
      <c r="N17" s="293">
        <f t="shared" ref="N17:N29" si="2">$L$1*S17+$L$2*X17</f>
        <v>1</v>
      </c>
      <c r="O17" s="293">
        <f t="shared" ref="O17:O29" si="3">$L$1*T17+$L$2*Y17</f>
        <v>1</v>
      </c>
      <c r="P17" s="294">
        <f t="shared" ref="P17:P29" si="4">$L$1*U17+$L$2*Z17</f>
        <v>1</v>
      </c>
      <c r="R17" s="290">
        <f t="shared" ref="R17:R27" si="5">B17</f>
        <v>2002</v>
      </c>
      <c r="S17" s="304">
        <f>'Can O&amp;M price indexes'!D15</f>
        <v>1</v>
      </c>
      <c r="T17" s="159">
        <f>'Can O&amp;M price indexes'!H15</f>
        <v>1</v>
      </c>
      <c r="U17" s="284">
        <f>'Can O&amp;M price indexes'!M15</f>
        <v>1</v>
      </c>
      <c r="V17" s="66"/>
      <c r="W17" s="312">
        <f t="shared" ref="W17:W27" si="6">B17</f>
        <v>2002</v>
      </c>
      <c r="X17" s="313">
        <f>'US O&amp;M price indexes'!D14</f>
        <v>1</v>
      </c>
      <c r="Y17" s="313">
        <f>'US O&amp;M price indexes'!F14</f>
        <v>1</v>
      </c>
      <c r="Z17" s="314">
        <f>'US O&amp;M price indexes'!J14</f>
        <v>1</v>
      </c>
    </row>
    <row r="18" spans="2:26" ht="15">
      <c r="B18" s="156">
        <v>2003</v>
      </c>
      <c r="C18" s="161">
        <f>K18</f>
        <v>1.0238202306086766</v>
      </c>
      <c r="D18" s="159">
        <f>'Can O&amp;M price indexes'!N16</f>
        <v>1.0216477671655084</v>
      </c>
      <c r="E18" s="160">
        <f>'US O&amp;M price indexes'!K15</f>
        <v>1.024452921630012</v>
      </c>
      <c r="F18" s="174">
        <f>TFP_dataset!J6/TFP_dataset!J214</f>
        <v>0.23304621269884321</v>
      </c>
      <c r="G18" s="21"/>
      <c r="H18" s="291">
        <f t="shared" si="0"/>
        <v>2003</v>
      </c>
      <c r="I18" s="285">
        <f>I17*N18</f>
        <v>1.0265498367770962</v>
      </c>
      <c r="J18" s="279">
        <f t="shared" ref="J18:K26" si="7">J17*O18</f>
        <v>1.0192300115086848</v>
      </c>
      <c r="K18" s="286">
        <f t="shared" si="7"/>
        <v>1.0238202306086766</v>
      </c>
      <c r="M18" s="291">
        <f t="shared" si="1"/>
        <v>2003</v>
      </c>
      <c r="N18" s="161">
        <f t="shared" si="2"/>
        <v>1.0265498367770962</v>
      </c>
      <c r="O18" s="161">
        <f t="shared" si="3"/>
        <v>1.0192300115086848</v>
      </c>
      <c r="P18" s="295">
        <f t="shared" si="4"/>
        <v>1.0238202306086766</v>
      </c>
      <c r="R18" s="291">
        <f t="shared" si="5"/>
        <v>2003</v>
      </c>
      <c r="S18" s="304">
        <f>'Can O&amp;M price indexes'!D16</f>
        <v>1.024631789216031</v>
      </c>
      <c r="T18" s="159">
        <f>'Can O&amp;M price indexes'!H16</f>
        <v>1.0166297117516629</v>
      </c>
      <c r="U18" s="284">
        <f>'Can O&amp;M price indexes'!M16</f>
        <v>1.0216477671655084</v>
      </c>
      <c r="W18" s="315">
        <f t="shared" si="6"/>
        <v>2003</v>
      </c>
      <c r="X18" s="158">
        <f>'US O&amp;M price indexes'!D15</f>
        <v>1.0271084337349399</v>
      </c>
      <c r="Y18" s="158">
        <f>'US O&amp;M price indexes'!F15</f>
        <v>1.0199873021844945</v>
      </c>
      <c r="Z18" s="316">
        <f>'US O&amp;M price indexes'!J15</f>
        <v>1.024452921630012</v>
      </c>
    </row>
    <row r="19" spans="2:26" ht="15">
      <c r="B19" s="156">
        <v>2004</v>
      </c>
      <c r="C19" s="161">
        <f t="shared" ref="C19:C26" si="8">K19</f>
        <v>1.0526468999472851</v>
      </c>
      <c r="D19" s="159">
        <f>'Can O&amp;M price indexes'!N17</f>
        <v>1.046469360323721</v>
      </c>
      <c r="E19" s="160">
        <f>'US O&amp;M price indexes'!K16</f>
        <v>1.054449151296214</v>
      </c>
      <c r="F19" s="174">
        <f>TFP_dataset!J7/TFP_dataset!J215</f>
        <v>0.22010150276544066</v>
      </c>
      <c r="G19" s="21"/>
      <c r="H19" s="291">
        <f t="shared" si="0"/>
        <v>2004</v>
      </c>
      <c r="I19" s="285">
        <f t="shared" ref="I19:I26" si="9">I18*N19</f>
        <v>1.0571297767866208</v>
      </c>
      <c r="J19" s="279">
        <f t="shared" si="7"/>
        <v>1.045128409912442</v>
      </c>
      <c r="K19" s="286">
        <f t="shared" si="7"/>
        <v>1.0526468999472851</v>
      </c>
      <c r="M19" s="291">
        <f t="shared" si="1"/>
        <v>2004</v>
      </c>
      <c r="N19" s="161">
        <f t="shared" si="2"/>
        <v>1.0297890457082257</v>
      </c>
      <c r="O19" s="161">
        <f t="shared" si="3"/>
        <v>1.0254097682675396</v>
      </c>
      <c r="P19" s="295">
        <f t="shared" si="4"/>
        <v>1.0281559872297803</v>
      </c>
      <c r="R19" s="291">
        <f t="shared" si="5"/>
        <v>2004</v>
      </c>
      <c r="S19" s="304">
        <f>'Can O&amp;M price indexes'!D17</f>
        <v>1.0277190477498011</v>
      </c>
      <c r="T19" s="159">
        <f>'Can O&amp;M price indexes'!H17</f>
        <v>1.0185387131952017</v>
      </c>
      <c r="U19" s="284">
        <f>'Can O&amp;M price indexes'!M17</f>
        <v>1.0242956466562623</v>
      </c>
      <c r="W19" s="315">
        <f t="shared" si="6"/>
        <v>2004</v>
      </c>
      <c r="X19" s="158">
        <f>'US O&amp;M price indexes'!D16</f>
        <v>1.0303918954945348</v>
      </c>
      <c r="Y19" s="158">
        <f>'US O&amp;M price indexes'!F16</f>
        <v>1.0274108398460013</v>
      </c>
      <c r="Z19" s="316">
        <f>'US O&amp;M price indexes'!J16</f>
        <v>1.0292802421984164</v>
      </c>
    </row>
    <row r="20" spans="2:26" ht="15">
      <c r="B20" s="156">
        <v>2005</v>
      </c>
      <c r="C20" s="161">
        <f t="shared" si="8"/>
        <v>1.0837304003129602</v>
      </c>
      <c r="D20" s="159">
        <f>'Can O&amp;M price indexes'!N18</f>
        <v>1.0786967724726459</v>
      </c>
      <c r="E20" s="160">
        <f>'US O&amp;M price indexes'!K17</f>
        <v>1.0851966555201973</v>
      </c>
      <c r="F20" s="174">
        <f>TFP_dataset!J8/TFP_dataset!J216</f>
        <v>0.22793721029367725</v>
      </c>
      <c r="G20" s="21"/>
      <c r="H20" s="291">
        <f t="shared" si="0"/>
        <v>2005</v>
      </c>
      <c r="I20" s="285">
        <f t="shared" si="9"/>
        <v>1.0882562678508212</v>
      </c>
      <c r="J20" s="279">
        <f t="shared" si="7"/>
        <v>1.0761385024668007</v>
      </c>
      <c r="K20" s="286">
        <f t="shared" si="7"/>
        <v>1.0837304003129602</v>
      </c>
      <c r="M20" s="291">
        <f t="shared" si="1"/>
        <v>2005</v>
      </c>
      <c r="N20" s="161">
        <f t="shared" si="2"/>
        <v>1.0294443423576773</v>
      </c>
      <c r="O20" s="161">
        <f t="shared" si="3"/>
        <v>1.0296710837254501</v>
      </c>
      <c r="P20" s="295">
        <f t="shared" si="4"/>
        <v>1.0295288955557953</v>
      </c>
      <c r="R20" s="291">
        <f t="shared" si="5"/>
        <v>2005</v>
      </c>
      <c r="S20" s="304">
        <f>'Can O&amp;M price indexes'!D18</f>
        <v>1.0363760236183654</v>
      </c>
      <c r="T20" s="159">
        <f>'Can O&amp;M price indexes'!H18</f>
        <v>1.0214132762312633</v>
      </c>
      <c r="U20" s="284">
        <f>'Can O&amp;M price indexes'!M18</f>
        <v>1.0307963265536562</v>
      </c>
      <c r="W20" s="315">
        <f t="shared" si="6"/>
        <v>2005</v>
      </c>
      <c r="X20" s="158">
        <f>'US O&amp;M price indexes'!D17</f>
        <v>1.0274256144890039</v>
      </c>
      <c r="Y20" s="158">
        <f>'US O&amp;M price indexes'!F17</f>
        <v>1.0320760220796121</v>
      </c>
      <c r="Z20" s="316">
        <f>'US O&amp;M price indexes'!J17</f>
        <v>1.0291597790051668</v>
      </c>
    </row>
    <row r="21" spans="2:26" ht="15">
      <c r="B21" s="156">
        <v>2006</v>
      </c>
      <c r="C21" s="161">
        <f t="shared" si="8"/>
        <v>1.1143085688025613</v>
      </c>
      <c r="D21" s="159">
        <f>'Can O&amp;M price indexes'!N19</f>
        <v>1.099250227385117</v>
      </c>
      <c r="E21" s="160">
        <f>'US O&amp;M price indexes'!K18</f>
        <v>1.1187116934259167</v>
      </c>
      <c r="F21" s="174">
        <f>TFP_dataset!J9/TFP_dataset!J217</f>
        <v>0.23569870842290067</v>
      </c>
      <c r="G21" s="21"/>
      <c r="H21" s="291">
        <f t="shared" si="0"/>
        <v>2006</v>
      </c>
      <c r="I21" s="285">
        <f t="shared" si="9"/>
        <v>1.1183007697590339</v>
      </c>
      <c r="J21" s="279">
        <f t="shared" si="7"/>
        <v>1.1076022584505887</v>
      </c>
      <c r="K21" s="286">
        <f t="shared" si="7"/>
        <v>1.1143085688025613</v>
      </c>
      <c r="M21" s="291">
        <f t="shared" si="1"/>
        <v>2006</v>
      </c>
      <c r="N21" s="161">
        <f t="shared" si="2"/>
        <v>1.027607929120911</v>
      </c>
      <c r="O21" s="161">
        <f t="shared" si="3"/>
        <v>1.0292376454440246</v>
      </c>
      <c r="P21" s="295">
        <f t="shared" si="4"/>
        <v>1.0282156599840429</v>
      </c>
      <c r="R21" s="291">
        <f t="shared" si="5"/>
        <v>2006</v>
      </c>
      <c r="S21" s="304">
        <f>'Can O&amp;M price indexes'!D19</f>
        <v>1.0160479505027069</v>
      </c>
      <c r="T21" s="159">
        <f>'Can O&amp;M price indexes'!H19</f>
        <v>1.0241090146750524</v>
      </c>
      <c r="U21" s="284">
        <f>'Can O&amp;M price indexes'!M19</f>
        <v>1.0190539690457749</v>
      </c>
      <c r="W21" s="315">
        <f t="shared" si="6"/>
        <v>2006</v>
      </c>
      <c r="X21" s="158">
        <f>'US O&amp;M price indexes'!D18</f>
        <v>1.0309745656006042</v>
      </c>
      <c r="Y21" s="158">
        <f>'US O&amp;M price indexes'!F18</f>
        <v>1.0307312671891815</v>
      </c>
      <c r="Z21" s="316">
        <f>'US O&amp;M price indexes'!J18</f>
        <v>1.0308838381829086</v>
      </c>
    </row>
    <row r="22" spans="2:26" ht="15">
      <c r="B22" s="156">
        <v>2007</v>
      </c>
      <c r="C22" s="161">
        <f t="shared" si="8"/>
        <v>1.1487086369883091</v>
      </c>
      <c r="D22" s="159">
        <f>'Can O&amp;M price indexes'!N20</f>
        <v>1.1354504219317154</v>
      </c>
      <c r="E22" s="160">
        <f>'US O&amp;M price indexes'!K19</f>
        <v>1.1525763735895573</v>
      </c>
      <c r="F22" s="174">
        <f>TFP_dataset!J10/TFP_dataset!J218</f>
        <v>0.22869865785028543</v>
      </c>
      <c r="G22" s="21"/>
      <c r="H22" s="291">
        <f t="shared" si="0"/>
        <v>2007</v>
      </c>
      <c r="I22" s="285">
        <f t="shared" si="9"/>
        <v>1.1561512382764707</v>
      </c>
      <c r="J22" s="279">
        <f t="shared" si="7"/>
        <v>1.1362537373811261</v>
      </c>
      <c r="K22" s="286">
        <f t="shared" si="7"/>
        <v>1.1487086369883091</v>
      </c>
      <c r="M22" s="291">
        <f t="shared" si="1"/>
        <v>2007</v>
      </c>
      <c r="N22" s="161">
        <f t="shared" si="2"/>
        <v>1.0338464119322681</v>
      </c>
      <c r="O22" s="161">
        <f t="shared" si="3"/>
        <v>1.0258680214056421</v>
      </c>
      <c r="P22" s="295">
        <f t="shared" si="4"/>
        <v>1.0308712228810319</v>
      </c>
      <c r="R22" s="291">
        <f t="shared" si="5"/>
        <v>2007</v>
      </c>
      <c r="S22" s="304">
        <f>'Can O&amp;M price indexes'!D20</f>
        <v>1.0385156993339677</v>
      </c>
      <c r="T22" s="159">
        <f>'Can O&amp;M price indexes'!H20</f>
        <v>1.0235414534288638</v>
      </c>
      <c r="U22" s="284">
        <f>'Can O&amp;M price indexes'!M20</f>
        <v>1.0329317144038359</v>
      </c>
      <c r="W22" s="315">
        <f t="shared" si="6"/>
        <v>2007</v>
      </c>
      <c r="X22" s="158">
        <f>'US O&amp;M price indexes'!D19</f>
        <v>1.032486565705911</v>
      </c>
      <c r="Y22" s="158">
        <f>'US O&amp;M price indexes'!F19</f>
        <v>1.0265455926089984</v>
      </c>
      <c r="Z22" s="316">
        <f>'US O&amp;M price indexes'!J19</f>
        <v>1.0302711416736283</v>
      </c>
    </row>
    <row r="23" spans="2:26" ht="15">
      <c r="B23" s="156">
        <v>2008</v>
      </c>
      <c r="C23" s="161">
        <f t="shared" si="8"/>
        <v>1.1792508922759959</v>
      </c>
      <c r="D23" s="159">
        <f>'Can O&amp;M price indexes'!N21</f>
        <v>1.1628231376944895</v>
      </c>
      <c r="E23" s="160">
        <f>'US O&amp;M price indexes'!K20</f>
        <v>1.184054247945642</v>
      </c>
      <c r="F23" s="174">
        <f>TFP_dataset!J11/TFP_dataset!J219</f>
        <v>0.23762543984604442</v>
      </c>
      <c r="G23" s="21"/>
      <c r="H23" s="291">
        <f t="shared" si="0"/>
        <v>2008</v>
      </c>
      <c r="I23" s="285">
        <f t="shared" si="9"/>
        <v>1.1908956139646618</v>
      </c>
      <c r="J23" s="279">
        <f t="shared" si="7"/>
        <v>1.1598470389287638</v>
      </c>
      <c r="K23" s="286">
        <f t="shared" si="7"/>
        <v>1.1792508922759959</v>
      </c>
      <c r="M23" s="291">
        <f t="shared" si="1"/>
        <v>2008</v>
      </c>
      <c r="N23" s="161">
        <f t="shared" si="2"/>
        <v>1.0300517566715459</v>
      </c>
      <c r="O23" s="161">
        <f t="shared" si="3"/>
        <v>1.0207641134822723</v>
      </c>
      <c r="P23" s="295">
        <f t="shared" si="4"/>
        <v>1.0265883395529807</v>
      </c>
      <c r="R23" s="291">
        <f t="shared" si="5"/>
        <v>2008</v>
      </c>
      <c r="S23" s="304">
        <f>'Can O&amp;M price indexes'!D21</f>
        <v>1.0235765504941303</v>
      </c>
      <c r="T23" s="159">
        <f>'Can O&amp;M price indexes'!H21</f>
        <v>1.0249999999999999</v>
      </c>
      <c r="U23" s="284">
        <f>'Can O&amp;M price indexes'!M21</f>
        <v>1.0241073632402247</v>
      </c>
      <c r="W23" s="315">
        <f t="shared" si="6"/>
        <v>2008</v>
      </c>
      <c r="X23" s="158">
        <f>'US O&amp;M price indexes'!D20</f>
        <v>1.0319375443577006</v>
      </c>
      <c r="Y23" s="158">
        <f>'US O&amp;M price indexes'!F20</f>
        <v>1.0195304874916526</v>
      </c>
      <c r="Z23" s="316">
        <f>'US O&amp;M price indexes'!J20</f>
        <v>1.0273108794153489</v>
      </c>
    </row>
    <row r="24" spans="2:26" ht="15">
      <c r="B24" s="156">
        <v>2009</v>
      </c>
      <c r="C24" s="161">
        <f t="shared" si="8"/>
        <v>1.201361014702899</v>
      </c>
      <c r="D24" s="159">
        <f>'Can O&amp;M price indexes'!N22</f>
        <v>1.177420350781766</v>
      </c>
      <c r="E24" s="160">
        <f>'US O&amp;M price indexes'!K21</f>
        <v>1.2083910392257591</v>
      </c>
      <c r="F24" s="174">
        <f>TFP_dataset!J12/TFP_dataset!J220</f>
        <v>0.23676533742475953</v>
      </c>
      <c r="G24" s="21"/>
      <c r="H24" s="291">
        <f t="shared" si="0"/>
        <v>2009</v>
      </c>
      <c r="I24" s="285">
        <f t="shared" si="9"/>
        <v>1.2204094708391033</v>
      </c>
      <c r="J24" s="279">
        <f t="shared" si="7"/>
        <v>1.1698251092797434</v>
      </c>
      <c r="K24" s="286">
        <f t="shared" si="7"/>
        <v>1.201361014702899</v>
      </c>
      <c r="M24" s="291">
        <f t="shared" si="1"/>
        <v>2009</v>
      </c>
      <c r="N24" s="161">
        <f t="shared" si="2"/>
        <v>1.0247829083660704</v>
      </c>
      <c r="O24" s="161">
        <f t="shared" si="3"/>
        <v>1.0086029191919956</v>
      </c>
      <c r="P24" s="295">
        <f t="shared" si="4"/>
        <v>1.0187492946341807</v>
      </c>
      <c r="R24" s="291">
        <f t="shared" si="5"/>
        <v>2009</v>
      </c>
      <c r="S24" s="304">
        <f>'Can O&amp;M price indexes'!D22</f>
        <v>1.0130562948288002</v>
      </c>
      <c r="T24" s="159">
        <f>'Can O&amp;M price indexes'!H22</f>
        <v>1.0117073170731707</v>
      </c>
      <c r="U24" s="284">
        <f>'Can O&amp;M price indexes'!M22</f>
        <v>1.0125532530391665</v>
      </c>
      <c r="W24" s="315">
        <f t="shared" si="6"/>
        <v>2009</v>
      </c>
      <c r="X24" s="158">
        <f>'US O&amp;M price indexes'!D21</f>
        <v>1.028198074277854</v>
      </c>
      <c r="Y24" s="158">
        <f>'US O&amp;M price indexes'!F21</f>
        <v>1.0076988189769842</v>
      </c>
      <c r="Z24" s="316">
        <f>'US O&amp;M price indexes'!J21</f>
        <v>1.020553780641674</v>
      </c>
    </row>
    <row r="25" spans="2:26" ht="15">
      <c r="B25" s="156">
        <v>2010</v>
      </c>
      <c r="C25" s="161">
        <f t="shared" si="8"/>
        <v>1.2275959636065914</v>
      </c>
      <c r="D25" s="159">
        <f>'Can O&amp;M price indexes'!N23</f>
        <v>1.2104167536102524</v>
      </c>
      <c r="E25" s="160">
        <f>'US O&amp;M price indexes'!K22</f>
        <v>1.2326022954546594</v>
      </c>
      <c r="F25" s="174">
        <f>TFP_dataset!J13/TFP_dataset!J221</f>
        <v>0.21977972051385733</v>
      </c>
      <c r="G25" s="21"/>
      <c r="H25" s="291">
        <f t="shared" si="0"/>
        <v>2010</v>
      </c>
      <c r="I25" s="285">
        <f t="shared" si="9"/>
        <v>1.2543659546263783</v>
      </c>
      <c r="J25" s="279">
        <f>J24*O25</f>
        <v>1.1835952636110771</v>
      </c>
      <c r="K25" s="286">
        <f t="shared" si="7"/>
        <v>1.2275959636065914</v>
      </c>
      <c r="M25" s="291">
        <f t="shared" si="1"/>
        <v>2010</v>
      </c>
      <c r="N25" s="161">
        <f t="shared" si="2"/>
        <v>1.0278238448640749</v>
      </c>
      <c r="O25" s="161">
        <f t="shared" si="3"/>
        <v>1.0117711222148513</v>
      </c>
      <c r="P25" s="295">
        <f t="shared" si="4"/>
        <v>1.0218376895725889</v>
      </c>
      <c r="R25" s="291">
        <f t="shared" si="5"/>
        <v>2010</v>
      </c>
      <c r="S25" s="304">
        <f>'Can O&amp;M price indexes'!D23</f>
        <v>1.0383813394592682</v>
      </c>
      <c r="T25" s="159">
        <f>'Can O&amp;M price indexes'!H23</f>
        <v>1.0106075216972035</v>
      </c>
      <c r="U25" s="284">
        <f>'Can O&amp;M price indexes'!M23</f>
        <v>1.0280243184233888</v>
      </c>
      <c r="W25" s="315">
        <f t="shared" si="6"/>
        <v>2010</v>
      </c>
      <c r="X25" s="158">
        <f>'US O&amp;M price indexes'!D22</f>
        <v>1.0247491638795987</v>
      </c>
      <c r="Y25" s="158">
        <f>'US O&amp;M price indexes'!F22</f>
        <v>1.0121100000000001</v>
      </c>
      <c r="Z25" s="316">
        <f>'US O&amp;M price indexes'!J22</f>
        <v>1.0200359448580594</v>
      </c>
    </row>
    <row r="26" spans="2:26" ht="15">
      <c r="B26" s="156">
        <v>2011</v>
      </c>
      <c r="C26" s="161">
        <f t="shared" si="8"/>
        <v>1.2558568839813242</v>
      </c>
      <c r="D26" s="159">
        <f>'Can O&amp;M price indexes'!N24</f>
        <v>1.2315008058407915</v>
      </c>
      <c r="E26" s="160">
        <f>'US O&amp;M price indexes'!K23</f>
        <v>1.2629896221827595</v>
      </c>
      <c r="F26" s="174">
        <f>TFP_dataset!J14/TFP_dataset!J222</f>
        <v>0.21455820880113402</v>
      </c>
      <c r="G26" s="21"/>
      <c r="H26" s="291">
        <f t="shared" si="0"/>
        <v>2011</v>
      </c>
      <c r="I26" s="285">
        <f t="shared" si="9"/>
        <v>1.2850550151949613</v>
      </c>
      <c r="J26" s="279">
        <f>J25*O26</f>
        <v>1.2079682357440786</v>
      </c>
      <c r="K26" s="286">
        <f t="shared" si="7"/>
        <v>1.2558568839813242</v>
      </c>
      <c r="M26" s="291">
        <f t="shared" si="1"/>
        <v>2011</v>
      </c>
      <c r="N26" s="161">
        <f t="shared" si="2"/>
        <v>1.0244657952134264</v>
      </c>
      <c r="O26" s="161">
        <f t="shared" si="3"/>
        <v>1.0205923197585642</v>
      </c>
      <c r="P26" s="295">
        <f t="shared" si="4"/>
        <v>1.0230213532893218</v>
      </c>
      <c r="R26" s="291">
        <f t="shared" si="5"/>
        <v>2011</v>
      </c>
      <c r="S26" s="304">
        <f>'Can O&amp;M price indexes'!D24</f>
        <v>1.0135915500947323</v>
      </c>
      <c r="T26" s="159">
        <f>'Can O&amp;M price indexes'!H24</f>
        <v>1.0238549618320612</v>
      </c>
      <c r="U26" s="284">
        <f>'Can O&amp;M price indexes'!M24</f>
        <v>1.0174188370804127</v>
      </c>
      <c r="W26" s="315">
        <f t="shared" si="6"/>
        <v>2011</v>
      </c>
      <c r="X26" s="158">
        <f>'US O&amp;M price indexes'!D23</f>
        <v>1.0276327241079199</v>
      </c>
      <c r="Y26" s="158">
        <f>'US O&amp;M price indexes'!F23</f>
        <v>1.0196421337601644</v>
      </c>
      <c r="Z26" s="316">
        <f>'US O&amp;M price indexes'!J23</f>
        <v>1.0246529856711741</v>
      </c>
    </row>
    <row r="27" spans="2:26" ht="15">
      <c r="B27" s="156">
        <v>2012</v>
      </c>
      <c r="C27" s="161">
        <f>K27</f>
        <v>1.2814663108971021</v>
      </c>
      <c r="D27" s="159">
        <f>'Can O&amp;M price indexes'!N25</f>
        <v>1.2501652753742629</v>
      </c>
      <c r="E27" s="160">
        <f>'US O&amp;M price indexes'!K24</f>
        <v>1.2906704663485338</v>
      </c>
      <c r="F27" s="174">
        <f>TFP_dataset!J15/TFP_dataset!J223</f>
        <v>0.21589497078606987</v>
      </c>
      <c r="G27" s="21"/>
      <c r="H27" s="291">
        <f t="shared" si="0"/>
        <v>2012</v>
      </c>
      <c r="I27" s="285">
        <f>I26*N27</f>
        <v>1.3136118098065932</v>
      </c>
      <c r="J27" s="279">
        <f>J26*O27</f>
        <v>1.2288832230447089</v>
      </c>
      <c r="K27" s="286">
        <f>K26*P27</f>
        <v>1.2814663108971021</v>
      </c>
      <c r="L27" s="147"/>
      <c r="M27" s="291">
        <f t="shared" si="1"/>
        <v>2012</v>
      </c>
      <c r="N27" s="161">
        <f t="shared" si="2"/>
        <v>1.0222222350591732</v>
      </c>
      <c r="O27" s="161">
        <f t="shared" si="3"/>
        <v>1.0173141864841728</v>
      </c>
      <c r="P27" s="295">
        <f t="shared" si="4"/>
        <v>1.0203919946949613</v>
      </c>
      <c r="Q27" s="147"/>
      <c r="R27" s="291">
        <f t="shared" si="5"/>
        <v>2012</v>
      </c>
      <c r="S27" s="304">
        <f>'Can O&amp;M price indexes'!D25</f>
        <v>1.0141928118109267</v>
      </c>
      <c r="T27" s="159">
        <f>'Can O&amp;M price indexes'!H25</f>
        <v>1.0167753960857409</v>
      </c>
      <c r="U27" s="284">
        <f>'Can O&amp;M price indexes'!M25</f>
        <v>1.0151558727732448</v>
      </c>
      <c r="V27" s="147"/>
      <c r="W27" s="315">
        <f t="shared" si="6"/>
        <v>2012</v>
      </c>
      <c r="X27" s="158">
        <f>'US O&amp;M price indexes'!D24</f>
        <v>1.0245606605970781</v>
      </c>
      <c r="Y27" s="158">
        <f>'US O&amp;M price indexes'!F24</f>
        <v>1.0174710995261582</v>
      </c>
      <c r="Z27" s="316">
        <f>'US O&amp;M price indexes'!J24</f>
        <v>1.0219169213108299</v>
      </c>
    </row>
    <row r="28" spans="2:26" ht="15">
      <c r="B28" s="156">
        <v>2013</v>
      </c>
      <c r="C28" s="161">
        <f t="shared" ref="C28:C29" si="10">K28</f>
        <v>1.3089737069096932</v>
      </c>
      <c r="D28" s="159">
        <f>'Can O&amp;M price indexes'!N26</f>
        <v>1.2704232442229755</v>
      </c>
      <c r="E28" s="160">
        <f>'US O&amp;M price indexes'!K25</f>
        <v>1.320353088039588</v>
      </c>
      <c r="F28" s="174">
        <f>TFP_dataset!J16/TFP_dataset!J224</f>
        <v>0.21686012394197948</v>
      </c>
      <c r="G28" s="21"/>
      <c r="H28" s="291">
        <f t="shared" si="0"/>
        <v>2013</v>
      </c>
      <c r="I28" s="285">
        <f t="shared" ref="I28:I29" si="11">I27*N28</f>
        <v>1.3463710647841836</v>
      </c>
      <c r="J28" s="279">
        <f t="shared" ref="J28:J29" si="12">J27*O28</f>
        <v>1.2480853250649357</v>
      </c>
      <c r="K28" s="286">
        <f>K27*P28</f>
        <v>1.3089737069096932</v>
      </c>
      <c r="M28" s="291">
        <f t="shared" ref="M28:M29" si="13">B28</f>
        <v>2013</v>
      </c>
      <c r="N28" s="161">
        <f t="shared" si="2"/>
        <v>1.0249383072937002</v>
      </c>
      <c r="O28" s="161">
        <f t="shared" si="3"/>
        <v>1.0156256523485212</v>
      </c>
      <c r="P28" s="295">
        <f t="shared" si="4"/>
        <v>1.0214655631433138</v>
      </c>
      <c r="R28" s="291">
        <f t="shared" ref="R28:R29" si="14">B28</f>
        <v>2013</v>
      </c>
      <c r="S28" s="304">
        <f>'Can O&amp;M price indexes'!D26</f>
        <v>1.0154841130572019</v>
      </c>
      <c r="T28" s="159">
        <f>'Can O&amp;M price indexes'!H26</f>
        <v>1.0174152153987168</v>
      </c>
      <c r="U28" s="284">
        <f>'Can O&amp;M price indexes'!M26</f>
        <v>1.0162042325504905</v>
      </c>
      <c r="W28" s="315">
        <f t="shared" ref="W28:W29" si="15">B28</f>
        <v>2013</v>
      </c>
      <c r="X28" s="158">
        <f>'US O&amp;M price indexes'!D25</f>
        <v>1.0276916718330233</v>
      </c>
      <c r="Y28" s="158">
        <f>'US O&amp;M price indexes'!F25</f>
        <v>1.0151044742004913</v>
      </c>
      <c r="Z28" s="316">
        <f>'US O&amp;M price indexes'!J25</f>
        <v>1.0229978313326018</v>
      </c>
    </row>
    <row r="29" spans="2:26" ht="15.75" thickBot="1">
      <c r="B29" s="156">
        <v>2014</v>
      </c>
      <c r="C29" s="161">
        <f t="shared" si="10"/>
        <v>1.3397224635646687</v>
      </c>
      <c r="D29" s="159">
        <f>'Can O&amp;M price indexes'!N27</f>
        <v>1.296459337573129</v>
      </c>
      <c r="E29" s="160">
        <f>'US O&amp;M price indexes'!K26</f>
        <v>1.3525214754548154</v>
      </c>
      <c r="F29" s="174">
        <f>TFP_dataset!J17/TFP_dataset!J225</f>
        <v>0.21727921203579262</v>
      </c>
      <c r="G29" s="21"/>
      <c r="H29" s="292">
        <f t="shared" si="0"/>
        <v>2014</v>
      </c>
      <c r="I29" s="287">
        <f t="shared" si="11"/>
        <v>1.3806966587934761</v>
      </c>
      <c r="J29" s="288">
        <f t="shared" si="12"/>
        <v>1.2731973689771943</v>
      </c>
      <c r="K29" s="289">
        <f t="shared" ref="K29" si="16">K28*P29</f>
        <v>1.3397224635646687</v>
      </c>
      <c r="M29" s="292">
        <f t="shared" si="13"/>
        <v>2014</v>
      </c>
      <c r="N29" s="296">
        <f t="shared" si="2"/>
        <v>1.0254948987742802</v>
      </c>
      <c r="O29" s="296">
        <f t="shared" si="3"/>
        <v>1.0201204544336357</v>
      </c>
      <c r="P29" s="297">
        <f t="shared" si="4"/>
        <v>1.0234907366684769</v>
      </c>
      <c r="R29" s="292">
        <f t="shared" si="14"/>
        <v>2014</v>
      </c>
      <c r="S29" s="306">
        <f>'Can O&amp;M price indexes'!D27</f>
        <v>1.0198235012824415</v>
      </c>
      <c r="T29" s="307">
        <f>'Can O&amp;M price indexes'!H27</f>
        <v>1.0216216216216216</v>
      </c>
      <c r="U29" s="308">
        <f>'Can O&amp;M price indexes'!M27</f>
        <v>1.0204940309999428</v>
      </c>
      <c r="W29" s="317">
        <f t="shared" si="15"/>
        <v>2014</v>
      </c>
      <c r="X29" s="318">
        <f>'US O&amp;M price indexes'!D26</f>
        <v>1.027146591594611</v>
      </c>
      <c r="Y29" s="318">
        <f>'US O&amp;M price indexes'!F26</f>
        <v>1.0196832664089768</v>
      </c>
      <c r="Z29" s="319">
        <f>'US O&amp;M price indexes'!J26</f>
        <v>1.024363473457687</v>
      </c>
    </row>
    <row r="30" spans="2:26" ht="15.75" thickBot="1">
      <c r="B30" s="176" t="s">
        <v>248</v>
      </c>
      <c r="C30" s="177">
        <f>C58</f>
        <v>2.4371872980700062E-2</v>
      </c>
      <c r="D30" s="177">
        <f>D58</f>
        <v>2.1636413522948452E-2</v>
      </c>
      <c r="E30" s="178">
        <f>E58</f>
        <v>2.5164217496034522E-2</v>
      </c>
      <c r="F30" s="175">
        <f>AVERAGE(F17:F27)</f>
        <v>0.22708700486571692</v>
      </c>
    </row>
    <row r="31" spans="2:26">
      <c r="I31" s="9"/>
      <c r="J31" s="9"/>
      <c r="K31" s="9"/>
    </row>
    <row r="32" spans="2:26">
      <c r="C32" s="309" t="s">
        <v>215</v>
      </c>
      <c r="D32" s="310" t="s">
        <v>213</v>
      </c>
      <c r="E32" s="311" t="s">
        <v>214</v>
      </c>
    </row>
    <row r="33" spans="2:5" ht="75">
      <c r="B33" s="322" t="s">
        <v>4</v>
      </c>
      <c r="C33" s="302" t="s">
        <v>242</v>
      </c>
      <c r="D33" s="302" t="s">
        <v>242</v>
      </c>
      <c r="E33" s="303" t="s">
        <v>242</v>
      </c>
    </row>
    <row r="34" spans="2:5" hidden="1">
      <c r="B34" s="184">
        <v>1991</v>
      </c>
      <c r="C34" s="158"/>
      <c r="D34" s="159"/>
      <c r="E34" s="316"/>
    </row>
    <row r="35" spans="2:5" hidden="1">
      <c r="B35" s="184">
        <v>1992</v>
      </c>
      <c r="C35" s="158"/>
      <c r="D35" s="159"/>
      <c r="E35" s="316"/>
    </row>
    <row r="36" spans="2:5" hidden="1">
      <c r="B36" s="184">
        <v>1993</v>
      </c>
      <c r="C36" s="158"/>
      <c r="D36" s="159"/>
      <c r="E36" s="316"/>
    </row>
    <row r="37" spans="2:5" hidden="1">
      <c r="B37" s="184">
        <v>1994</v>
      </c>
      <c r="C37" s="158"/>
      <c r="D37" s="159"/>
      <c r="E37" s="316"/>
    </row>
    <row r="38" spans="2:5" hidden="1">
      <c r="B38" s="184">
        <v>1995</v>
      </c>
      <c r="C38" s="158"/>
      <c r="D38" s="159"/>
      <c r="E38" s="316"/>
    </row>
    <row r="39" spans="2:5" hidden="1">
      <c r="B39" s="184">
        <v>1996</v>
      </c>
      <c r="C39" s="158"/>
      <c r="D39" s="159"/>
      <c r="E39" s="316"/>
    </row>
    <row r="40" spans="2:5" hidden="1">
      <c r="B40" s="184">
        <v>1997</v>
      </c>
      <c r="C40" s="158"/>
      <c r="D40" s="159"/>
      <c r="E40" s="316"/>
    </row>
    <row r="41" spans="2:5" hidden="1">
      <c r="B41" s="184">
        <v>1998</v>
      </c>
      <c r="C41" s="158"/>
      <c r="D41" s="159"/>
      <c r="E41" s="316"/>
    </row>
    <row r="42" spans="2:5" hidden="1">
      <c r="B42" s="184">
        <v>1999</v>
      </c>
      <c r="C42" s="158"/>
      <c r="D42" s="159"/>
      <c r="E42" s="316"/>
    </row>
    <row r="43" spans="2:5" hidden="1">
      <c r="B43" s="184">
        <v>2000</v>
      </c>
      <c r="C43" s="158"/>
      <c r="D43" s="159"/>
      <c r="E43" s="316"/>
    </row>
    <row r="44" spans="2:5" hidden="1">
      <c r="B44" s="184">
        <v>2001</v>
      </c>
      <c r="C44" s="158"/>
      <c r="D44" s="159"/>
      <c r="E44" s="316"/>
    </row>
    <row r="45" spans="2:5">
      <c r="B45" s="184">
        <v>2002</v>
      </c>
      <c r="C45" s="161"/>
      <c r="D45" s="159"/>
      <c r="E45" s="316"/>
    </row>
    <row r="46" spans="2:5">
      <c r="B46" s="184">
        <v>2003</v>
      </c>
      <c r="C46" s="141">
        <f>LN(C18/C17)</f>
        <v>2.3540955159335276E-2</v>
      </c>
      <c r="D46" s="141">
        <f>LN(D18/D17)</f>
        <v>2.1416781852885459E-2</v>
      </c>
      <c r="E46" s="323">
        <f>LN(E18/E17)</f>
        <v>2.4158735108036223E-2</v>
      </c>
    </row>
    <row r="47" spans="2:5">
      <c r="B47" s="184">
        <v>2004</v>
      </c>
      <c r="C47" s="141">
        <f t="shared" ref="C47:E55" si="17">LN(C19/C18)</f>
        <v>2.7766894072213912E-2</v>
      </c>
      <c r="D47" s="141">
        <f t="shared" si="17"/>
        <v>2.4005202384213276E-2</v>
      </c>
      <c r="E47" s="323">
        <f t="shared" si="17"/>
        <v>2.8859763989106637E-2</v>
      </c>
    </row>
    <row r="48" spans="2:5">
      <c r="B48" s="184">
        <v>2005</v>
      </c>
      <c r="C48" s="141">
        <f t="shared" si="17"/>
        <v>2.9101314654516191E-2</v>
      </c>
      <c r="D48" s="141">
        <f t="shared" si="17"/>
        <v>3.0331636104872561E-2</v>
      </c>
      <c r="E48" s="323">
        <f t="shared" si="17"/>
        <v>2.8742720798975951E-2</v>
      </c>
    </row>
    <row r="49" spans="2:5">
      <c r="B49" s="184">
        <v>2006</v>
      </c>
      <c r="C49" s="141">
        <f t="shared" si="17"/>
        <v>2.7824931007667825E-2</v>
      </c>
      <c r="D49" s="141">
        <f t="shared" si="17"/>
        <v>1.8874715591569873E-2</v>
      </c>
      <c r="E49" s="323">
        <f t="shared" si="17"/>
        <v>3.041652961144244E-2</v>
      </c>
    </row>
    <row r="50" spans="2:5">
      <c r="B50" s="184">
        <v>2007</v>
      </c>
      <c r="C50" s="141">
        <f t="shared" si="17"/>
        <v>3.0404292171491321E-2</v>
      </c>
      <c r="D50" s="141">
        <f t="shared" si="17"/>
        <v>3.2401083793605553E-2</v>
      </c>
      <c r="E50" s="323">
        <f t="shared" si="17"/>
        <v>2.9822011942160255E-2</v>
      </c>
    </row>
    <row r="51" spans="2:5">
      <c r="B51" s="184">
        <v>2008</v>
      </c>
      <c r="C51" s="141">
        <f t="shared" si="17"/>
        <v>2.6241012763741037E-2</v>
      </c>
      <c r="D51" s="141">
        <f t="shared" si="17"/>
        <v>2.3821368035544386E-2</v>
      </c>
      <c r="E51" s="323">
        <f t="shared" si="17"/>
        <v>2.6944591484158818E-2</v>
      </c>
    </row>
    <row r="52" spans="2:5">
      <c r="B52" s="184">
        <v>2009</v>
      </c>
      <c r="C52" s="141">
        <f t="shared" si="17"/>
        <v>1.8575693189069441E-2</v>
      </c>
      <c r="D52" s="141">
        <f t="shared" si="17"/>
        <v>1.2475114209695947E-2</v>
      </c>
      <c r="E52" s="323">
        <f t="shared" si="17"/>
        <v>2.0345402164965967E-2</v>
      </c>
    </row>
    <row r="53" spans="2:5">
      <c r="B53" s="184">
        <v>2010</v>
      </c>
      <c r="C53" s="141">
        <f t="shared" si="17"/>
        <v>2.160266270366528E-2</v>
      </c>
      <c r="D53" s="141">
        <f t="shared" si="17"/>
        <v>2.7638822807053508E-2</v>
      </c>
      <c r="E53" s="323">
        <f t="shared" si="17"/>
        <v>1.9837866732184448E-2</v>
      </c>
    </row>
    <row r="54" spans="2:5">
      <c r="B54" s="184">
        <v>2011</v>
      </c>
      <c r="C54" s="141">
        <f t="shared" si="17"/>
        <v>2.2760359957240218E-2</v>
      </c>
      <c r="D54" s="141">
        <f t="shared" si="17"/>
        <v>1.7268868155919496E-2</v>
      </c>
      <c r="E54" s="323">
        <f t="shared" si="17"/>
        <v>2.435400470448313E-2</v>
      </c>
    </row>
    <row r="55" spans="2:5">
      <c r="B55" s="184">
        <v>2012</v>
      </c>
      <c r="C55" s="141">
        <f>LN(C27/C26)</f>
        <v>2.0186861993045067E-2</v>
      </c>
      <c r="D55" s="141">
        <f t="shared" si="17"/>
        <v>1.5042169937926779E-2</v>
      </c>
      <c r="E55" s="323">
        <f t="shared" si="17"/>
        <v>2.1680198174762202E-2</v>
      </c>
    </row>
    <row r="56" spans="2:5">
      <c r="B56" s="184">
        <v>2013</v>
      </c>
      <c r="C56" s="141">
        <f>LN(C28/C27)</f>
        <v>2.1238422659614394E-2</v>
      </c>
      <c r="D56" s="141">
        <f t="shared" ref="D56:E56" si="18">LN(D28/D27)</f>
        <v>1.6074345245075755E-2</v>
      </c>
      <c r="E56" s="323">
        <f t="shared" si="18"/>
        <v>2.2737367057762265E-2</v>
      </c>
    </row>
    <row r="57" spans="2:5">
      <c r="B57" s="184">
        <v>2014</v>
      </c>
      <c r="C57" s="141">
        <f t="shared" ref="C57:E57" si="19">LN(C29/C28)</f>
        <v>2.3219075436800816E-2</v>
      </c>
      <c r="D57" s="141">
        <f t="shared" si="19"/>
        <v>2.0286854157018835E-2</v>
      </c>
      <c r="E57" s="323">
        <f t="shared" si="19"/>
        <v>2.4071418184375977E-2</v>
      </c>
    </row>
    <row r="58" spans="2:5" ht="15">
      <c r="B58" s="309" t="s">
        <v>96</v>
      </c>
      <c r="C58" s="324">
        <f>AVERAGE(C46:C57)</f>
        <v>2.4371872980700062E-2</v>
      </c>
      <c r="D58" s="324">
        <f t="shared" ref="D58" si="20">AVERAGE(D46:D57)</f>
        <v>2.1636413522948452E-2</v>
      </c>
      <c r="E58" s="325">
        <f>AVERAGE(E46:E57)</f>
        <v>2.5164217496034522E-2</v>
      </c>
    </row>
  </sheetData>
  <mergeCells count="1">
    <mergeCell ref="N3:Z3"/>
  </mergeCells>
  <pageMargins left="0.7" right="0.7" top="0.75" bottom="0.75" header="0.3" footer="0.3"/>
  <pageSetup scale="83" orientation="landscape" r:id="rId1"/>
  <headerFooter>
    <oddHeader>&amp;CFiled: 2016-10-26, EB-2016-0152
Exhibit L, Tab 11.1 Schedule 1 Staff-246</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8"/>
  <sheetViews>
    <sheetView showGridLines="0" view="pageLayout" zoomScaleNormal="100" zoomScaleSheetLayoutView="100" workbookViewId="0">
      <selection activeCell="I31" sqref="I31"/>
    </sheetView>
  </sheetViews>
  <sheetFormatPr defaultRowHeight="12.75"/>
  <cols>
    <col min="1" max="1" width="2.85546875" customWidth="1"/>
    <col min="3" max="4" width="21" customWidth="1"/>
    <col min="5" max="5" width="21" hidden="1" customWidth="1"/>
    <col min="6" max="6" width="24" hidden="1" customWidth="1"/>
    <col min="7" max="7" width="24" customWidth="1"/>
    <col min="8" max="8" width="20.28515625" customWidth="1"/>
    <col min="9" max="9" width="9.140625" customWidth="1"/>
    <col min="10" max="10" width="11.85546875" customWidth="1"/>
    <col min="11" max="11" width="10.7109375" hidden="1" customWidth="1"/>
    <col min="12" max="12" width="10.7109375" customWidth="1"/>
    <col min="13" max="13" width="9.140625" customWidth="1"/>
    <col min="14" max="14" width="10.7109375" customWidth="1"/>
    <col min="19" max="21" width="9.140625" customWidth="1"/>
  </cols>
  <sheetData>
    <row r="1" spans="2:21" ht="13.5" thickBot="1">
      <c r="B1" s="18" t="s">
        <v>32</v>
      </c>
      <c r="G1" s="333" t="s">
        <v>33</v>
      </c>
      <c r="H1" s="327">
        <f>'EUCG L share'!$E$34</f>
        <v>0.62709408102958719</v>
      </c>
    </row>
    <row r="2" spans="2:21">
      <c r="B2" s="18" t="s">
        <v>587</v>
      </c>
      <c r="G2" s="333" t="s">
        <v>34</v>
      </c>
      <c r="H2" s="328">
        <f>1-H1</f>
        <v>0.37290591897041281</v>
      </c>
      <c r="J2" s="18" t="s">
        <v>112</v>
      </c>
      <c r="K2" s="18" t="s">
        <v>112</v>
      </c>
      <c r="L2" s="18" t="s">
        <v>111</v>
      </c>
      <c r="M2" s="18" t="s">
        <v>175</v>
      </c>
      <c r="N2" s="162" t="s">
        <v>175</v>
      </c>
      <c r="O2" s="163" t="s">
        <v>175</v>
      </c>
    </row>
    <row r="3" spans="2:21">
      <c r="J3" t="s">
        <v>100</v>
      </c>
      <c r="K3" t="s">
        <v>101</v>
      </c>
      <c r="L3" s="18" t="s">
        <v>35</v>
      </c>
      <c r="M3" s="18" t="s">
        <v>216</v>
      </c>
      <c r="N3" s="164" t="s">
        <v>216</v>
      </c>
      <c r="O3" s="165" t="s">
        <v>216</v>
      </c>
    </row>
    <row r="4" spans="2:21" ht="75">
      <c r="B4" s="322" t="s">
        <v>4</v>
      </c>
      <c r="C4" s="302" t="s">
        <v>169</v>
      </c>
      <c r="D4" s="302" t="s">
        <v>170</v>
      </c>
      <c r="E4" s="326" t="s">
        <v>171</v>
      </c>
      <c r="F4" s="326" t="s">
        <v>172</v>
      </c>
      <c r="G4" s="302" t="s">
        <v>173</v>
      </c>
      <c r="H4" s="303" t="s">
        <v>174</v>
      </c>
      <c r="J4" s="301" t="s">
        <v>102</v>
      </c>
      <c r="K4" s="326" t="s">
        <v>95</v>
      </c>
      <c r="L4" s="302" t="s">
        <v>97</v>
      </c>
      <c r="M4" s="302" t="s">
        <v>108</v>
      </c>
      <c r="N4" s="166" t="s">
        <v>107</v>
      </c>
      <c r="O4" s="155" t="s">
        <v>243</v>
      </c>
      <c r="Q4" s="77" t="s">
        <v>4</v>
      </c>
      <c r="R4" s="77" t="s">
        <v>224</v>
      </c>
      <c r="S4" s="77" t="s">
        <v>225</v>
      </c>
      <c r="T4" s="77" t="s">
        <v>166</v>
      </c>
    </row>
    <row r="5" spans="2:21" ht="15" hidden="1">
      <c r="B5" s="184">
        <v>1991</v>
      </c>
      <c r="C5" s="158">
        <f>'StatsCan CANSIM tables'!$T$31</f>
        <v>575.90333333333331</v>
      </c>
      <c r="D5" s="159"/>
      <c r="E5" s="158">
        <f>'StatsCan CANSIM tables'!$U$31</f>
        <v>854.09999999999991</v>
      </c>
      <c r="F5" s="159"/>
      <c r="G5" s="158">
        <f>'StatsCan CANSIM tables'!C101</f>
        <v>74.8</v>
      </c>
      <c r="H5" s="284"/>
      <c r="J5" s="304"/>
      <c r="K5" s="305"/>
      <c r="L5" s="305"/>
      <c r="M5" s="159"/>
      <c r="N5" s="167"/>
      <c r="O5" s="168"/>
    </row>
    <row r="6" spans="2:21" ht="15" hidden="1">
      <c r="B6" s="184">
        <v>1992</v>
      </c>
      <c r="C6" s="158">
        <f>'StatsCan CANSIM tables'!$T$32</f>
        <v>598.56916666666666</v>
      </c>
      <c r="D6" s="159">
        <f>C6/C5</f>
        <v>1.0393570101463787</v>
      </c>
      <c r="E6" s="158">
        <f>'StatsCan CANSIM tables'!$U$32</f>
        <v>892.54</v>
      </c>
      <c r="F6" s="159">
        <f>E6/E5</f>
        <v>1.0450064395269876</v>
      </c>
      <c r="G6" s="158">
        <f>'StatsCan CANSIM tables'!C102</f>
        <v>76.3</v>
      </c>
      <c r="H6" s="284">
        <f>G6/G5</f>
        <v>1.0200534759358288</v>
      </c>
      <c r="J6" s="304"/>
      <c r="K6" s="305"/>
      <c r="L6" s="305"/>
      <c r="M6" s="159">
        <f t="shared" ref="M6:M25" si="0">D6*$H$1+H6*$H$2</f>
        <v>1.0321586079822167</v>
      </c>
      <c r="N6" s="167"/>
      <c r="O6" s="168"/>
      <c r="P6" s="85"/>
    </row>
    <row r="7" spans="2:21" ht="15" hidden="1">
      <c r="B7" s="184">
        <v>1993</v>
      </c>
      <c r="C7" s="158">
        <f>'StatsCan CANSIM tables'!$T$33</f>
        <v>612.10833333333335</v>
      </c>
      <c r="D7" s="159">
        <f t="shared" ref="D7:F25" si="1">C7/C6</f>
        <v>1.0226192183303795</v>
      </c>
      <c r="E7" s="158">
        <f>'StatsCan CANSIM tables'!$U$33</f>
        <v>896.30416666666667</v>
      </c>
      <c r="F7" s="159">
        <f t="shared" si="1"/>
        <v>1.0042173646745991</v>
      </c>
      <c r="G7" s="158">
        <f>'StatsCan CANSIM tables'!C103</f>
        <v>77.7</v>
      </c>
      <c r="H7" s="284">
        <f t="shared" ref="H7:H25" si="2">G7/G6</f>
        <v>1.0183486238532111</v>
      </c>
      <c r="J7" s="304"/>
      <c r="K7" s="305"/>
      <c r="L7" s="305"/>
      <c r="M7" s="159">
        <f t="shared" si="0"/>
        <v>1.0210266883723211</v>
      </c>
      <c r="N7" s="167"/>
      <c r="O7" s="168"/>
      <c r="P7" s="85"/>
    </row>
    <row r="8" spans="2:21" ht="15" hidden="1">
      <c r="B8" s="184">
        <v>1994</v>
      </c>
      <c r="C8" s="158">
        <f>'StatsCan CANSIM tables'!$T$34</f>
        <v>627.87250000000006</v>
      </c>
      <c r="D8" s="159">
        <f t="shared" si="1"/>
        <v>1.0257538834356663</v>
      </c>
      <c r="E8" s="158">
        <f>'StatsCan CANSIM tables'!$U$34</f>
        <v>921.54916666666668</v>
      </c>
      <c r="F8" s="159">
        <f t="shared" si="1"/>
        <v>1.0281656617684658</v>
      </c>
      <c r="G8" s="158">
        <f>'StatsCan CANSIM tables'!C104</f>
        <v>79</v>
      </c>
      <c r="H8" s="284">
        <f t="shared" si="2"/>
        <v>1.0167310167310166</v>
      </c>
      <c r="J8" s="304"/>
      <c r="K8" s="305"/>
      <c r="L8" s="305"/>
      <c r="M8" s="159">
        <f t="shared" si="0"/>
        <v>1.0223892030354214</v>
      </c>
      <c r="N8" s="167"/>
      <c r="O8" s="168"/>
      <c r="P8" s="85"/>
    </row>
    <row r="9" spans="2:21" ht="15" hidden="1">
      <c r="B9" s="184">
        <v>1995</v>
      </c>
      <c r="C9" s="158">
        <f>'StatsCan CANSIM tables'!$T$35</f>
        <v>633.98</v>
      </c>
      <c r="D9" s="159">
        <f t="shared" si="1"/>
        <v>1.0097272933597186</v>
      </c>
      <c r="E9" s="158">
        <f>'StatsCan CANSIM tables'!$U$35</f>
        <v>936.69999999999993</v>
      </c>
      <c r="F9" s="159">
        <f t="shared" si="1"/>
        <v>1.0164406131342241</v>
      </c>
      <c r="G9" s="158">
        <f>'StatsCan CANSIM tables'!C105</f>
        <v>79.900000000000006</v>
      </c>
      <c r="H9" s="284">
        <f t="shared" si="2"/>
        <v>1.0113924050632912</v>
      </c>
      <c r="J9" s="304"/>
      <c r="K9" s="305"/>
      <c r="L9" s="305"/>
      <c r="M9" s="159">
        <f t="shared" si="0"/>
        <v>1.0103482233697276</v>
      </c>
      <c r="N9" s="167"/>
      <c r="O9" s="168"/>
      <c r="P9" s="85"/>
    </row>
    <row r="10" spans="2:21" ht="15" hidden="1">
      <c r="B10" s="184">
        <v>1996</v>
      </c>
      <c r="C10" s="158">
        <f>'StatsCan CANSIM tables'!$T$36</f>
        <v>649.29166666666663</v>
      </c>
      <c r="D10" s="159">
        <f t="shared" si="1"/>
        <v>1.0241516556778867</v>
      </c>
      <c r="E10" s="158">
        <f>'StatsCan CANSIM tables'!$U$36</f>
        <v>939.75083333333316</v>
      </c>
      <c r="F10" s="159">
        <f t="shared" si="1"/>
        <v>1.0032570015301945</v>
      </c>
      <c r="G10" s="158">
        <f>'StatsCan CANSIM tables'!C106</f>
        <v>80.8</v>
      </c>
      <c r="H10" s="284">
        <f t="shared" si="2"/>
        <v>1.0112640801001251</v>
      </c>
      <c r="J10" s="304"/>
      <c r="K10" s="305"/>
      <c r="L10" s="305"/>
      <c r="M10" s="159">
        <f t="shared" si="0"/>
        <v>1.0193458024637607</v>
      </c>
      <c r="N10" s="167"/>
      <c r="O10" s="168"/>
      <c r="P10" s="85"/>
    </row>
    <row r="11" spans="2:21" ht="15" hidden="1">
      <c r="B11" s="184">
        <v>1997</v>
      </c>
      <c r="C11" s="158">
        <f>'StatsCan CANSIM tables'!$T$37</f>
        <v>663.50749999999994</v>
      </c>
      <c r="D11" s="159">
        <f t="shared" si="1"/>
        <v>1.0218943720721299</v>
      </c>
      <c r="E11" s="158">
        <f>'StatsCan CANSIM tables'!$U$37</f>
        <v>987.87166666666656</v>
      </c>
      <c r="F11" s="159">
        <f t="shared" si="1"/>
        <v>1.0512059490946626</v>
      </c>
      <c r="G11" s="158">
        <f>'StatsCan CANSIM tables'!C107</f>
        <v>82</v>
      </c>
      <c r="H11" s="284">
        <f t="shared" si="2"/>
        <v>1.0148514851485149</v>
      </c>
      <c r="J11" s="304"/>
      <c r="K11" s="305"/>
      <c r="L11" s="305"/>
      <c r="M11" s="159">
        <f t="shared" si="0"/>
        <v>1.0192680378516745</v>
      </c>
      <c r="N11" s="167"/>
      <c r="O11" s="168"/>
      <c r="P11" s="85"/>
    </row>
    <row r="12" spans="2:21" ht="15" hidden="1">
      <c r="B12" s="184">
        <v>1998</v>
      </c>
      <c r="C12" s="158">
        <f>'StatsCan CANSIM tables'!$T$38</f>
        <v>672.53000000000009</v>
      </c>
      <c r="D12" s="159">
        <f t="shared" si="1"/>
        <v>1.0135981884153535</v>
      </c>
      <c r="E12" s="158">
        <f>'StatsCan CANSIM tables'!$U$38</f>
        <v>1033.2300000000002</v>
      </c>
      <c r="F12" s="159">
        <f t="shared" si="1"/>
        <v>1.0459152082844774</v>
      </c>
      <c r="G12" s="158">
        <f>'StatsCan CANSIM tables'!C108</f>
        <v>83.2</v>
      </c>
      <c r="H12" s="284">
        <f t="shared" si="2"/>
        <v>1.0146341463414634</v>
      </c>
      <c r="J12" s="304"/>
      <c r="K12" s="305"/>
      <c r="L12" s="305"/>
      <c r="M12" s="159">
        <f t="shared" si="0"/>
        <v>1.0139845032578043</v>
      </c>
      <c r="N12" s="167"/>
      <c r="O12" s="168"/>
      <c r="P12" s="85"/>
    </row>
    <row r="13" spans="2:21" ht="15" hidden="1">
      <c r="B13" s="184">
        <v>1999</v>
      </c>
      <c r="C13" s="158">
        <f>'StatsCan CANSIM tables'!$T$39</f>
        <v>683.48416666666662</v>
      </c>
      <c r="D13" s="159">
        <f t="shared" si="1"/>
        <v>1.0162879970658061</v>
      </c>
      <c r="E13" s="158">
        <f>'StatsCan CANSIM tables'!$U$39</f>
        <v>1050.1099999999999</v>
      </c>
      <c r="F13" s="159">
        <f t="shared" si="1"/>
        <v>1.0163371175827256</v>
      </c>
      <c r="G13" s="158">
        <f>'StatsCan CANSIM tables'!C109</f>
        <v>84.4</v>
      </c>
      <c r="H13" s="284">
        <f t="shared" si="2"/>
        <v>1.0144230769230769</v>
      </c>
      <c r="J13" s="304"/>
      <c r="K13" s="305"/>
      <c r="L13" s="305"/>
      <c r="M13" s="159">
        <f t="shared" si="0"/>
        <v>1.0155925573061753</v>
      </c>
      <c r="N13" s="167"/>
      <c r="O13" s="168"/>
      <c r="P13" s="85"/>
    </row>
    <row r="14" spans="2:21" ht="15" hidden="1">
      <c r="B14" s="184">
        <v>2000</v>
      </c>
      <c r="C14" s="158">
        <f>'StatsCan CANSIM tables'!$T$40</f>
        <v>699.92833333333317</v>
      </c>
      <c r="D14" s="159">
        <f t="shared" si="1"/>
        <v>1.0240593234907902</v>
      </c>
      <c r="E14" s="158">
        <f>'StatsCan CANSIM tables'!$U$40</f>
        <v>1067.9816666666668</v>
      </c>
      <c r="F14" s="159">
        <f t="shared" si="1"/>
        <v>1.0170188519932835</v>
      </c>
      <c r="G14" s="158">
        <f>'StatsCan CANSIM tables'!C110</f>
        <v>86.5</v>
      </c>
      <c r="H14" s="284">
        <f t="shared" si="2"/>
        <v>1.0248815165876777</v>
      </c>
      <c r="J14" s="304"/>
      <c r="K14" s="305"/>
      <c r="L14" s="305"/>
      <c r="M14" s="159">
        <f t="shared" si="0"/>
        <v>1.0243659241631562</v>
      </c>
      <c r="N14" s="167"/>
      <c r="O14" s="168"/>
      <c r="P14" s="85"/>
    </row>
    <row r="15" spans="2:21" ht="15">
      <c r="B15" s="184">
        <v>2002</v>
      </c>
      <c r="C15" s="158">
        <f>'StatsCan CANSIM tables'!$C27</f>
        <v>710.87</v>
      </c>
      <c r="D15" s="159">
        <v>1</v>
      </c>
      <c r="E15" s="158">
        <f>'StatsCan CANSIM tables'!$D$27</f>
        <v>1385.59</v>
      </c>
      <c r="F15" s="159" t="e">
        <f>E15/#REF!</f>
        <v>#REF!</v>
      </c>
      <c r="G15" s="158">
        <f>'StatsCan CANSIM tables'!C112</f>
        <v>90.2</v>
      </c>
      <c r="H15" s="284">
        <v>1</v>
      </c>
      <c r="J15" s="329">
        <v>1</v>
      </c>
      <c r="K15" s="159">
        <v>1</v>
      </c>
      <c r="L15" s="305">
        <v>1</v>
      </c>
      <c r="M15" s="159">
        <f t="shared" si="0"/>
        <v>1</v>
      </c>
      <c r="N15" s="169">
        <v>1</v>
      </c>
      <c r="O15" s="168"/>
      <c r="P15" s="85"/>
      <c r="Q15" s="1">
        <f t="shared" ref="Q15:Q27" si="3">B15</f>
        <v>2002</v>
      </c>
      <c r="R15" s="124">
        <f>'EUCG L share'!E21</f>
        <v>0</v>
      </c>
      <c r="S15" s="105">
        <f>D15*$R15+H15*(1-R15)</f>
        <v>1</v>
      </c>
      <c r="T15" s="105">
        <v>1</v>
      </c>
      <c r="U15" s="1"/>
    </row>
    <row r="16" spans="2:21" ht="15">
      <c r="B16" s="184">
        <v>2003</v>
      </c>
      <c r="C16" s="158">
        <f>'StatsCan CANSIM tables'!$C28</f>
        <v>728.38</v>
      </c>
      <c r="D16" s="159">
        <f t="shared" si="1"/>
        <v>1.024631789216031</v>
      </c>
      <c r="E16" s="158">
        <f>'StatsCan CANSIM tables'!$D$28</f>
        <v>1441.31</v>
      </c>
      <c r="F16" s="159">
        <f t="shared" si="1"/>
        <v>1.0402139160935053</v>
      </c>
      <c r="G16" s="158">
        <f>'StatsCan CANSIM tables'!C113</f>
        <v>91.7</v>
      </c>
      <c r="H16" s="284">
        <f t="shared" si="2"/>
        <v>1.0166297117516629</v>
      </c>
      <c r="J16" s="329">
        <f t="shared" ref="J16:J25" si="4">J15*D16</f>
        <v>1.024631789216031</v>
      </c>
      <c r="K16" s="159">
        <f t="shared" ref="K16:K25" si="5">K15*F16</f>
        <v>1.0402139160935053</v>
      </c>
      <c r="L16" s="305">
        <f t="shared" ref="L16:L25" si="6">L15*H16</f>
        <v>1.0166297117516629</v>
      </c>
      <c r="M16" s="159">
        <f t="shared" si="0"/>
        <v>1.0216477671655084</v>
      </c>
      <c r="N16" s="169">
        <f t="shared" ref="N16:N25" si="7">N15*M16</f>
        <v>1.0216477671655084</v>
      </c>
      <c r="O16" s="142">
        <f>LN(N16/N15)</f>
        <v>2.1416781852885459E-2</v>
      </c>
      <c r="P16" s="85"/>
      <c r="Q16" s="1">
        <f t="shared" si="3"/>
        <v>2003</v>
      </c>
      <c r="R16" s="124">
        <f>'EUCG L share'!E22</f>
        <v>0</v>
      </c>
      <c r="S16" s="105">
        <f t="shared" ref="S16:S27" si="8">D16*AVERAGE(R15:R16)+H16*(1-AVERAGE(R15:R16))</f>
        <v>1.0166297117516629</v>
      </c>
      <c r="T16" s="105">
        <f>T15*S16</f>
        <v>1.0166297117516629</v>
      </c>
      <c r="U16" s="140">
        <f>LN(T16/T15)</f>
        <v>1.6492952193841167E-2</v>
      </c>
    </row>
    <row r="17" spans="2:21" ht="15">
      <c r="B17" s="184">
        <v>2004</v>
      </c>
      <c r="C17" s="158">
        <f>'StatsCan CANSIM tables'!$C29</f>
        <v>748.57</v>
      </c>
      <c r="D17" s="159">
        <f t="shared" si="1"/>
        <v>1.0277190477498011</v>
      </c>
      <c r="E17" s="158">
        <f>'StatsCan CANSIM tables'!$D$29</f>
        <v>1420.13</v>
      </c>
      <c r="F17" s="159">
        <f t="shared" si="1"/>
        <v>0.98530503500287947</v>
      </c>
      <c r="G17" s="158">
        <f>'StatsCan CANSIM tables'!C114</f>
        <v>93.4</v>
      </c>
      <c r="H17" s="284">
        <f t="shared" si="2"/>
        <v>1.0185387131952017</v>
      </c>
      <c r="J17" s="329">
        <f t="shared" si="4"/>
        <v>1.0530336067072743</v>
      </c>
      <c r="K17" s="159">
        <f t="shared" si="5"/>
        <v>1.0249280090069937</v>
      </c>
      <c r="L17" s="305">
        <f t="shared" si="6"/>
        <v>1.0354767184035476</v>
      </c>
      <c r="M17" s="159">
        <f t="shared" si="0"/>
        <v>1.0242956466562623</v>
      </c>
      <c r="N17" s="169">
        <f t="shared" si="7"/>
        <v>1.046469360323721</v>
      </c>
      <c r="O17" s="142">
        <f t="shared" ref="O17:O25" si="9">LN(N17/N16)</f>
        <v>2.4005202384213276E-2</v>
      </c>
      <c r="P17" s="85"/>
      <c r="Q17" s="1">
        <f t="shared" si="3"/>
        <v>2004</v>
      </c>
      <c r="R17" s="124">
        <f>'EUCG L share'!E23</f>
        <v>0.60445579215659795</v>
      </c>
      <c r="S17" s="105">
        <f t="shared" si="8"/>
        <v>1.0213132663929332</v>
      </c>
      <c r="T17" s="105">
        <f t="shared" ref="T17:T25" si="10">T16*S17</f>
        <v>1.0382974116211969</v>
      </c>
      <c r="U17" s="140">
        <f t="shared" ref="U17:U25" si="11">LN(T17/T16)</f>
        <v>2.1089315229616809E-2</v>
      </c>
    </row>
    <row r="18" spans="2:21" ht="15">
      <c r="B18" s="184">
        <v>2005</v>
      </c>
      <c r="C18" s="158">
        <f>'StatsCan CANSIM tables'!$C30</f>
        <v>775.8</v>
      </c>
      <c r="D18" s="159">
        <f t="shared" si="1"/>
        <v>1.0363760236183654</v>
      </c>
      <c r="E18" s="158">
        <f>'StatsCan CANSIM tables'!$D$30</f>
        <v>1449.84</v>
      </c>
      <c r="F18" s="159">
        <f t="shared" si="1"/>
        <v>1.0209206199432446</v>
      </c>
      <c r="G18" s="158">
        <f>'StatsCan CANSIM tables'!C115</f>
        <v>95.4</v>
      </c>
      <c r="H18" s="284">
        <f t="shared" si="2"/>
        <v>1.0214132762312633</v>
      </c>
      <c r="J18" s="329">
        <f t="shared" si="4"/>
        <v>1.0913387820557907</v>
      </c>
      <c r="K18" s="159">
        <f t="shared" si="5"/>
        <v>1.0463701383526154</v>
      </c>
      <c r="L18" s="305">
        <f t="shared" si="6"/>
        <v>1.0576496674057649</v>
      </c>
      <c r="M18" s="159">
        <f t="shared" si="0"/>
        <v>1.0307963265536562</v>
      </c>
      <c r="N18" s="169">
        <f t="shared" si="7"/>
        <v>1.0786967724726459</v>
      </c>
      <c r="O18" s="142">
        <f t="shared" si="9"/>
        <v>3.0331636104872561E-2</v>
      </c>
      <c r="P18" s="85"/>
      <c r="Q18" s="1">
        <f t="shared" si="3"/>
        <v>2005</v>
      </c>
      <c r="R18" s="124">
        <f>'EUCG L share'!E24</f>
        <v>0.6299519507624024</v>
      </c>
      <c r="S18" s="105">
        <f t="shared" si="8"/>
        <v>1.0306483418462533</v>
      </c>
      <c r="T18" s="105">
        <f t="shared" si="10"/>
        <v>1.0701195056306434</v>
      </c>
      <c r="U18" s="140">
        <f t="shared" si="11"/>
        <v>3.018806231904602E-2</v>
      </c>
    </row>
    <row r="19" spans="2:21" ht="15">
      <c r="B19" s="184">
        <v>2006</v>
      </c>
      <c r="C19" s="158">
        <f>'StatsCan CANSIM tables'!$C31</f>
        <v>788.25</v>
      </c>
      <c r="D19" s="159">
        <f t="shared" si="1"/>
        <v>1.0160479505027069</v>
      </c>
      <c r="E19" s="158">
        <f>'StatsCan CANSIM tables'!$D$31</f>
        <v>1488.34</v>
      </c>
      <c r="F19" s="159">
        <f t="shared" si="1"/>
        <v>1.0265546543066821</v>
      </c>
      <c r="G19" s="158">
        <f>'StatsCan CANSIM tables'!C116</f>
        <v>97.7</v>
      </c>
      <c r="H19" s="284">
        <f t="shared" si="2"/>
        <v>1.0241090146750524</v>
      </c>
      <c r="J19" s="329">
        <f t="shared" si="4"/>
        <v>1.1088525328119065</v>
      </c>
      <c r="K19" s="159">
        <f t="shared" si="5"/>
        <v>1.0741561356534042</v>
      </c>
      <c r="L19" s="305">
        <f t="shared" si="6"/>
        <v>1.0831485587583149</v>
      </c>
      <c r="M19" s="159">
        <f t="shared" si="0"/>
        <v>1.0190539690457749</v>
      </c>
      <c r="N19" s="169">
        <f t="shared" si="7"/>
        <v>1.099250227385117</v>
      </c>
      <c r="O19" s="142">
        <f t="shared" si="9"/>
        <v>1.8874715591569873E-2</v>
      </c>
      <c r="P19" s="85"/>
      <c r="Q19" s="1">
        <f t="shared" si="3"/>
        <v>2006</v>
      </c>
      <c r="R19" s="124">
        <f>'EUCG L share'!E25</f>
        <v>0.60894898592160929</v>
      </c>
      <c r="S19" s="105">
        <f t="shared" si="8"/>
        <v>1.0191155846981581</v>
      </c>
      <c r="T19" s="105">
        <f t="shared" si="10"/>
        <v>1.0905754656776769</v>
      </c>
      <c r="U19" s="140">
        <f t="shared" si="11"/>
        <v>1.8935177344900207E-2</v>
      </c>
    </row>
    <row r="20" spans="2:21" ht="15">
      <c r="B20" s="184">
        <v>2007</v>
      </c>
      <c r="C20" s="158">
        <f>'StatsCan CANSIM tables'!$C32</f>
        <v>818.61</v>
      </c>
      <c r="D20" s="159">
        <f t="shared" si="1"/>
        <v>1.0385156993339677</v>
      </c>
      <c r="E20" s="158">
        <f>'StatsCan CANSIM tables'!$D$32</f>
        <v>1577.41</v>
      </c>
      <c r="F20" s="159">
        <f t="shared" si="1"/>
        <v>1.0598451966620532</v>
      </c>
      <c r="G20" s="158">
        <f>'StatsCan CANSIM tables'!C117</f>
        <v>100</v>
      </c>
      <c r="H20" s="284">
        <f t="shared" si="2"/>
        <v>1.0235414534288638</v>
      </c>
      <c r="J20" s="329">
        <f t="shared" si="4"/>
        <v>1.1515607635713985</v>
      </c>
      <c r="K20" s="159">
        <f t="shared" si="5"/>
        <v>1.1384392208373333</v>
      </c>
      <c r="L20" s="305">
        <f t="shared" si="6"/>
        <v>1.1086474501108647</v>
      </c>
      <c r="M20" s="159">
        <f t="shared" si="0"/>
        <v>1.0329317144038359</v>
      </c>
      <c r="N20" s="169">
        <f t="shared" si="7"/>
        <v>1.1354504219317154</v>
      </c>
      <c r="O20" s="142">
        <f t="shared" si="9"/>
        <v>3.2401083793605553E-2</v>
      </c>
      <c r="P20" s="85"/>
      <c r="Q20" s="1">
        <f t="shared" si="3"/>
        <v>2007</v>
      </c>
      <c r="R20" s="124">
        <f>'EUCG L share'!E26</f>
        <v>0.61306700211317211</v>
      </c>
      <c r="S20" s="105">
        <f t="shared" si="8"/>
        <v>1.0326908373812644</v>
      </c>
      <c r="T20" s="105">
        <f t="shared" si="10"/>
        <v>1.1262272908781426</v>
      </c>
      <c r="U20" s="140">
        <f t="shared" si="11"/>
        <v>3.2167859167494497E-2</v>
      </c>
    </row>
    <row r="21" spans="2:21" ht="15">
      <c r="B21" s="184">
        <v>2008</v>
      </c>
      <c r="C21" s="158">
        <f>'StatsCan CANSIM tables'!$C33</f>
        <v>837.91</v>
      </c>
      <c r="D21" s="159">
        <f t="shared" si="1"/>
        <v>1.0235765504941303</v>
      </c>
      <c r="E21" s="158">
        <f>'StatsCan CANSIM tables'!$D$33</f>
        <v>1544.3</v>
      </c>
      <c r="F21" s="159">
        <f t="shared" si="1"/>
        <v>0.97900989596870813</v>
      </c>
      <c r="G21" s="158">
        <f>'StatsCan CANSIM tables'!C118</f>
        <v>102.5</v>
      </c>
      <c r="H21" s="284">
        <f t="shared" si="2"/>
        <v>1.0249999999999999</v>
      </c>
      <c r="J21" s="329">
        <f t="shared" si="4"/>
        <v>1.1787105940607989</v>
      </c>
      <c r="K21" s="159">
        <f t="shared" si="5"/>
        <v>1.1145432631586547</v>
      </c>
      <c r="L21" s="305">
        <f t="shared" si="6"/>
        <v>1.1363636363636362</v>
      </c>
      <c r="M21" s="159">
        <f t="shared" si="0"/>
        <v>1.0241073632402247</v>
      </c>
      <c r="N21" s="169">
        <f t="shared" si="7"/>
        <v>1.1628231376944895</v>
      </c>
      <c r="O21" s="142">
        <f t="shared" si="9"/>
        <v>2.3821368035544386E-2</v>
      </c>
      <c r="P21" s="85"/>
      <c r="Q21" s="1">
        <f t="shared" si="3"/>
        <v>2008</v>
      </c>
      <c r="R21" s="124">
        <f>'EUCG L share'!E27</f>
        <v>0.60069739532944366</v>
      </c>
      <c r="S21" s="105">
        <f t="shared" si="8"/>
        <v>1.0241361338341091</v>
      </c>
      <c r="T21" s="105">
        <f t="shared" si="10"/>
        <v>1.1534100634984035</v>
      </c>
      <c r="U21" s="140">
        <f t="shared" si="11"/>
        <v>2.3849460978524441E-2</v>
      </c>
    </row>
    <row r="22" spans="2:21" ht="15">
      <c r="B22" s="184">
        <v>2009</v>
      </c>
      <c r="C22" s="158">
        <f>'StatsCan CANSIM tables'!$C34</f>
        <v>848.85</v>
      </c>
      <c r="D22" s="159">
        <f t="shared" si="1"/>
        <v>1.0130562948288002</v>
      </c>
      <c r="E22" s="158">
        <f>'StatsCan CANSIM tables'!$D$34</f>
        <v>1672.72</v>
      </c>
      <c r="F22" s="159">
        <f t="shared" si="1"/>
        <v>1.0831574176002072</v>
      </c>
      <c r="G22" s="158">
        <f>'StatsCan CANSIM tables'!C119</f>
        <v>103.7</v>
      </c>
      <c r="H22" s="284">
        <f t="shared" si="2"/>
        <v>1.0117073170731707</v>
      </c>
      <c r="J22" s="329">
        <f t="shared" si="4"/>
        <v>1.194100187094687</v>
      </c>
      <c r="K22" s="159">
        <f t="shared" si="5"/>
        <v>1.2072258027266367</v>
      </c>
      <c r="L22" s="305">
        <f t="shared" si="6"/>
        <v>1.1496674057649667</v>
      </c>
      <c r="M22" s="159">
        <f t="shared" si="0"/>
        <v>1.0125532530391665</v>
      </c>
      <c r="N22" s="169">
        <f t="shared" si="7"/>
        <v>1.177420350781766</v>
      </c>
      <c r="O22" s="142">
        <f t="shared" si="9"/>
        <v>1.2475114209695947E-2</v>
      </c>
      <c r="P22" s="85"/>
      <c r="Q22" s="1">
        <f t="shared" si="3"/>
        <v>2009</v>
      </c>
      <c r="R22" s="124">
        <f>'EUCG L share'!E28</f>
        <v>0.62115919688781018</v>
      </c>
      <c r="S22" s="105">
        <f t="shared" si="8"/>
        <v>1.0125314457549059</v>
      </c>
      <c r="T22" s="105">
        <f t="shared" si="10"/>
        <v>1.1678639591422963</v>
      </c>
      <c r="U22" s="140">
        <f t="shared" si="11"/>
        <v>1.2453577051991453E-2</v>
      </c>
    </row>
    <row r="23" spans="2:21" ht="15">
      <c r="B23" s="184">
        <v>2010</v>
      </c>
      <c r="C23" s="158">
        <f>'StatsCan CANSIM tables'!$C35</f>
        <v>881.43</v>
      </c>
      <c r="D23" s="159">
        <f t="shared" si="1"/>
        <v>1.0383813394592682</v>
      </c>
      <c r="E23" s="158">
        <f>'StatsCan CANSIM tables'!$D$35</f>
        <v>1680.01</v>
      </c>
      <c r="F23" s="159">
        <f t="shared" si="1"/>
        <v>1.0043581711224832</v>
      </c>
      <c r="G23" s="158">
        <f>'StatsCan CANSIM tables'!C120</f>
        <v>104.8</v>
      </c>
      <c r="H23" s="284">
        <f t="shared" si="2"/>
        <v>1.0106075216972035</v>
      </c>
      <c r="J23" s="329">
        <f t="shared" si="4"/>
        <v>1.2399313517239439</v>
      </c>
      <c r="K23" s="159">
        <f t="shared" si="5"/>
        <v>1.2124870993583965</v>
      </c>
      <c r="L23" s="305">
        <f t="shared" si="6"/>
        <v>1.1618625277161863</v>
      </c>
      <c r="M23" s="159">
        <f t="shared" si="0"/>
        <v>1.0280243184233888</v>
      </c>
      <c r="N23" s="169">
        <f t="shared" si="7"/>
        <v>1.2104167536102524</v>
      </c>
      <c r="O23" s="142">
        <f>LN(N23/N22)</f>
        <v>2.7638822807053508E-2</v>
      </c>
      <c r="P23" s="85"/>
      <c r="Q23" s="1">
        <f t="shared" si="3"/>
        <v>2010</v>
      </c>
      <c r="R23" s="124">
        <f>'EUCG L share'!E29</f>
        <v>0.65393733292566514</v>
      </c>
      <c r="S23" s="105">
        <f t="shared" si="8"/>
        <v>1.0283146710212439</v>
      </c>
      <c r="T23" s="105">
        <f t="shared" si="10"/>
        <v>1.2009316429429779</v>
      </c>
      <c r="U23" s="140">
        <f t="shared" si="11"/>
        <v>2.7921220409078309E-2</v>
      </c>
    </row>
    <row r="24" spans="2:21" ht="15">
      <c r="B24" s="184">
        <v>2011</v>
      </c>
      <c r="C24" s="158">
        <f>'StatsCan CANSIM tables'!$C36</f>
        <v>893.41</v>
      </c>
      <c r="D24" s="159">
        <f t="shared" si="1"/>
        <v>1.0135915500947323</v>
      </c>
      <c r="E24" s="158">
        <f>'StatsCan CANSIM tables'!$D$36</f>
        <v>1714.92</v>
      </c>
      <c r="F24" s="159">
        <f t="shared" si="1"/>
        <v>1.0207796382164391</v>
      </c>
      <c r="G24" s="158">
        <f>'StatsCan CANSIM tables'!C121</f>
        <v>107.3</v>
      </c>
      <c r="H24" s="284">
        <f t="shared" si="2"/>
        <v>1.0238549618320612</v>
      </c>
      <c r="J24" s="329">
        <f t="shared" si="4"/>
        <v>1.2567839408049291</v>
      </c>
      <c r="K24" s="159">
        <f t="shared" si="5"/>
        <v>1.2376821426251636</v>
      </c>
      <c r="L24" s="305">
        <f t="shared" si="6"/>
        <v>1.189578713968958</v>
      </c>
      <c r="M24" s="159">
        <f t="shared" si="0"/>
        <v>1.0174188370804127</v>
      </c>
      <c r="N24" s="169">
        <f t="shared" si="7"/>
        <v>1.2315008058407915</v>
      </c>
      <c r="O24" s="142">
        <f t="shared" si="9"/>
        <v>1.7268868155919496E-2</v>
      </c>
      <c r="P24" s="85"/>
      <c r="Q24" s="1">
        <f t="shared" si="3"/>
        <v>2011</v>
      </c>
      <c r="R24" s="124">
        <f>'EUCG L share'!E30</f>
        <v>0.63266651684835484</v>
      </c>
      <c r="S24" s="105">
        <f t="shared" si="8"/>
        <v>1.0172524893055295</v>
      </c>
      <c r="T24" s="105">
        <f t="shared" si="10"/>
        <v>1.2216507032695236</v>
      </c>
      <c r="U24" s="140">
        <f t="shared" si="11"/>
        <v>1.7105354989840404E-2</v>
      </c>
    </row>
    <row r="25" spans="2:21" ht="15">
      <c r="B25" s="184">
        <v>2012</v>
      </c>
      <c r="C25" s="158">
        <f>'StatsCan CANSIM tables'!$C37</f>
        <v>906.09</v>
      </c>
      <c r="D25" s="159">
        <f t="shared" si="1"/>
        <v>1.0141928118109267</v>
      </c>
      <c r="E25" s="158">
        <f>'StatsCan CANSIM tables'!$D$37</f>
        <v>1707.11</v>
      </c>
      <c r="F25" s="159">
        <f t="shared" si="1"/>
        <v>0.99544585170153699</v>
      </c>
      <c r="G25" s="158">
        <f>'StatsCan CANSIM tables'!C122</f>
        <v>109.1</v>
      </c>
      <c r="H25" s="284">
        <f t="shared" si="2"/>
        <v>1.0167753960857409</v>
      </c>
      <c r="J25" s="329">
        <f t="shared" si="4"/>
        <v>1.2746212387637683</v>
      </c>
      <c r="K25" s="159">
        <f t="shared" si="5"/>
        <v>1.2320455546012892</v>
      </c>
      <c r="L25" s="305">
        <f t="shared" si="6"/>
        <v>1.2095343680709534</v>
      </c>
      <c r="M25" s="159">
        <f t="shared" si="0"/>
        <v>1.0151558727732448</v>
      </c>
      <c r="N25" s="169">
        <f t="shared" si="7"/>
        <v>1.2501652753742629</v>
      </c>
      <c r="O25" s="142">
        <f t="shared" si="9"/>
        <v>1.5042169937926779E-2</v>
      </c>
      <c r="P25" s="85"/>
      <c r="Q25" s="1">
        <f t="shared" si="3"/>
        <v>2012</v>
      </c>
      <c r="R25" s="124">
        <f>'EUCG L share'!E31</f>
        <v>0.65340959143339117</v>
      </c>
      <c r="S25" s="105">
        <f t="shared" si="8"/>
        <v>1.0151146961190096</v>
      </c>
      <c r="T25" s="105">
        <f t="shared" si="10"/>
        <v>1.2401155824130168</v>
      </c>
      <c r="U25" s="140">
        <f t="shared" si="11"/>
        <v>1.5001607212079545E-2</v>
      </c>
    </row>
    <row r="26" spans="2:21" ht="15">
      <c r="B26" s="184">
        <v>2013</v>
      </c>
      <c r="C26" s="158">
        <f>'StatsCan CANSIM tables'!$C38</f>
        <v>920.12</v>
      </c>
      <c r="D26" s="159">
        <f t="shared" ref="D26:D27" si="12">C26/C25</f>
        <v>1.0154841130572019</v>
      </c>
      <c r="E26" s="158">
        <f>'StatsCan CANSIM tables'!$D$37</f>
        <v>1707.11</v>
      </c>
      <c r="F26" s="159">
        <f t="shared" ref="F26:F27" si="13">E26/E25</f>
        <v>1</v>
      </c>
      <c r="G26" s="158">
        <f>'StatsCan CANSIM tables'!C123</f>
        <v>111</v>
      </c>
      <c r="H26" s="284">
        <f>G26/G25</f>
        <v>1.0174152153987168</v>
      </c>
      <c r="J26" s="329">
        <f t="shared" ref="J26:J27" si="14">J25*D26</f>
        <v>1.2943576181298972</v>
      </c>
      <c r="K26" s="159">
        <f t="shared" ref="K26:K27" si="15">K25*F26</f>
        <v>1.2320455546012892</v>
      </c>
      <c r="L26" s="305">
        <f t="shared" ref="L26:L27" si="16">L25*H26</f>
        <v>1.23059866962306</v>
      </c>
      <c r="M26" s="159">
        <f t="shared" ref="M26:M27" si="17">D26*$H$1+H26*$H$2</f>
        <v>1.0162042325504905</v>
      </c>
      <c r="N26" s="169">
        <f t="shared" ref="N26:N27" si="18">N25*M26</f>
        <v>1.2704232442229755</v>
      </c>
      <c r="O26" s="142">
        <f t="shared" ref="O26:O27" si="19">LN(N26/N25)</f>
        <v>1.6074345245075755E-2</v>
      </c>
      <c r="P26" s="85"/>
      <c r="Q26" s="1">
        <f t="shared" si="3"/>
        <v>2013</v>
      </c>
      <c r="R26" s="124">
        <f>'EUCG L share'!E32</f>
        <v>0.63782007263824037</v>
      </c>
      <c r="S26" s="105">
        <f t="shared" si="8"/>
        <v>1.0161684670848556</v>
      </c>
      <c r="T26" s="105">
        <f t="shared" ref="T26:T27" si="20">T25*S26</f>
        <v>1.2601663503886782</v>
      </c>
      <c r="U26" s="140">
        <f t="shared" ref="U26:U27" si="21">LN(T26/T25)</f>
        <v>1.6039149470555663E-2</v>
      </c>
    </row>
    <row r="27" spans="2:21" ht="15">
      <c r="B27" s="185">
        <v>2014</v>
      </c>
      <c r="C27" s="318">
        <f>'StatsCan CANSIM tables'!$C39</f>
        <v>938.36</v>
      </c>
      <c r="D27" s="307">
        <f t="shared" si="12"/>
        <v>1.0198235012824415</v>
      </c>
      <c r="E27" s="318">
        <f>'StatsCan CANSIM tables'!$D$37</f>
        <v>1707.11</v>
      </c>
      <c r="F27" s="307">
        <f t="shared" si="13"/>
        <v>1</v>
      </c>
      <c r="G27" s="318">
        <f>'StatsCan CANSIM tables'!C124</f>
        <v>113.4</v>
      </c>
      <c r="H27" s="308">
        <f>G27/G26</f>
        <v>1.0216216216216216</v>
      </c>
      <c r="J27" s="329">
        <f t="shared" si="14"/>
        <v>1.3200163180328333</v>
      </c>
      <c r="K27" s="159">
        <f t="shared" si="15"/>
        <v>1.2320455546012892</v>
      </c>
      <c r="L27" s="305">
        <f t="shared" si="16"/>
        <v>1.2572062084257207</v>
      </c>
      <c r="M27" s="159">
        <f t="shared" si="17"/>
        <v>1.0204940309999428</v>
      </c>
      <c r="N27" s="169">
        <f t="shared" si="18"/>
        <v>1.296459337573129</v>
      </c>
      <c r="O27" s="142">
        <f t="shared" si="19"/>
        <v>2.0286854157018835E-2</v>
      </c>
      <c r="P27" s="85"/>
      <c r="Q27" s="1">
        <f t="shared" si="3"/>
        <v>2014</v>
      </c>
      <c r="R27" s="124">
        <f>'EUCG L share'!E33</f>
        <v>0.641921054308773</v>
      </c>
      <c r="S27" s="105">
        <f t="shared" si="8"/>
        <v>1.0204710573469973</v>
      </c>
      <c r="T27" s="105">
        <f t="shared" si="20"/>
        <v>1.2859632880142411</v>
      </c>
      <c r="U27" s="140">
        <f t="shared" si="21"/>
        <v>2.0264341618144253E-2</v>
      </c>
    </row>
    <row r="28" spans="2:21" ht="15.75" thickBot="1">
      <c r="J28" s="330"/>
      <c r="K28" s="331"/>
      <c r="L28" s="331"/>
      <c r="M28" s="59"/>
      <c r="N28" s="170"/>
      <c r="O28" s="171">
        <f>AVERAGE(O16:O27)</f>
        <v>2.1636413522948452E-2</v>
      </c>
      <c r="R28" s="1"/>
      <c r="S28" s="1"/>
      <c r="T28" s="1"/>
      <c r="U28" s="143">
        <f>AVERAGE(U16:U27)</f>
        <v>2.0959006498759397E-2</v>
      </c>
    </row>
  </sheetData>
  <pageMargins left="0.7" right="0.7" top="0.75" bottom="0.75" header="0.3" footer="0.3"/>
  <pageSetup scale="83" orientation="landscape" r:id="rId1"/>
  <headerFooter>
    <oddHeader>&amp;CFiled: 2016-10-26, EB-2016-0152
Exhibit L, Tab 11.1 Schedule 1 Staff-246</oddHeader>
  </headerFooter>
  <ignoredErrors>
    <ignoredError sqref="E6 E7:E14 G6:G14 E15:E25 G15 G16:G27"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showGridLines="0" view="pageLayout" zoomScaleNormal="100" workbookViewId="0">
      <selection activeCell="I31" sqref="I31"/>
    </sheetView>
  </sheetViews>
  <sheetFormatPr defaultRowHeight="12.75"/>
  <cols>
    <col min="1" max="1" width="2.85546875" customWidth="1"/>
    <col min="3" max="4" width="21" customWidth="1"/>
    <col min="5" max="5" width="24" customWidth="1"/>
    <col min="6" max="6" width="20.28515625" customWidth="1"/>
    <col min="7" max="7" width="17.140625" customWidth="1"/>
    <col min="8" max="8" width="11.85546875" customWidth="1"/>
    <col min="9" max="9" width="10.7109375" customWidth="1"/>
    <col min="11" max="11" width="10.7109375" customWidth="1"/>
  </cols>
  <sheetData>
    <row r="1" spans="2:12" ht="13.5" thickBot="1">
      <c r="B1" s="18" t="s">
        <v>176</v>
      </c>
      <c r="E1" s="18" t="s">
        <v>33</v>
      </c>
      <c r="F1" s="84">
        <f>'EUCG L share'!$E$34</f>
        <v>0.62709408102958719</v>
      </c>
    </row>
    <row r="2" spans="2:12">
      <c r="B2" s="18" t="s">
        <v>588</v>
      </c>
      <c r="E2" s="18" t="s">
        <v>34</v>
      </c>
      <c r="F2" s="19">
        <f>1-F1</f>
        <v>0.37290591897041281</v>
      </c>
      <c r="H2" s="18" t="s">
        <v>177</v>
      </c>
      <c r="I2" s="18" t="s">
        <v>177</v>
      </c>
      <c r="J2" s="18" t="s">
        <v>177</v>
      </c>
      <c r="K2" s="162" t="s">
        <v>177</v>
      </c>
      <c r="L2" s="163" t="s">
        <v>177</v>
      </c>
    </row>
    <row r="3" spans="2:12">
      <c r="H3" s="18" t="s">
        <v>101</v>
      </c>
      <c r="I3" s="18" t="s">
        <v>208</v>
      </c>
      <c r="J3" s="18" t="s">
        <v>216</v>
      </c>
      <c r="K3" s="164" t="s">
        <v>216</v>
      </c>
      <c r="L3" s="165" t="s">
        <v>216</v>
      </c>
    </row>
    <row r="4" spans="2:12" ht="75">
      <c r="B4" s="68" t="s">
        <v>4</v>
      </c>
      <c r="C4" s="77" t="s">
        <v>183</v>
      </c>
      <c r="D4" s="77" t="s">
        <v>184</v>
      </c>
      <c r="E4" s="77" t="s">
        <v>185</v>
      </c>
      <c r="F4" s="77" t="s">
        <v>186</v>
      </c>
      <c r="H4" s="77" t="s">
        <v>95</v>
      </c>
      <c r="I4" s="77" t="s">
        <v>97</v>
      </c>
      <c r="J4" s="77" t="s">
        <v>108</v>
      </c>
      <c r="K4" s="166" t="s">
        <v>107</v>
      </c>
      <c r="L4" s="155" t="s">
        <v>243</v>
      </c>
    </row>
    <row r="5" spans="2:12" ht="15" hidden="1">
      <c r="B5" s="20">
        <v>1991</v>
      </c>
      <c r="C5" s="21"/>
      <c r="D5" s="22"/>
      <c r="E5" s="21"/>
      <c r="F5" s="22"/>
      <c r="H5" s="22"/>
      <c r="I5" s="78"/>
      <c r="J5" s="22"/>
      <c r="K5" s="167"/>
      <c r="L5" s="168"/>
    </row>
    <row r="6" spans="2:12" ht="15" hidden="1">
      <c r="B6" s="20">
        <v>1992</v>
      </c>
      <c r="C6" s="21"/>
      <c r="D6" s="22"/>
      <c r="E6" s="21"/>
      <c r="F6" s="22"/>
      <c r="H6" s="22"/>
      <c r="I6" s="78"/>
      <c r="J6" s="22"/>
      <c r="K6" s="167"/>
      <c r="L6" s="168"/>
    </row>
    <row r="7" spans="2:12" ht="15" hidden="1">
      <c r="B7" s="20">
        <v>1993</v>
      </c>
      <c r="C7" s="21"/>
      <c r="D7" s="22"/>
      <c r="E7" s="21"/>
      <c r="F7" s="22"/>
      <c r="H7" s="22"/>
      <c r="I7" s="78"/>
      <c r="J7" s="22"/>
      <c r="K7" s="167"/>
      <c r="L7" s="168"/>
    </row>
    <row r="8" spans="2:12" ht="15" hidden="1">
      <c r="B8" s="20">
        <v>1994</v>
      </c>
      <c r="C8" s="21"/>
      <c r="D8" s="22"/>
      <c r="E8" s="21"/>
      <c r="F8" s="22"/>
      <c r="H8" s="22"/>
      <c r="I8" s="78"/>
      <c r="J8" s="22"/>
      <c r="K8" s="167"/>
      <c r="L8" s="168"/>
    </row>
    <row r="9" spans="2:12" ht="15" hidden="1">
      <c r="B9" s="20">
        <v>1995</v>
      </c>
      <c r="C9" s="21"/>
      <c r="D9" s="22"/>
      <c r="E9" s="21"/>
      <c r="F9" s="22"/>
      <c r="H9" s="22"/>
      <c r="I9" s="78"/>
      <c r="J9" s="22"/>
      <c r="K9" s="167"/>
      <c r="L9" s="168"/>
    </row>
    <row r="10" spans="2:12" ht="15" hidden="1">
      <c r="B10" s="20">
        <v>1996</v>
      </c>
      <c r="C10" s="21"/>
      <c r="D10" s="22"/>
      <c r="E10" s="21"/>
      <c r="F10" s="22"/>
      <c r="H10" s="22"/>
      <c r="I10" s="78"/>
      <c r="J10" s="22"/>
      <c r="K10" s="167"/>
      <c r="L10" s="168"/>
    </row>
    <row r="11" spans="2:12" ht="15" hidden="1">
      <c r="B11" s="20">
        <v>1997</v>
      </c>
      <c r="C11" s="21"/>
      <c r="D11" s="22"/>
      <c r="E11" s="21"/>
      <c r="F11" s="22"/>
      <c r="H11" s="22"/>
      <c r="I11" s="78"/>
      <c r="J11" s="22"/>
      <c r="K11" s="167"/>
      <c r="L11" s="168"/>
    </row>
    <row r="12" spans="2:12" ht="15" hidden="1">
      <c r="B12" s="20">
        <v>1998</v>
      </c>
      <c r="C12" s="21"/>
      <c r="D12" s="22"/>
      <c r="E12" s="21"/>
      <c r="F12" s="22"/>
      <c r="H12" s="22"/>
      <c r="I12" s="78"/>
      <c r="J12" s="22"/>
      <c r="K12" s="167"/>
      <c r="L12" s="168"/>
    </row>
    <row r="13" spans="2:12" ht="15" hidden="1">
      <c r="B13" s="20">
        <v>1999</v>
      </c>
      <c r="C13" s="21"/>
      <c r="D13" s="22"/>
      <c r="E13" s="21"/>
      <c r="F13" s="22"/>
      <c r="H13" s="22"/>
      <c r="I13" s="78"/>
      <c r="J13" s="22"/>
      <c r="K13" s="167"/>
      <c r="L13" s="168"/>
    </row>
    <row r="14" spans="2:12" ht="15">
      <c r="B14" s="20">
        <v>2002</v>
      </c>
      <c r="C14" s="21">
        <f>'US BLS &amp; BEA tables'!G18</f>
        <v>91.3</v>
      </c>
      <c r="D14" s="22">
        <v>1</v>
      </c>
      <c r="E14" s="21">
        <f>'US BLS &amp; BEA tables'!N18</f>
        <v>85.054000000000002</v>
      </c>
      <c r="F14" s="22">
        <v>1</v>
      </c>
      <c r="H14" s="78">
        <v>1</v>
      </c>
      <c r="I14" s="78">
        <v>1</v>
      </c>
      <c r="J14" s="22">
        <f t="shared" ref="J14:J24" si="0">D14*$F$1+F14*$F$2</f>
        <v>1</v>
      </c>
      <c r="K14" s="169">
        <v>1</v>
      </c>
      <c r="L14" s="168"/>
    </row>
    <row r="15" spans="2:12" ht="15">
      <c r="B15" s="20">
        <v>2003</v>
      </c>
      <c r="C15" s="21">
        <f>'US BLS &amp; BEA tables'!G19</f>
        <v>93.775000000000006</v>
      </c>
      <c r="D15" s="22">
        <f t="shared" ref="D15:D24" si="1">C15/C14</f>
        <v>1.0271084337349399</v>
      </c>
      <c r="E15" s="21">
        <f>'US BLS &amp; BEA tables'!N19</f>
        <v>86.754000000000005</v>
      </c>
      <c r="F15" s="22">
        <f t="shared" ref="F15:F24" si="2">E15/E14</f>
        <v>1.0199873021844945</v>
      </c>
      <c r="H15" s="78">
        <f t="shared" ref="H15:H24" si="3">H14*D15</f>
        <v>1.0271084337349399</v>
      </c>
      <c r="I15" s="78">
        <f t="shared" ref="I15:I24" si="4">I14*F15</f>
        <v>1.0199873021844945</v>
      </c>
      <c r="J15" s="22">
        <f t="shared" si="0"/>
        <v>1.024452921630012</v>
      </c>
      <c r="K15" s="169">
        <f t="shared" ref="K15:K23" si="5">K14*J15</f>
        <v>1.024452921630012</v>
      </c>
      <c r="L15" s="142">
        <f>LN(K15/K14)</f>
        <v>2.4158735108036223E-2</v>
      </c>
    </row>
    <row r="16" spans="2:12" ht="15">
      <c r="B16" s="20">
        <v>2004</v>
      </c>
      <c r="C16" s="21">
        <f>'US BLS &amp; BEA tables'!G20</f>
        <v>96.625</v>
      </c>
      <c r="D16" s="22">
        <f t="shared" si="1"/>
        <v>1.0303918954945348</v>
      </c>
      <c r="E16" s="21">
        <f>'US BLS &amp; BEA tables'!N20</f>
        <v>89.132000000000005</v>
      </c>
      <c r="F16" s="22">
        <f t="shared" si="2"/>
        <v>1.0274108398460013</v>
      </c>
      <c r="H16" s="78">
        <f t="shared" si="3"/>
        <v>1.0583242059145674</v>
      </c>
      <c r="I16" s="78">
        <f t="shared" si="4"/>
        <v>1.0479460107696286</v>
      </c>
      <c r="J16" s="22">
        <f t="shared" si="0"/>
        <v>1.0292802421984164</v>
      </c>
      <c r="K16" s="169">
        <f t="shared" si="5"/>
        <v>1.054449151296214</v>
      </c>
      <c r="L16" s="142">
        <f t="shared" ref="L16:L24" si="6">LN(K16/K15)</f>
        <v>2.8859763989106637E-2</v>
      </c>
    </row>
    <row r="17" spans="2:12" ht="15">
      <c r="B17" s="20">
        <v>2005</v>
      </c>
      <c r="C17" s="21">
        <f>'US BLS &amp; BEA tables'!G21</f>
        <v>99.275000000000006</v>
      </c>
      <c r="D17" s="22">
        <f t="shared" si="1"/>
        <v>1.0274256144890039</v>
      </c>
      <c r="E17" s="21">
        <f>'US BLS &amp; BEA tables'!N21</f>
        <v>91.991</v>
      </c>
      <c r="F17" s="22">
        <f t="shared" si="2"/>
        <v>1.0320760220796121</v>
      </c>
      <c r="H17" s="78">
        <f t="shared" si="3"/>
        <v>1.0873493975903616</v>
      </c>
      <c r="I17" s="78">
        <f t="shared" si="4"/>
        <v>1.0815599501493167</v>
      </c>
      <c r="J17" s="22">
        <f t="shared" si="0"/>
        <v>1.0291597790051668</v>
      </c>
      <c r="K17" s="169">
        <f t="shared" si="5"/>
        <v>1.0851966555201973</v>
      </c>
      <c r="L17" s="142">
        <f t="shared" si="6"/>
        <v>2.8742720798975951E-2</v>
      </c>
    </row>
    <row r="18" spans="2:12" ht="15">
      <c r="B18" s="20">
        <v>2006</v>
      </c>
      <c r="C18" s="21">
        <f>'US BLS &amp; BEA tables'!G22</f>
        <v>102.35</v>
      </c>
      <c r="D18" s="22">
        <f>C18/C17</f>
        <v>1.0309745656006042</v>
      </c>
      <c r="E18" s="21">
        <f>'US BLS &amp; BEA tables'!N22</f>
        <v>94.817999999999998</v>
      </c>
      <c r="F18" s="22">
        <f t="shared" si="2"/>
        <v>1.0307312671891815</v>
      </c>
      <c r="H18" s="78">
        <f>H17*D18</f>
        <v>1.1210295728368018</v>
      </c>
      <c r="I18" s="78">
        <f t="shared" si="4"/>
        <v>1.1147976579584733</v>
      </c>
      <c r="J18" s="22">
        <f t="shared" si="0"/>
        <v>1.0308838381829086</v>
      </c>
      <c r="K18" s="169">
        <f t="shared" si="5"/>
        <v>1.1187116934259167</v>
      </c>
      <c r="L18" s="142">
        <f t="shared" si="6"/>
        <v>3.041652961144244E-2</v>
      </c>
    </row>
    <row r="19" spans="2:12" ht="15">
      <c r="B19" s="20">
        <v>2007</v>
      </c>
      <c r="C19" s="21">
        <f>'US BLS &amp; BEA tables'!G23</f>
        <v>105.675</v>
      </c>
      <c r="D19" s="22">
        <f t="shared" si="1"/>
        <v>1.032486565705911</v>
      </c>
      <c r="E19" s="21">
        <f>'US BLS &amp; BEA tables'!N23</f>
        <v>97.334999999999994</v>
      </c>
      <c r="F19" s="22">
        <f t="shared" si="2"/>
        <v>1.0265455926089984</v>
      </c>
      <c r="H19" s="78">
        <f t="shared" si="3"/>
        <v>1.1574479737130339</v>
      </c>
      <c r="I19" s="78">
        <f t="shared" si="4"/>
        <v>1.1443906224281044</v>
      </c>
      <c r="J19" s="22">
        <f t="shared" si="0"/>
        <v>1.0302711416736283</v>
      </c>
      <c r="K19" s="169">
        <f t="shared" si="5"/>
        <v>1.1525763735895573</v>
      </c>
      <c r="L19" s="142">
        <f t="shared" si="6"/>
        <v>2.9822011942160255E-2</v>
      </c>
    </row>
    <row r="20" spans="2:12" ht="15">
      <c r="B20" s="20">
        <v>2008</v>
      </c>
      <c r="C20" s="21">
        <f>'US BLS &amp; BEA tables'!G24</f>
        <v>109.05000000000001</v>
      </c>
      <c r="D20" s="22">
        <f t="shared" si="1"/>
        <v>1.0319375443577006</v>
      </c>
      <c r="E20" s="21">
        <f>'US BLS &amp; BEA tables'!N24</f>
        <v>99.236000000000004</v>
      </c>
      <c r="F20" s="22">
        <f t="shared" si="2"/>
        <v>1.0195304874916526</v>
      </c>
      <c r="H20" s="78">
        <f t="shared" si="3"/>
        <v>1.1944140197152247</v>
      </c>
      <c r="I20" s="78">
        <f t="shared" si="4"/>
        <v>1.1667411291650012</v>
      </c>
      <c r="J20" s="22">
        <f t="shared" si="0"/>
        <v>1.0273108794153489</v>
      </c>
      <c r="K20" s="169">
        <f t="shared" si="5"/>
        <v>1.184054247945642</v>
      </c>
      <c r="L20" s="142">
        <f t="shared" si="6"/>
        <v>2.6944591484158818E-2</v>
      </c>
    </row>
    <row r="21" spans="2:12" ht="15">
      <c r="B21" s="20">
        <v>2009</v>
      </c>
      <c r="C21" s="21">
        <f>'US BLS &amp; BEA tables'!G25</f>
        <v>112.125</v>
      </c>
      <c r="D21" s="22">
        <f t="shared" si="1"/>
        <v>1.028198074277854</v>
      </c>
      <c r="E21" s="21">
        <f>'US BLS &amp; BEA tables'!N25</f>
        <v>100</v>
      </c>
      <c r="F21" s="22">
        <f t="shared" si="2"/>
        <v>1.0076988189769842</v>
      </c>
      <c r="H21" s="78">
        <f t="shared" si="3"/>
        <v>1.2280941949616648</v>
      </c>
      <c r="I21" s="78">
        <f t="shared" si="4"/>
        <v>1.1757236579114447</v>
      </c>
      <c r="J21" s="22">
        <f t="shared" si="0"/>
        <v>1.020553780641674</v>
      </c>
      <c r="K21" s="169">
        <f t="shared" si="5"/>
        <v>1.2083910392257591</v>
      </c>
      <c r="L21" s="142">
        <f t="shared" si="6"/>
        <v>2.0345402164965967E-2</v>
      </c>
    </row>
    <row r="22" spans="2:12" ht="15">
      <c r="B22" s="20">
        <v>2010</v>
      </c>
      <c r="C22" s="21">
        <f>'US BLS &amp; BEA tables'!G26</f>
        <v>114.9</v>
      </c>
      <c r="D22" s="22">
        <f t="shared" si="1"/>
        <v>1.0247491638795987</v>
      </c>
      <c r="E22" s="21">
        <f>'US BLS &amp; BEA tables'!N26</f>
        <v>101.211</v>
      </c>
      <c r="F22" s="22">
        <f t="shared" si="2"/>
        <v>1.0121100000000001</v>
      </c>
      <c r="H22" s="78">
        <f t="shared" si="3"/>
        <v>1.2584884994523549</v>
      </c>
      <c r="I22" s="78">
        <f t="shared" si="4"/>
        <v>1.1899616714087524</v>
      </c>
      <c r="J22" s="22">
        <f t="shared" si="0"/>
        <v>1.0200359448580594</v>
      </c>
      <c r="K22" s="169">
        <f t="shared" si="5"/>
        <v>1.2326022954546594</v>
      </c>
      <c r="L22" s="142">
        <f t="shared" si="6"/>
        <v>1.9837866732184448E-2</v>
      </c>
    </row>
    <row r="23" spans="2:12" ht="15">
      <c r="B23" s="20">
        <v>2011</v>
      </c>
      <c r="C23" s="21">
        <f>'US BLS &amp; BEA tables'!G27</f>
        <v>118.075</v>
      </c>
      <c r="D23" s="22">
        <f t="shared" si="1"/>
        <v>1.0276327241079199</v>
      </c>
      <c r="E23" s="21">
        <f>'US BLS &amp; BEA tables'!N27</f>
        <v>103.199</v>
      </c>
      <c r="F23" s="22">
        <f t="shared" si="2"/>
        <v>1.0196421337601644</v>
      </c>
      <c r="H23" s="78">
        <f t="shared" si="3"/>
        <v>1.2932639649507121</v>
      </c>
      <c r="I23" s="78">
        <f t="shared" si="4"/>
        <v>1.213335057728032</v>
      </c>
      <c r="J23" s="22">
        <f t="shared" si="0"/>
        <v>1.0246529856711741</v>
      </c>
      <c r="K23" s="169">
        <f t="shared" si="5"/>
        <v>1.2629896221827595</v>
      </c>
      <c r="L23" s="142">
        <f t="shared" si="6"/>
        <v>2.435400470448313E-2</v>
      </c>
    </row>
    <row r="24" spans="2:12" ht="15">
      <c r="B24" s="20">
        <v>2012</v>
      </c>
      <c r="C24" s="21">
        <f>'US BLS &amp; BEA tables'!G28</f>
        <v>120.97499999999999</v>
      </c>
      <c r="D24" s="22">
        <f t="shared" si="1"/>
        <v>1.0245606605970781</v>
      </c>
      <c r="E24" s="21">
        <f>'US BLS &amp; BEA tables'!N28</f>
        <v>105.002</v>
      </c>
      <c r="F24" s="22">
        <f t="shared" si="2"/>
        <v>1.0174710995261582</v>
      </c>
      <c r="H24" s="78">
        <f t="shared" si="3"/>
        <v>1.3250273822562979</v>
      </c>
      <c r="I24" s="78">
        <f t="shared" si="4"/>
        <v>1.2345333552801754</v>
      </c>
      <c r="J24" s="22">
        <f t="shared" si="0"/>
        <v>1.0219169213108299</v>
      </c>
      <c r="K24" s="169">
        <f>K23*J24</f>
        <v>1.2906704663485338</v>
      </c>
      <c r="L24" s="142">
        <f t="shared" si="6"/>
        <v>2.1680198174762202E-2</v>
      </c>
    </row>
    <row r="25" spans="2:12" ht="15">
      <c r="B25" s="20">
        <v>2013</v>
      </c>
      <c r="C25" s="21">
        <f>'US BLS &amp; BEA tables'!G29</f>
        <v>124.325</v>
      </c>
      <c r="D25" s="22">
        <f t="shared" ref="D25:D26" si="7">C25/C24</f>
        <v>1.0276916718330233</v>
      </c>
      <c r="E25" s="21">
        <f>'US BLS &amp; BEA tables'!N29</f>
        <v>106.58799999999999</v>
      </c>
      <c r="F25" s="22">
        <f t="shared" ref="F25:F26" si="8">E25/E24</f>
        <v>1.0151044742004913</v>
      </c>
      <c r="H25" s="78">
        <f t="shared" ref="H25:H26" si="9">H24*D25</f>
        <v>1.3617196056955092</v>
      </c>
      <c r="I25" s="78">
        <f t="shared" ref="I25:I26" si="10">I24*F25</f>
        <v>1.2531803324946509</v>
      </c>
      <c r="J25" s="22">
        <f t="shared" ref="J25:J26" si="11">D25*$F$1+F25*$F$2</f>
        <v>1.0229978313326018</v>
      </c>
      <c r="K25" s="169">
        <f t="shared" ref="K25:K26" si="12">K24*J25</f>
        <v>1.320353088039588</v>
      </c>
      <c r="L25" s="142">
        <f t="shared" ref="L25:L26" si="13">LN(K25/K24)</f>
        <v>2.2737367057762265E-2</v>
      </c>
    </row>
    <row r="26" spans="2:12" ht="15">
      <c r="B26" s="20">
        <v>2014</v>
      </c>
      <c r="C26" s="21">
        <f>'US BLS &amp; BEA tables'!G30</f>
        <v>127.7</v>
      </c>
      <c r="D26" s="22">
        <f t="shared" si="7"/>
        <v>1.027146591594611</v>
      </c>
      <c r="E26" s="21">
        <f>'US BLS &amp; BEA tables'!N30</f>
        <v>108.68600000000001</v>
      </c>
      <c r="F26" s="22">
        <f t="shared" si="8"/>
        <v>1.0196832664089768</v>
      </c>
      <c r="H26" s="78">
        <f t="shared" si="9"/>
        <v>1.3986856516977</v>
      </c>
      <c r="I26" s="78">
        <f t="shared" si="10"/>
        <v>1.2778470148376333</v>
      </c>
      <c r="J26" s="22">
        <f t="shared" si="11"/>
        <v>1.024363473457687</v>
      </c>
      <c r="K26" s="169">
        <f t="shared" si="12"/>
        <v>1.3525214754548154</v>
      </c>
      <c r="L26" s="142">
        <f t="shared" si="13"/>
        <v>2.4071418184375977E-2</v>
      </c>
    </row>
    <row r="27" spans="2:12" ht="15.75" thickBot="1">
      <c r="B27" s="20"/>
      <c r="C27" s="21"/>
      <c r="D27" s="22"/>
      <c r="E27" s="21"/>
      <c r="F27" s="22"/>
      <c r="I27" s="109"/>
      <c r="K27" s="170"/>
      <c r="L27" s="171">
        <f>AVERAGE(L15:L26)</f>
        <v>2.5164217496034522E-2</v>
      </c>
    </row>
  </sheetData>
  <pageMargins left="0.7" right="0.7" top="0.75" bottom="0.75" header="0.3" footer="0.3"/>
  <pageSetup scale="83" orientation="landscape" r:id="rId1"/>
  <headerFooter>
    <oddHeader>&amp;CFiled: 2016-10-26, EB-2016-0152
Exhibit L, Tab 11.1 Schedule 1 Staff-246</oddHeader>
  </headerFooter>
  <ignoredErrors>
    <ignoredError sqref="E14:E2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Cover sheet</vt:lpstr>
      <vt:lpstr>READ_ME</vt:lpstr>
      <vt:lpstr>graphs</vt:lpstr>
      <vt:lpstr>TFP_Calcs</vt:lpstr>
      <vt:lpstr>TFP_dataset</vt:lpstr>
      <vt:lpstr>OPG hydro peers</vt:lpstr>
      <vt:lpstr>NA comb O&amp;M price indexes</vt:lpstr>
      <vt:lpstr>Can O&amp;M price indexes</vt:lpstr>
      <vt:lpstr>US O&amp;M price indexes</vt:lpstr>
      <vt:lpstr>EUCG L share</vt:lpstr>
      <vt:lpstr>StatsCan CANSIM tables</vt:lpstr>
      <vt:lpstr>US BLS &amp; BEA tables</vt:lpstr>
      <vt:lpstr>Sheet1</vt:lpstr>
      <vt:lpstr>'Cover sheet'!Print_Area</vt:lpstr>
      <vt:lpstr>READ_ME!Print_Area</vt:lpstr>
      <vt:lpstr>TFP_Calcs!Print_Area</vt:lpstr>
      <vt:lpstr>TFP_dataset!Print_Area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Kelima</dc:creator>
  <cp:lastModifiedBy>Lillian Ing</cp:lastModifiedBy>
  <cp:lastPrinted>2016-10-26T16:39:46Z</cp:lastPrinted>
  <dcterms:created xsi:type="dcterms:W3CDTF">2014-02-27T01:32:42Z</dcterms:created>
  <dcterms:modified xsi:type="dcterms:W3CDTF">2016-10-26T19:46:17Z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ies>
</file>